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tabRatio="919"/>
  </bookViews>
  <sheets>
    <sheet name="Rekapitulacija 1" sheetId="1" r:id="rId1"/>
    <sheet name="Rekapitulacija 3.1" sheetId="34" r:id="rId2"/>
    <sheet name="3.1.1" sheetId="24" r:id="rId3"/>
    <sheet name="3.1.2" sheetId="35" r:id="rId4"/>
    <sheet name="3.1.3" sheetId="31" r:id="rId5"/>
    <sheet name="Rekapitulacija 3.2" sheetId="68" r:id="rId6"/>
    <sheet name="3.2" sheetId="69" r:id="rId7"/>
    <sheet name="Rekapitulacija 3.3" sheetId="70" r:id="rId8"/>
    <sheet name="Uvod v predračun 3.3" sheetId="77" r:id="rId9"/>
    <sheet name="3.3" sheetId="71" r:id="rId10"/>
    <sheet name="Rekapitulacija 3.4" sheetId="72" r:id="rId11"/>
    <sheet name="3.4" sheetId="73" r:id="rId12"/>
    <sheet name="Rekapitulacija 3.5" sheetId="41" r:id="rId13"/>
    <sheet name="UVOD V PREDRAČUN 3.5" sheetId="42" r:id="rId14"/>
    <sheet name="3.5.1" sheetId="43" r:id="rId15"/>
    <sheet name="3.5.2" sheetId="44" r:id="rId16"/>
    <sheet name="3.5.3" sheetId="45" r:id="rId17"/>
    <sheet name="Rekapitulacija 3.7" sheetId="46" r:id="rId18"/>
    <sheet name="3.7.1" sheetId="76" r:id="rId19"/>
    <sheet name="3.7.2" sheetId="49" r:id="rId20"/>
    <sheet name="3.7.3" sheetId="50" r:id="rId21"/>
    <sheet name="Rekapitulacija 4" sheetId="51" r:id="rId22"/>
    <sheet name="UVOD V PREDRAČUN 4" sheetId="52" r:id="rId23"/>
    <sheet name="4.1" sheetId="53" r:id="rId24"/>
    <sheet name="4.2" sheetId="54" r:id="rId25"/>
    <sheet name="4.3" sheetId="55" r:id="rId26"/>
    <sheet name="4.4" sheetId="56" r:id="rId27"/>
    <sheet name="4.5" sheetId="57" r:id="rId28"/>
    <sheet name="4.6" sheetId="58" r:id="rId29"/>
    <sheet name="4.7" sheetId="74" r:id="rId30"/>
    <sheet name="4.8" sheetId="60" r:id="rId31"/>
    <sheet name="4.9" sheetId="75" r:id="rId32"/>
    <sheet name="4.10" sheetId="62" r:id="rId33"/>
    <sheet name="4.11" sheetId="63" r:id="rId34"/>
    <sheet name="Rekapitulacija 5" sheetId="65" r:id="rId35"/>
    <sheet name="Splošne opombe k popisu del" sheetId="64" r:id="rId36"/>
    <sheet name="5.1" sheetId="66" r:id="rId37"/>
    <sheet name="5.2" sheetId="67" r:id="rId38"/>
  </sheets>
  <externalReferences>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s>
  <definedNames>
    <definedName name="datum" localSheetId="14">[1]OSNOVA!#REF!</definedName>
    <definedName name="datum" localSheetId="15">[2]OSNOVA!#REF!</definedName>
    <definedName name="datum" localSheetId="16">[3]OSNOVA!#REF!</definedName>
    <definedName name="datum" localSheetId="19">[1]OSNOVA!#REF!</definedName>
    <definedName name="datum" localSheetId="20">[1]OSNOVA!#REF!</definedName>
    <definedName name="datum" localSheetId="23">[4]OSNOVA!#REF!</definedName>
    <definedName name="datum" localSheetId="32">[4]OSNOVA!#REF!</definedName>
    <definedName name="datum" localSheetId="33">[4]OSNOVA!#REF!</definedName>
    <definedName name="datum" localSheetId="24">[4]OSNOVA!#REF!</definedName>
    <definedName name="datum" localSheetId="25">[4]OSNOVA!#REF!</definedName>
    <definedName name="datum" localSheetId="26">[4]OSNOVA!#REF!</definedName>
    <definedName name="datum" localSheetId="27">[4]OSNOVA!#REF!</definedName>
    <definedName name="datum" localSheetId="28">[4]OSNOVA!#REF!</definedName>
    <definedName name="datum" localSheetId="29">[5]OSNOVA!#REF!</definedName>
    <definedName name="datum" localSheetId="30">[4]OSNOVA!#REF!</definedName>
    <definedName name="datum" localSheetId="31">[5]OSNOVA!#REF!</definedName>
    <definedName name="datum" localSheetId="37">[1]OSNOVA!#REF!</definedName>
    <definedName name="datum" localSheetId="21">[4]OSNOVA!#REF!</definedName>
    <definedName name="datum" localSheetId="34">[4]OSNOVA!#REF!</definedName>
    <definedName name="datum" localSheetId="13">[1]OSNOVA!#REF!</definedName>
    <definedName name="datum" localSheetId="22">[4]OSNOVA!#REF!</definedName>
    <definedName name="datum">[1]OSNOVA!#REF!</definedName>
    <definedName name="DDV" localSheetId="15">[2]OSNOVA!$B$41</definedName>
    <definedName name="DDV" localSheetId="16">[3]OSNOVA!$B$41</definedName>
    <definedName name="DDV" localSheetId="23">[4]OSNOVA!$B$40</definedName>
    <definedName name="DDV" localSheetId="32">[4]OSNOVA!$B$40</definedName>
    <definedName name="DDV" localSheetId="33">[4]OSNOVA!$B$40</definedName>
    <definedName name="DDV" localSheetId="24">[4]OSNOVA!$B$40</definedName>
    <definedName name="DDV" localSheetId="25">[4]OSNOVA!$B$40</definedName>
    <definedName name="DDV" localSheetId="26">[4]OSNOVA!$B$40</definedName>
    <definedName name="DDV" localSheetId="27">[4]OSNOVA!$B$40</definedName>
    <definedName name="DDV" localSheetId="28">[4]OSNOVA!$B$40</definedName>
    <definedName name="DDV" localSheetId="29">[5]OSNOVA!$B$40</definedName>
    <definedName name="DDV" localSheetId="30">[4]OSNOVA!$B$40</definedName>
    <definedName name="DDV" localSheetId="31">[5]OSNOVA!$B$40</definedName>
    <definedName name="DDV" localSheetId="21">[4]OSNOVA!$B$40</definedName>
    <definedName name="DDV" localSheetId="34">[4]OSNOVA!$B$40</definedName>
    <definedName name="DDV" localSheetId="22">[4]OSNOVA!$B$40</definedName>
    <definedName name="DDV">[1]OSNOVA!$B$41</definedName>
    <definedName name="DEL" localSheetId="2">[6]OSNOVA!$B$32</definedName>
    <definedName name="DEL" localSheetId="3">[6]OSNOVA!$B$32</definedName>
    <definedName name="DEL" localSheetId="4">[6]OSNOVA!$B$32</definedName>
    <definedName name="DEL" localSheetId="14">[1]OSNOVA!$B$31</definedName>
    <definedName name="DEL" localSheetId="15">[2]OSNOVA!$B$31</definedName>
    <definedName name="DEL" localSheetId="16">[3]OSNOVA!$B$31</definedName>
    <definedName name="DEL" localSheetId="18">[7]OSNOVA!$B$32</definedName>
    <definedName name="DEL" localSheetId="19">[7]OSNOVA!$B$32</definedName>
    <definedName name="DEL" localSheetId="20">[7]OSNOVA!$B$32</definedName>
    <definedName name="DEL" localSheetId="23">[4]OSNOVA!$B$30</definedName>
    <definedName name="DEL" localSheetId="32">[4]OSNOVA!$B$30</definedName>
    <definedName name="DEL" localSheetId="33">[4]OSNOVA!$B$30</definedName>
    <definedName name="DEL" localSheetId="24">[4]OSNOVA!$B$30</definedName>
    <definedName name="DEL" localSheetId="25">[4]OSNOVA!$B$30</definedName>
    <definedName name="DEL" localSheetId="26">[4]OSNOVA!$B$30</definedName>
    <definedName name="DEL" localSheetId="27">[4]OSNOVA!$B$30</definedName>
    <definedName name="DEL" localSheetId="28">[4]OSNOVA!$B$30</definedName>
    <definedName name="DEL" localSheetId="29">[5]OSNOVA!$B$30</definedName>
    <definedName name="DEL" localSheetId="30">[4]OSNOVA!$B$30</definedName>
    <definedName name="DEL" localSheetId="31">[5]OSNOVA!$B$30</definedName>
    <definedName name="DEL" localSheetId="1">[6]OSNOVA!$B$32</definedName>
    <definedName name="DEL" localSheetId="12">[6]OSNOVA!$B$32</definedName>
    <definedName name="DEL" localSheetId="17">[7]OSNOVA!$B$32</definedName>
    <definedName name="DEL" localSheetId="21">[4]OSNOVA!$B$30</definedName>
    <definedName name="DEL" localSheetId="34">[4]OSNOVA!$B$30</definedName>
    <definedName name="DEL" localSheetId="13">[1]OSNOVA!$B$31</definedName>
    <definedName name="DEL" localSheetId="22">[4]OSNOVA!$B$30</definedName>
    <definedName name="DEL">[8]OSNOVA!$B$32</definedName>
    <definedName name="DF" localSheetId="2">[6]OSNOVA!$B$40</definedName>
    <definedName name="DF" localSheetId="3">[6]OSNOVA!$B$40</definedName>
    <definedName name="DF" localSheetId="4">[6]OSNOVA!$B$40</definedName>
    <definedName name="DF" localSheetId="14">[1]OSNOVA!$B$39</definedName>
    <definedName name="DF" localSheetId="15">[2]OSNOVA!$B$39</definedName>
    <definedName name="DF" localSheetId="16">[3]OSNOVA!$B$39</definedName>
    <definedName name="DF" localSheetId="18">[7]OSNOVA!$B$40</definedName>
    <definedName name="DF" localSheetId="19">[7]OSNOVA!$B$40</definedName>
    <definedName name="DF" localSheetId="20">[7]OSNOVA!$B$40</definedName>
    <definedName name="DF" localSheetId="29">[5]OSNOVA!$B$38</definedName>
    <definedName name="DF" localSheetId="31">[5]OSNOVA!$B$38</definedName>
    <definedName name="DF" localSheetId="1">[6]OSNOVA!$B$40</definedName>
    <definedName name="DF" localSheetId="12">[6]OSNOVA!$B$40</definedName>
    <definedName name="DF" localSheetId="17">[7]OSNOVA!$B$40</definedName>
    <definedName name="DF" localSheetId="13">[1]OSNOVA!$B$39</definedName>
    <definedName name="DF">[8]OSNOVA!$B$40</definedName>
    <definedName name="dsadsa">[9]OSNOVA!$B$36</definedName>
    <definedName name="el" localSheetId="15">[2]OSNOVA!#REF!</definedName>
    <definedName name="el" localSheetId="16">[3]OSNOVA!#REF!</definedName>
    <definedName name="el" localSheetId="19">[1]OSNOVA!#REF!</definedName>
    <definedName name="el" localSheetId="20">[1]OSNOVA!#REF!</definedName>
    <definedName name="el" localSheetId="37">[1]OSNOVA!#REF!</definedName>
    <definedName name="el" localSheetId="34">[1]OSNOVA!#REF!</definedName>
    <definedName name="el">[1]OSNOVA!#REF!</definedName>
    <definedName name="FakStro" localSheetId="15">[2]OSNOVA!#REF!</definedName>
    <definedName name="FakStro" localSheetId="16">[3]OSNOVA!#REF!</definedName>
    <definedName name="FakStro" localSheetId="19">[1]OSNOVA!#REF!</definedName>
    <definedName name="FakStro" localSheetId="20">[1]OSNOVA!#REF!</definedName>
    <definedName name="FakStro" localSheetId="23">[4]OSNOVA!#REF!</definedName>
    <definedName name="FakStro" localSheetId="32">[4]OSNOVA!#REF!</definedName>
    <definedName name="FakStro" localSheetId="33">[4]OSNOVA!#REF!</definedName>
    <definedName name="FakStro" localSheetId="24">[4]OSNOVA!#REF!</definedName>
    <definedName name="FakStro" localSheetId="25">[4]OSNOVA!#REF!</definedName>
    <definedName name="FakStro" localSheetId="26">[4]OSNOVA!#REF!</definedName>
    <definedName name="FakStro" localSheetId="27">[4]OSNOVA!#REF!</definedName>
    <definedName name="FakStro" localSheetId="28">[4]OSNOVA!#REF!</definedName>
    <definedName name="FakStro" localSheetId="29">[5]OSNOVA!#REF!</definedName>
    <definedName name="FakStro" localSheetId="30">[4]OSNOVA!#REF!</definedName>
    <definedName name="FakStro" localSheetId="31">[5]OSNOVA!#REF!</definedName>
    <definedName name="FakStro" localSheetId="37">[1]OSNOVA!#REF!</definedName>
    <definedName name="FakStro" localSheetId="21">[4]OSNOVA!#REF!</definedName>
    <definedName name="FakStro" localSheetId="34">[4]OSNOVA!#REF!</definedName>
    <definedName name="FakStro" localSheetId="22">[4]OSNOVA!#REF!</definedName>
    <definedName name="FakStro">[1]OSNOVA!#REF!</definedName>
    <definedName name="FaktStro">[10]osnova!$B$14</definedName>
    <definedName name="fas">[11]OSNOVA!$B$36</definedName>
    <definedName name="FR" localSheetId="15">[2]OSNOVA!#REF!</definedName>
    <definedName name="FR" localSheetId="16">[3]OSNOVA!#REF!</definedName>
    <definedName name="FR" localSheetId="19">[1]OSNOVA!#REF!</definedName>
    <definedName name="FR" localSheetId="20">[1]OSNOVA!#REF!</definedName>
    <definedName name="FR" localSheetId="23">[4]OSNOVA!#REF!</definedName>
    <definedName name="FR" localSheetId="32">[4]OSNOVA!#REF!</definedName>
    <definedName name="FR" localSheetId="33">[4]OSNOVA!#REF!</definedName>
    <definedName name="FR" localSheetId="24">[4]OSNOVA!#REF!</definedName>
    <definedName name="FR" localSheetId="25">[4]OSNOVA!#REF!</definedName>
    <definedName name="FR" localSheetId="26">[4]OSNOVA!#REF!</definedName>
    <definedName name="FR" localSheetId="27">[4]OSNOVA!#REF!</definedName>
    <definedName name="FR" localSheetId="28">[4]OSNOVA!#REF!</definedName>
    <definedName name="FR" localSheetId="29">[5]OSNOVA!#REF!</definedName>
    <definedName name="FR" localSheetId="30">[4]OSNOVA!#REF!</definedName>
    <definedName name="FR" localSheetId="31">[5]OSNOVA!#REF!</definedName>
    <definedName name="FR" localSheetId="37">[1]OSNOVA!#REF!</definedName>
    <definedName name="FR" localSheetId="21">[4]OSNOVA!#REF!</definedName>
    <definedName name="FR" localSheetId="34">[4]OSNOVA!#REF!</definedName>
    <definedName name="FR" localSheetId="22">[4]OSNOVA!#REF!</definedName>
    <definedName name="FR">[1]OSNOVA!#REF!</definedName>
    <definedName name="FRC" localSheetId="2">[6]OSNOVA!$B$38</definedName>
    <definedName name="FRC" localSheetId="3">[6]OSNOVA!$B$38</definedName>
    <definedName name="FRC" localSheetId="4">[6]OSNOVA!$B$38</definedName>
    <definedName name="FRC" localSheetId="18">[7]OSNOVA!$B$38</definedName>
    <definedName name="FRC" localSheetId="19">[7]OSNOVA!$B$38</definedName>
    <definedName name="FRC" localSheetId="20">[7]OSNOVA!$B$38</definedName>
    <definedName name="FRC" localSheetId="23">[12]OSNOVA!$B$36</definedName>
    <definedName name="FRC" localSheetId="32">[12]OSNOVA!$B$36</definedName>
    <definedName name="FRC" localSheetId="33">[12]OSNOVA!$B$36</definedName>
    <definedName name="FRC" localSheetId="24">[12]OSNOVA!$B$36</definedName>
    <definedName name="FRC" localSheetId="25">[12]OSNOVA!$B$36</definedName>
    <definedName name="FRC" localSheetId="26">[12]OSNOVA!$B$36</definedName>
    <definedName name="FRC" localSheetId="27">[12]OSNOVA!$B$36</definedName>
    <definedName name="FRC" localSheetId="28">[12]OSNOVA!$B$36</definedName>
    <definedName name="FRC" localSheetId="29">[12]OSNOVA!$B$36</definedName>
    <definedName name="FRC" localSheetId="30">[12]OSNOVA!$B$36</definedName>
    <definedName name="FRC" localSheetId="31">[12]OSNOVA!$B$36</definedName>
    <definedName name="FRC" localSheetId="1">[6]OSNOVA!$B$38</definedName>
    <definedName name="FRC" localSheetId="12">[6]OSNOVA!$B$38</definedName>
    <definedName name="FRC" localSheetId="17">[7]OSNOVA!$B$38</definedName>
    <definedName name="FRC" localSheetId="21">[12]OSNOVA!$B$36</definedName>
    <definedName name="FRC" localSheetId="34">[12]OSNOVA!$B$36</definedName>
    <definedName name="FRC" localSheetId="22">[12]OSNOVA!$B$36</definedName>
    <definedName name="FRC">[8]OSNOVA!$B$38</definedName>
    <definedName name="FRD" localSheetId="15">[2]OSNOVA!$B$37</definedName>
    <definedName name="FRD" localSheetId="16">[3]OSNOVA!$B$37</definedName>
    <definedName name="FRD" localSheetId="29">[5]OSNOVA!$B$36</definedName>
    <definedName name="FRD" localSheetId="31">[5]OSNOVA!$B$36</definedName>
    <definedName name="FRD">[1]OSNOVA!$B$37</definedName>
    <definedName name="investicija" localSheetId="14">#REF!</definedName>
    <definedName name="investicija" localSheetId="15">#REF!</definedName>
    <definedName name="investicija" localSheetId="16">#REF!</definedName>
    <definedName name="investicija" localSheetId="19">#REF!</definedName>
    <definedName name="investicija" localSheetId="20">#REF!</definedName>
    <definedName name="investicija" localSheetId="23">#REF!</definedName>
    <definedName name="investicija" localSheetId="32">#REF!</definedName>
    <definedName name="investicija" localSheetId="33">#REF!</definedName>
    <definedName name="investicija" localSheetId="24">#REF!</definedName>
    <definedName name="investicija" localSheetId="25">#REF!</definedName>
    <definedName name="investicija" localSheetId="26">#REF!</definedName>
    <definedName name="investicija" localSheetId="27">#REF!</definedName>
    <definedName name="investicija" localSheetId="28">#REF!</definedName>
    <definedName name="investicija" localSheetId="29">#REF!</definedName>
    <definedName name="investicija" localSheetId="30">#REF!</definedName>
    <definedName name="investicija" localSheetId="31">#REF!</definedName>
    <definedName name="investicija" localSheetId="37">#REF!</definedName>
    <definedName name="investicija" localSheetId="21">#REF!</definedName>
    <definedName name="investicija" localSheetId="34">#REF!</definedName>
    <definedName name="investicija" localSheetId="13">#REF!</definedName>
    <definedName name="investicija" localSheetId="22">#REF!</definedName>
    <definedName name="investicija">#REF!</definedName>
    <definedName name="OBJEKT" localSheetId="15">[2]OSNOVA!$B$35</definedName>
    <definedName name="OBJEKT" localSheetId="16">[3]OSNOVA!$B$35</definedName>
    <definedName name="OBJEKT" localSheetId="23">[4]OSNOVA!$B$34</definedName>
    <definedName name="OBJEKT" localSheetId="32">[4]OSNOVA!$B$34</definedName>
    <definedName name="OBJEKT" localSheetId="33">[4]OSNOVA!$B$34</definedName>
    <definedName name="OBJEKT" localSheetId="24">[4]OSNOVA!$B$34</definedName>
    <definedName name="OBJEKT" localSheetId="25">[4]OSNOVA!$B$34</definedName>
    <definedName name="OBJEKT" localSheetId="26">[4]OSNOVA!$B$34</definedName>
    <definedName name="OBJEKT" localSheetId="27">[4]OSNOVA!$B$34</definedName>
    <definedName name="OBJEKT" localSheetId="28">[4]OSNOVA!$B$34</definedName>
    <definedName name="OBJEKT" localSheetId="29">[5]OSNOVA!$B$34</definedName>
    <definedName name="OBJEKT" localSheetId="30">[4]OSNOVA!$B$34</definedName>
    <definedName name="OBJEKT" localSheetId="31">[5]OSNOVA!$B$34</definedName>
    <definedName name="OBJEKT" localSheetId="21">[4]OSNOVA!$B$34</definedName>
    <definedName name="OBJEKT" localSheetId="34">[4]OSNOVA!$B$34</definedName>
    <definedName name="OBJEKT" localSheetId="22">[4]OSNOVA!$B$34</definedName>
    <definedName name="OBJEKT">[1]OSNOVA!$B$35</definedName>
    <definedName name="OZN" localSheetId="2">[6]OSNOVA!$B$34</definedName>
    <definedName name="OZN" localSheetId="3">[6]OSNOVA!$B$34</definedName>
    <definedName name="OZN" localSheetId="4">[6]OSNOVA!$B$34</definedName>
    <definedName name="OZN" localSheetId="14">[1]OSNOVA!$B$33</definedName>
    <definedName name="OZN" localSheetId="15">[2]OSNOVA!$B$33</definedName>
    <definedName name="OZN" localSheetId="16">[3]OSNOVA!$B$33</definedName>
    <definedName name="OZN" localSheetId="18">[7]OSNOVA!$B$34</definedName>
    <definedName name="OZN" localSheetId="19">[7]OSNOVA!$B$34</definedName>
    <definedName name="OZN" localSheetId="20">[7]OSNOVA!$B$34</definedName>
    <definedName name="OZN" localSheetId="23">[4]OSNOVA!$B$32</definedName>
    <definedName name="OZN" localSheetId="32">[4]OSNOVA!$B$32</definedName>
    <definedName name="OZN" localSheetId="33">[4]OSNOVA!$B$32</definedName>
    <definedName name="OZN" localSheetId="24">[4]OSNOVA!$B$32</definedName>
    <definedName name="OZN" localSheetId="25">[4]OSNOVA!$B$32</definedName>
    <definedName name="OZN" localSheetId="26">[4]OSNOVA!$B$32</definedName>
    <definedName name="OZN" localSheetId="27">[4]OSNOVA!$B$32</definedName>
    <definedName name="OZN" localSheetId="28">[4]OSNOVA!$B$32</definedName>
    <definedName name="OZN" localSheetId="29">[5]OSNOVA!$B$32</definedName>
    <definedName name="OZN" localSheetId="30">[4]OSNOVA!$B$32</definedName>
    <definedName name="OZN" localSheetId="31">[5]OSNOVA!$B$32</definedName>
    <definedName name="OZN" localSheetId="1">[6]OSNOVA!$B$34</definedName>
    <definedName name="OZN" localSheetId="12">[6]OSNOVA!$B$34</definedName>
    <definedName name="OZN" localSheetId="17">[7]OSNOVA!$B$34</definedName>
    <definedName name="OZN" localSheetId="21">[4]OSNOVA!$B$32</definedName>
    <definedName name="OZN" localSheetId="34">[4]OSNOVA!$B$32</definedName>
    <definedName name="OZN" localSheetId="13">[1]OSNOVA!$B$33</definedName>
    <definedName name="OZN" localSheetId="22">[4]OSNOVA!$B$32</definedName>
    <definedName name="OZN">[8]OSNOVA!$B$34</definedName>
    <definedName name="_xlnm.Print_Area" localSheetId="2">'3.1.1'!$A$1:$G$85</definedName>
    <definedName name="_xlnm.Print_Area" localSheetId="3">'3.1.2'!$A$1:$G$715</definedName>
    <definedName name="_xlnm.Print_Area" localSheetId="6">'3.2'!$A$1:$G$201</definedName>
    <definedName name="_xlnm.Print_Area" localSheetId="11">'3.4'!$A$1:$F$89</definedName>
    <definedName name="_xlnm.Print_Area" localSheetId="14">'3.5.1'!$A$1:$G$64</definedName>
    <definedName name="_xlnm.Print_Area" localSheetId="15">'3.5.2'!$A$1:$G$206</definedName>
    <definedName name="_xlnm.Print_Area" localSheetId="16">'3.5.3'!$A$1:$G$199</definedName>
    <definedName name="_xlnm.Print_Area" localSheetId="23">'4.1'!$A$1:$G$73</definedName>
    <definedName name="_xlnm.Print_Area" localSheetId="32">'4.10'!$A$1:$G$44</definedName>
    <definedName name="_xlnm.Print_Area" localSheetId="33">'4.11'!$A$1:$G$65</definedName>
    <definedName name="_xlnm.Print_Area" localSheetId="24">'4.2'!$A$1:$G$45</definedName>
    <definedName name="_xlnm.Print_Area" localSheetId="25">'4.3'!$A$1:$G$59</definedName>
    <definedName name="_xlnm.Print_Area" localSheetId="26">'4.4'!$A$1:$G$46</definedName>
    <definedName name="_xlnm.Print_Area" localSheetId="27">'4.5'!$A$1:$G$59</definedName>
    <definedName name="_xlnm.Print_Area" localSheetId="28">'4.6'!$A$1:$G$217</definedName>
    <definedName name="_xlnm.Print_Area" localSheetId="29">'4.7'!$A$1:$G$240</definedName>
    <definedName name="_xlnm.Print_Area" localSheetId="30">'4.8'!$A$1:$G$209</definedName>
    <definedName name="_xlnm.Print_Area" localSheetId="31">'4.9'!$A$1:$G$114</definedName>
    <definedName name="_xlnm.Print_Area" localSheetId="36">'5.1'!$A$1:$F$21</definedName>
    <definedName name="_xlnm.Print_Area" localSheetId="37">'5.2'!$A$1:$F$58</definedName>
    <definedName name="_xlnm.Print_Area" localSheetId="5">'Rekapitulacija 3.2'!$A$1:$J$42</definedName>
    <definedName name="_xlnm.Print_Area" localSheetId="7">'Rekapitulacija 3.3'!$A$1:$H$34</definedName>
    <definedName name="_xlnm.Print_Area" localSheetId="10">'Rekapitulacija 3.4'!$A$1:$H$24</definedName>
    <definedName name="_xlnm.Print_Area" localSheetId="21">'Rekapitulacija 4'!$A$1:$F$34</definedName>
    <definedName name="_xlnm.Print_Area" localSheetId="34">'Rekapitulacija 5'!$A$1:$F$22</definedName>
    <definedName name="_xlnm.Print_Area" localSheetId="35">'Splošne opombe k popisu del'!$A$1:$B$44</definedName>
    <definedName name="_xlnm.Print_Area" localSheetId="13">'UVOD V PREDRAČUN 3.5'!$A$1:$C$184</definedName>
    <definedName name="_xlnm.Print_Area" localSheetId="22">'UVOD V PREDRAČUN 4'!$A$1:$B$30</definedName>
    <definedName name="Reviz" localSheetId="14">[1]OSNOVA!#REF!</definedName>
    <definedName name="Reviz" localSheetId="15">[2]OSNOVA!#REF!</definedName>
    <definedName name="Reviz" localSheetId="16">[3]OSNOVA!#REF!</definedName>
    <definedName name="Reviz" localSheetId="19">[1]OSNOVA!#REF!</definedName>
    <definedName name="Reviz" localSheetId="20">[1]OSNOVA!#REF!</definedName>
    <definedName name="Reviz" localSheetId="23">[4]OSNOVA!#REF!</definedName>
    <definedName name="Reviz" localSheetId="32">[4]OSNOVA!#REF!</definedName>
    <definedName name="Reviz" localSheetId="33">[4]OSNOVA!#REF!</definedName>
    <definedName name="Reviz" localSheetId="24">[4]OSNOVA!#REF!</definedName>
    <definedName name="Reviz" localSheetId="25">[4]OSNOVA!#REF!</definedName>
    <definedName name="Reviz" localSheetId="26">[4]OSNOVA!#REF!</definedName>
    <definedName name="Reviz" localSheetId="27">[4]OSNOVA!#REF!</definedName>
    <definedName name="Reviz" localSheetId="28">[4]OSNOVA!#REF!</definedName>
    <definedName name="Reviz" localSheetId="29">[5]OSNOVA!#REF!</definedName>
    <definedName name="Reviz" localSheetId="30">[4]OSNOVA!#REF!</definedName>
    <definedName name="Reviz" localSheetId="31">[5]OSNOVA!#REF!</definedName>
    <definedName name="Reviz" localSheetId="37">[1]OSNOVA!#REF!</definedName>
    <definedName name="Reviz" localSheetId="21">[4]OSNOVA!#REF!</definedName>
    <definedName name="Reviz" localSheetId="34">[4]OSNOVA!#REF!</definedName>
    <definedName name="Reviz" localSheetId="13">[1]OSNOVA!#REF!</definedName>
    <definedName name="Reviz" localSheetId="22">[4]OSNOVA!#REF!</definedName>
    <definedName name="Reviz">[1]OSNOVA!#REF!</definedName>
    <definedName name="stmape" localSheetId="14">[1]OSNOVA!#REF!</definedName>
    <definedName name="stmape" localSheetId="15">[2]OSNOVA!#REF!</definedName>
    <definedName name="stmape" localSheetId="16">[3]OSNOVA!#REF!</definedName>
    <definedName name="stmape" localSheetId="19">[1]OSNOVA!#REF!</definedName>
    <definedName name="stmape" localSheetId="20">[1]OSNOVA!#REF!</definedName>
    <definedName name="stmape" localSheetId="23">[4]OSNOVA!#REF!</definedName>
    <definedName name="stmape" localSheetId="32">[4]OSNOVA!#REF!</definedName>
    <definedName name="stmape" localSheetId="33">[4]OSNOVA!#REF!</definedName>
    <definedName name="stmape" localSheetId="24">[4]OSNOVA!#REF!</definedName>
    <definedName name="stmape" localSheetId="25">[4]OSNOVA!#REF!</definedName>
    <definedName name="stmape" localSheetId="26">[4]OSNOVA!#REF!</definedName>
    <definedName name="stmape" localSheetId="27">[4]OSNOVA!#REF!</definedName>
    <definedName name="stmape" localSheetId="28">[4]OSNOVA!#REF!</definedName>
    <definedName name="stmape" localSheetId="29">[5]OSNOVA!#REF!</definedName>
    <definedName name="stmape" localSheetId="30">[4]OSNOVA!#REF!</definedName>
    <definedName name="stmape" localSheetId="31">[5]OSNOVA!#REF!</definedName>
    <definedName name="stmape" localSheetId="37">[1]OSNOVA!#REF!</definedName>
    <definedName name="stmape" localSheetId="21">[4]OSNOVA!#REF!</definedName>
    <definedName name="stmape" localSheetId="34">[4]OSNOVA!#REF!</definedName>
    <definedName name="stmape" localSheetId="13">[1]OSNOVA!#REF!</definedName>
    <definedName name="stmape" localSheetId="22">[4]OSNOVA!#REF!</definedName>
    <definedName name="stmape">[1]OSNOVA!#REF!</definedName>
    <definedName name="stnac" localSheetId="14">[1]OSNOVA!#REF!</definedName>
    <definedName name="stnac" localSheetId="15">[2]OSNOVA!#REF!</definedName>
    <definedName name="stnac" localSheetId="16">[3]OSNOVA!#REF!</definedName>
    <definedName name="stnac" localSheetId="19">[1]OSNOVA!#REF!</definedName>
    <definedName name="stnac" localSheetId="20">[1]OSNOVA!#REF!</definedName>
    <definedName name="stnac" localSheetId="23">[4]OSNOVA!#REF!</definedName>
    <definedName name="stnac" localSheetId="32">[4]OSNOVA!#REF!</definedName>
    <definedName name="stnac" localSheetId="33">[4]OSNOVA!#REF!</definedName>
    <definedName name="stnac" localSheetId="24">[4]OSNOVA!#REF!</definedName>
    <definedName name="stnac" localSheetId="25">[4]OSNOVA!#REF!</definedName>
    <definedName name="stnac" localSheetId="26">[4]OSNOVA!#REF!</definedName>
    <definedName name="stnac" localSheetId="27">[4]OSNOVA!#REF!</definedName>
    <definedName name="stnac" localSheetId="28">[4]OSNOVA!#REF!</definedName>
    <definedName name="stnac" localSheetId="29">[5]OSNOVA!#REF!</definedName>
    <definedName name="stnac" localSheetId="30">[4]OSNOVA!#REF!</definedName>
    <definedName name="stnac" localSheetId="31">[5]OSNOVA!#REF!</definedName>
    <definedName name="stnac" localSheetId="37">[1]OSNOVA!#REF!</definedName>
    <definedName name="stnac" localSheetId="21">[4]OSNOVA!#REF!</definedName>
    <definedName name="stnac" localSheetId="34">[4]OSNOVA!#REF!</definedName>
    <definedName name="stnac" localSheetId="13">[1]OSNOVA!#REF!</definedName>
    <definedName name="stnac" localSheetId="22">[4]OSNOVA!#REF!</definedName>
    <definedName name="stnac">[1]OSNOVA!#REF!</definedName>
    <definedName name="stpro" localSheetId="14">[1]OSNOVA!#REF!</definedName>
    <definedName name="stpro" localSheetId="15">[2]OSNOVA!#REF!</definedName>
    <definedName name="stpro" localSheetId="16">[3]OSNOVA!#REF!</definedName>
    <definedName name="stpro" localSheetId="19">[1]OSNOVA!#REF!</definedName>
    <definedName name="stpro" localSheetId="20">[1]OSNOVA!#REF!</definedName>
    <definedName name="stpro" localSheetId="23">[4]OSNOVA!#REF!</definedName>
    <definedName name="stpro" localSheetId="32">[4]OSNOVA!#REF!</definedName>
    <definedName name="stpro" localSheetId="33">[4]OSNOVA!#REF!</definedName>
    <definedName name="stpro" localSheetId="24">[4]OSNOVA!#REF!</definedName>
    <definedName name="stpro" localSheetId="25">[4]OSNOVA!#REF!</definedName>
    <definedName name="stpro" localSheetId="26">[4]OSNOVA!#REF!</definedName>
    <definedName name="stpro" localSheetId="27">[4]OSNOVA!#REF!</definedName>
    <definedName name="stpro" localSheetId="28">[4]OSNOVA!#REF!</definedName>
    <definedName name="stpro" localSheetId="29">[5]OSNOVA!#REF!</definedName>
    <definedName name="stpro" localSheetId="30">[4]OSNOVA!#REF!</definedName>
    <definedName name="stpro" localSheetId="31">[5]OSNOVA!#REF!</definedName>
    <definedName name="stpro" localSheetId="37">[1]OSNOVA!#REF!</definedName>
    <definedName name="stpro" localSheetId="21">[4]OSNOVA!#REF!</definedName>
    <definedName name="stpro" localSheetId="34">[4]OSNOVA!#REF!</definedName>
    <definedName name="stpro" localSheetId="13">[1]OSNOVA!#REF!</definedName>
    <definedName name="stpro" localSheetId="22">[4]OSNOVA!#REF!</definedName>
    <definedName name="stpro">[1]OSNOVA!#REF!</definedName>
    <definedName name="TecEURO">[10]osnova!$B$12</definedName>
    <definedName name="_xlnm.Print_Titles" localSheetId="14">'3.5.1'!$9:$10</definedName>
    <definedName name="_xlnm.Print_Titles" localSheetId="15">'3.5.2'!$8:$9</definedName>
    <definedName name="_xlnm.Print_Titles" localSheetId="16">'3.5.3'!$9:$10</definedName>
    <definedName name="_xlnm.Print_Titles" localSheetId="23">'4.1'!$5:$5</definedName>
    <definedName name="_xlnm.Print_Titles" localSheetId="32">'4.10'!$6:$6</definedName>
    <definedName name="_xlnm.Print_Titles" localSheetId="33">'4.11'!$6:$6</definedName>
    <definedName name="_xlnm.Print_Titles" localSheetId="24">'4.2'!$6:$6</definedName>
    <definedName name="_xlnm.Print_Titles" localSheetId="25">'4.3'!$5:$5</definedName>
    <definedName name="_xlnm.Print_Titles" localSheetId="26">'4.4'!$6:$6</definedName>
    <definedName name="_xlnm.Print_Titles" localSheetId="27">'4.5'!$6:$6</definedName>
    <definedName name="_xlnm.Print_Titles" localSheetId="28">'4.6'!$6:$6</definedName>
    <definedName name="_xlnm.Print_Titles" localSheetId="29">'4.7'!$6:$6</definedName>
    <definedName name="_xlnm.Print_Titles" localSheetId="30">'4.8'!$6:$6</definedName>
    <definedName name="_xlnm.Print_Titles" localSheetId="31">'4.9'!$6:$6</definedName>
    <definedName name="_xlnm.Print_Titles" localSheetId="13">'UVOD V PREDRAČUN 3.5'!$5:$6</definedName>
    <definedName name="tocka" localSheetId="14">[1]OSNOVA!#REF!</definedName>
    <definedName name="tocka" localSheetId="15">[2]OSNOVA!#REF!</definedName>
    <definedName name="tocka" localSheetId="16">[3]OSNOVA!#REF!</definedName>
    <definedName name="tocka" localSheetId="19">[1]OSNOVA!#REF!</definedName>
    <definedName name="tocka" localSheetId="20">[1]OSNOVA!#REF!</definedName>
    <definedName name="tocka" localSheetId="23">[4]OSNOVA!#REF!</definedName>
    <definedName name="tocka" localSheetId="32">[4]OSNOVA!#REF!</definedName>
    <definedName name="tocka" localSheetId="33">[4]OSNOVA!#REF!</definedName>
    <definedName name="tocka" localSheetId="24">[4]OSNOVA!#REF!</definedName>
    <definedName name="tocka" localSheetId="25">[4]OSNOVA!#REF!</definedName>
    <definedName name="tocka" localSheetId="26">[4]OSNOVA!#REF!</definedName>
    <definedName name="tocka" localSheetId="27">[4]OSNOVA!#REF!</definedName>
    <definedName name="tocka" localSheetId="28">[4]OSNOVA!#REF!</definedName>
    <definedName name="tocka" localSheetId="29">[5]OSNOVA!#REF!</definedName>
    <definedName name="tocka" localSheetId="30">[4]OSNOVA!#REF!</definedName>
    <definedName name="tocka" localSheetId="31">[5]OSNOVA!#REF!</definedName>
    <definedName name="tocka" localSheetId="37">[1]OSNOVA!#REF!</definedName>
    <definedName name="tocka" localSheetId="21">[4]OSNOVA!#REF!</definedName>
    <definedName name="tocka" localSheetId="34">[4]OSNOVA!#REF!</definedName>
    <definedName name="tocka" localSheetId="13">[1]OSNOVA!#REF!</definedName>
    <definedName name="tocka" localSheetId="22">[4]OSNOVA!#REF!</definedName>
    <definedName name="tocka">[1]OSNOVA!#REF!</definedName>
    <definedName name="ughdilu">[11]OSNOVA!$B$36</definedName>
    <definedName name="Vodovod" localSheetId="15">[2]OSNOVA!#REF!</definedName>
    <definedName name="Vodovod" localSheetId="16">[3]OSNOVA!#REF!</definedName>
    <definedName name="Vodovod" localSheetId="19">[1]OSNOVA!#REF!</definedName>
    <definedName name="Vodovod" localSheetId="20">[1]OSNOVA!#REF!</definedName>
    <definedName name="Vodovod" localSheetId="37">[1]OSNOVA!#REF!</definedName>
    <definedName name="Vodovod" localSheetId="34">[1]OSNOVA!#REF!</definedName>
    <definedName name="Vodovod">[1]OSNOVA!#REF!</definedName>
    <definedName name="ž" localSheetId="15">[2]OSNOVA!#REF!</definedName>
    <definedName name="ž" localSheetId="16">[3]OSNOVA!#REF!</definedName>
    <definedName name="ž" localSheetId="19">[1]OSNOVA!#REF!</definedName>
    <definedName name="ž" localSheetId="20">[1]OSNOVA!#REF!</definedName>
    <definedName name="ž" localSheetId="37">[1]OSNOVA!#REF!</definedName>
    <definedName name="ž" localSheetId="34">[1]OSNOVA!#REF!</definedName>
    <definedName name="ž">[1]OSNOVA!#REF!</definedName>
  </definedNames>
  <calcPr calcId="162913" fullPrecision="0"/>
</workbook>
</file>

<file path=xl/calcChain.xml><?xml version="1.0" encoding="utf-8"?>
<calcChain xmlns="http://schemas.openxmlformats.org/spreadsheetml/2006/main">
  <c r="G11" i="56" l="1"/>
  <c r="G101" i="75" l="1"/>
  <c r="G99" i="75"/>
  <c r="G97" i="75"/>
  <c r="G95" i="75"/>
  <c r="G93" i="75"/>
  <c r="G91" i="75"/>
  <c r="G85" i="75"/>
  <c r="G83" i="75"/>
  <c r="G81" i="75"/>
  <c r="G79" i="75"/>
  <c r="G77" i="75"/>
  <c r="G75" i="75"/>
  <c r="G73" i="75"/>
  <c r="G68" i="75"/>
  <c r="G66" i="75"/>
  <c r="G64" i="75"/>
  <c r="G62" i="75"/>
  <c r="G60" i="75"/>
  <c r="G53" i="75"/>
  <c r="G51" i="75"/>
  <c r="G49" i="75"/>
  <c r="G47" i="75"/>
  <c r="G45" i="75"/>
  <c r="G43" i="75"/>
  <c r="G40" i="75"/>
  <c r="G38" i="75"/>
  <c r="G36" i="75"/>
  <c r="G34" i="75"/>
  <c r="G32" i="75"/>
  <c r="G30" i="75"/>
  <c r="G27" i="75"/>
  <c r="G24" i="75"/>
  <c r="G22" i="75"/>
  <c r="G20" i="75"/>
  <c r="G18" i="75"/>
  <c r="G55" i="75" s="1"/>
  <c r="G108" i="75" s="1"/>
  <c r="G12" i="75"/>
  <c r="G15" i="75" s="1"/>
  <c r="G107" i="75" s="1"/>
  <c r="G60" i="53"/>
  <c r="G227" i="74"/>
  <c r="G210" i="74"/>
  <c r="G234" i="74" s="1"/>
  <c r="G199" i="74"/>
  <c r="G177" i="74"/>
  <c r="G122" i="74"/>
  <c r="G231" i="74" s="1"/>
  <c r="G61" i="74"/>
  <c r="G59" i="74"/>
  <c r="G57" i="74"/>
  <c r="G55" i="74"/>
  <c r="G53" i="74"/>
  <c r="G51" i="74"/>
  <c r="G49" i="74"/>
  <c r="G47" i="74"/>
  <c r="G45" i="74"/>
  <c r="G43" i="74"/>
  <c r="G41" i="74"/>
  <c r="G39" i="74"/>
  <c r="G37" i="74"/>
  <c r="G35" i="74"/>
  <c r="G33" i="74"/>
  <c r="G31" i="74"/>
  <c r="G29" i="74"/>
  <c r="G27" i="74"/>
  <c r="G25" i="74"/>
  <c r="G23" i="74"/>
  <c r="G21" i="74"/>
  <c r="G19" i="74"/>
  <c r="G17" i="74"/>
  <c r="G235" i="74"/>
  <c r="G233" i="74"/>
  <c r="G232" i="74"/>
  <c r="G226" i="74"/>
  <c r="G224" i="74"/>
  <c r="G222" i="74"/>
  <c r="G220" i="74"/>
  <c r="G218" i="74"/>
  <c r="G216" i="74"/>
  <c r="G214" i="74"/>
  <c r="G209" i="74"/>
  <c r="G207" i="74"/>
  <c r="G205" i="74"/>
  <c r="G203" i="74"/>
  <c r="G198" i="74"/>
  <c r="G196" i="74"/>
  <c r="G194" i="74"/>
  <c r="G192" i="74"/>
  <c r="G190" i="74"/>
  <c r="G186" i="74"/>
  <c r="G184" i="74"/>
  <c r="G182" i="74"/>
  <c r="G180" i="74"/>
  <c r="G176" i="74"/>
  <c r="G174" i="74"/>
  <c r="G172" i="74"/>
  <c r="G169" i="74"/>
  <c r="G167" i="74"/>
  <c r="G165" i="74"/>
  <c r="G163" i="74"/>
  <c r="G161" i="74"/>
  <c r="G159" i="74"/>
  <c r="G157" i="74"/>
  <c r="G155" i="74"/>
  <c r="G153" i="74"/>
  <c r="G151" i="74"/>
  <c r="G149" i="74"/>
  <c r="G147" i="74"/>
  <c r="G145" i="74"/>
  <c r="G121" i="74"/>
  <c r="G120" i="74"/>
  <c r="G118" i="74"/>
  <c r="G116" i="74"/>
  <c r="G114" i="74"/>
  <c r="G112" i="74"/>
  <c r="G110" i="74"/>
  <c r="G108" i="74"/>
  <c r="G106" i="74"/>
  <c r="G105" i="74"/>
  <c r="G104" i="74"/>
  <c r="G102" i="74"/>
  <c r="G100" i="74"/>
  <c r="G98" i="74"/>
  <c r="G96" i="74"/>
  <c r="G94" i="74"/>
  <c r="G92" i="74"/>
  <c r="G90" i="74"/>
  <c r="G88" i="74"/>
  <c r="G86" i="74"/>
  <c r="G84" i="74"/>
  <c r="G82" i="74"/>
  <c r="G80" i="74"/>
  <c r="G78" i="74"/>
  <c r="G76" i="74"/>
  <c r="G74" i="74"/>
  <c r="G72" i="74"/>
  <c r="G70" i="74"/>
  <c r="G68" i="74"/>
  <c r="G82" i="24"/>
  <c r="G80" i="24"/>
  <c r="G78" i="24"/>
  <c r="G76" i="24"/>
  <c r="G74" i="24"/>
  <c r="G72" i="24"/>
  <c r="G70" i="24"/>
  <c r="G68" i="24"/>
  <c r="G66" i="24"/>
  <c r="G64" i="24"/>
  <c r="G62" i="24"/>
  <c r="G60" i="24"/>
  <c r="G691" i="35"/>
  <c r="G689" i="35"/>
  <c r="G688" i="35"/>
  <c r="G683" i="35"/>
  <c r="G681" i="35"/>
  <c r="G677" i="35"/>
  <c r="G675" i="35"/>
  <c r="G576" i="35"/>
  <c r="G574" i="35"/>
  <c r="G572" i="35"/>
  <c r="G570" i="35"/>
  <c r="G568" i="35"/>
  <c r="G566" i="35"/>
  <c r="G564" i="35"/>
  <c r="G559" i="35"/>
  <c r="G557" i="35"/>
  <c r="G555" i="35"/>
  <c r="G551" i="35"/>
  <c r="G549" i="35"/>
  <c r="G547" i="35"/>
  <c r="G543" i="35"/>
  <c r="G541" i="35"/>
  <c r="G539" i="35"/>
  <c r="G535" i="35"/>
  <c r="G533" i="35"/>
  <c r="G531" i="35"/>
  <c r="G529" i="35"/>
  <c r="G527" i="35"/>
  <c r="G525" i="35"/>
  <c r="G523" i="35"/>
  <c r="G519" i="35"/>
  <c r="G517" i="35"/>
  <c r="G515" i="35"/>
  <c r="G513" i="35"/>
  <c r="G511" i="35"/>
  <c r="G509" i="35"/>
  <c r="G507" i="35"/>
  <c r="G503" i="35"/>
  <c r="G501" i="35"/>
  <c r="G500" i="35"/>
  <c r="G499" i="35"/>
  <c r="G498" i="35"/>
  <c r="G495" i="35"/>
  <c r="G493" i="35"/>
  <c r="G297" i="35"/>
  <c r="G295" i="35"/>
  <c r="G294" i="35"/>
  <c r="G293" i="35"/>
  <c r="G385" i="35"/>
  <c r="G383" i="35"/>
  <c r="G382" i="35"/>
  <c r="G379" i="35"/>
  <c r="G377" i="35"/>
  <c r="G375" i="35"/>
  <c r="G371" i="35"/>
  <c r="G369" i="35"/>
  <c r="G367" i="35"/>
  <c r="G365" i="35"/>
  <c r="G363" i="35"/>
  <c r="G361" i="35"/>
  <c r="G357" i="35"/>
  <c r="G355" i="35"/>
  <c r="G354" i="35"/>
  <c r="G351" i="35"/>
  <c r="G349" i="35"/>
  <c r="G263" i="35"/>
  <c r="G261" i="35"/>
  <c r="G259" i="35"/>
  <c r="G257" i="35"/>
  <c r="G255" i="35"/>
  <c r="G108" i="35"/>
  <c r="G179" i="35"/>
  <c r="G177" i="35"/>
  <c r="G175" i="35"/>
  <c r="G173" i="35"/>
  <c r="G171" i="35"/>
  <c r="G167" i="35"/>
  <c r="G165" i="35"/>
  <c r="G163" i="35"/>
  <c r="G161" i="35"/>
  <c r="G82" i="35"/>
  <c r="G80" i="35"/>
  <c r="G78" i="35"/>
  <c r="G76" i="35"/>
  <c r="G74" i="35"/>
  <c r="G72" i="35"/>
  <c r="G66" i="35"/>
  <c r="G64" i="35"/>
  <c r="G62" i="35"/>
  <c r="G68" i="35" s="1"/>
  <c r="G7" i="35" s="1"/>
  <c r="G10" i="35" s="1"/>
  <c r="G63" i="31"/>
  <c r="G61" i="31"/>
  <c r="G65" i="31" s="1"/>
  <c r="G6" i="31" s="1"/>
  <c r="G8" i="31" s="1"/>
  <c r="G19" i="34" s="1"/>
  <c r="G34" i="68"/>
  <c r="G32" i="68"/>
  <c r="G30" i="68"/>
  <c r="G28" i="68"/>
  <c r="G26" i="68"/>
  <c r="G24" i="68"/>
  <c r="G22" i="68"/>
  <c r="G20" i="68"/>
  <c r="G18" i="68"/>
  <c r="G14" i="68"/>
  <c r="F197" i="69"/>
  <c r="F195" i="69"/>
  <c r="F194" i="69"/>
  <c r="F193" i="69"/>
  <c r="F192" i="69"/>
  <c r="F191" i="69"/>
  <c r="F188" i="69"/>
  <c r="F186" i="69"/>
  <c r="F185" i="69"/>
  <c r="F184" i="69"/>
  <c r="F182" i="69"/>
  <c r="F178" i="69"/>
  <c r="F176" i="69"/>
  <c r="F175" i="69"/>
  <c r="F174" i="69"/>
  <c r="F172" i="69"/>
  <c r="F171" i="69"/>
  <c r="F170" i="69"/>
  <c r="F169" i="69"/>
  <c r="F168" i="69"/>
  <c r="F166" i="69"/>
  <c r="F162" i="69"/>
  <c r="F160" i="69"/>
  <c r="F159" i="69"/>
  <c r="F157" i="69"/>
  <c r="F156" i="69"/>
  <c r="F152" i="69"/>
  <c r="F150" i="69"/>
  <c r="F149" i="69"/>
  <c r="F148" i="69"/>
  <c r="F147" i="69"/>
  <c r="F145" i="69"/>
  <c r="F144" i="69"/>
  <c r="F143" i="69"/>
  <c r="F142" i="69"/>
  <c r="F141" i="69"/>
  <c r="F140" i="69"/>
  <c r="F138" i="69"/>
  <c r="F134" i="69"/>
  <c r="F132" i="69"/>
  <c r="F131" i="69"/>
  <c r="F130" i="69"/>
  <c r="F128" i="69"/>
  <c r="F124" i="69"/>
  <c r="F122" i="69"/>
  <c r="F121" i="69"/>
  <c r="F120" i="69"/>
  <c r="F119" i="69"/>
  <c r="F118" i="69"/>
  <c r="F117" i="69"/>
  <c r="F116" i="69"/>
  <c r="F115" i="69"/>
  <c r="F114" i="69"/>
  <c r="F113" i="69"/>
  <c r="F112" i="69"/>
  <c r="F111" i="69"/>
  <c r="F110" i="69"/>
  <c r="F109" i="69"/>
  <c r="F108" i="69"/>
  <c r="F107" i="69"/>
  <c r="F106" i="69"/>
  <c r="F105" i="69"/>
  <c r="F104" i="69"/>
  <c r="F103" i="69"/>
  <c r="F102" i="69"/>
  <c r="F101" i="69"/>
  <c r="F100" i="69"/>
  <c r="F99" i="69"/>
  <c r="F98" i="69"/>
  <c r="F97" i="69"/>
  <c r="F96" i="69"/>
  <c r="F95" i="69"/>
  <c r="F94" i="69"/>
  <c r="F93" i="69"/>
  <c r="F92" i="69"/>
  <c r="F91" i="69"/>
  <c r="F90" i="69"/>
  <c r="F88" i="69"/>
  <c r="F87" i="69"/>
  <c r="F86" i="69"/>
  <c r="F85" i="69"/>
  <c r="F84" i="69"/>
  <c r="F83" i="69"/>
  <c r="F82" i="69"/>
  <c r="F80" i="69"/>
  <c r="F79" i="69"/>
  <c r="F78" i="69"/>
  <c r="F77" i="69"/>
  <c r="F76" i="69"/>
  <c r="F75" i="69"/>
  <c r="F74" i="69"/>
  <c r="F70" i="69"/>
  <c r="F68" i="69"/>
  <c r="F67" i="69"/>
  <c r="F66" i="69"/>
  <c r="F65" i="69"/>
  <c r="F63" i="69"/>
  <c r="F62" i="69"/>
  <c r="F60" i="69"/>
  <c r="F56" i="69"/>
  <c r="F54" i="69"/>
  <c r="F49" i="69"/>
  <c r="F48" i="69"/>
  <c r="F47" i="69"/>
  <c r="F46" i="69"/>
  <c r="F45" i="69"/>
  <c r="F43" i="69"/>
  <c r="F51" i="69" s="1"/>
  <c r="G16" i="68" s="1"/>
  <c r="F39" i="69"/>
  <c r="F37" i="69"/>
  <c r="F36" i="69"/>
  <c r="F35" i="69"/>
  <c r="F34" i="69"/>
  <c r="F33" i="69"/>
  <c r="F31" i="69"/>
  <c r="F30" i="69"/>
  <c r="F29" i="69"/>
  <c r="F27" i="69"/>
  <c r="F8" i="69"/>
  <c r="F9" i="69" s="1"/>
  <c r="F23" i="69" s="1"/>
  <c r="G12" i="68" s="1"/>
  <c r="F22" i="69"/>
  <c r="F21" i="69"/>
  <c r="F20" i="69"/>
  <c r="F19" i="69"/>
  <c r="F18" i="69"/>
  <c r="F16" i="69"/>
  <c r="F15" i="69"/>
  <c r="F14" i="69"/>
  <c r="F13" i="69"/>
  <c r="F12" i="69"/>
  <c r="G19" i="70"/>
  <c r="G17" i="70"/>
  <c r="G15" i="70"/>
  <c r="F93" i="71"/>
  <c r="F91" i="71"/>
  <c r="F90" i="71"/>
  <c r="F89" i="71"/>
  <c r="F88" i="71"/>
  <c r="F85" i="71"/>
  <c r="F83" i="71"/>
  <c r="F82" i="71"/>
  <c r="F79" i="71"/>
  <c r="F77" i="71"/>
  <c r="F76" i="71"/>
  <c r="F75" i="71"/>
  <c r="F74" i="71"/>
  <c r="F73" i="71"/>
  <c r="F72" i="71"/>
  <c r="F70" i="71"/>
  <c r="F69" i="71"/>
  <c r="F66" i="71"/>
  <c r="F64" i="71"/>
  <c r="F63" i="71"/>
  <c r="F61" i="71"/>
  <c r="F58" i="71"/>
  <c r="F56" i="71"/>
  <c r="F55" i="71"/>
  <c r="F54" i="71"/>
  <c r="F51" i="71"/>
  <c r="F49" i="71"/>
  <c r="F47" i="71"/>
  <c r="F44" i="71"/>
  <c r="F43" i="71"/>
  <c r="F42" i="71"/>
  <c r="F40" i="71"/>
  <c r="F38" i="71"/>
  <c r="F37" i="71"/>
  <c r="F36" i="71"/>
  <c r="F34" i="71"/>
  <c r="F33" i="71"/>
  <c r="F32" i="71"/>
  <c r="F28" i="71"/>
  <c r="F27" i="71"/>
  <c r="F26" i="71"/>
  <c r="F25" i="71"/>
  <c r="F24" i="71"/>
  <c r="F23" i="71"/>
  <c r="F22" i="71"/>
  <c r="F21" i="71"/>
  <c r="F19" i="71"/>
  <c r="F13" i="71"/>
  <c r="F11" i="71"/>
  <c r="F10" i="71"/>
  <c r="F8" i="71"/>
  <c r="F7" i="71"/>
  <c r="G18" i="72"/>
  <c r="G16" i="72"/>
  <c r="G14" i="72"/>
  <c r="F88" i="73"/>
  <c r="F86" i="73"/>
  <c r="F85" i="73"/>
  <c r="F84" i="73"/>
  <c r="F83" i="73"/>
  <c r="F80" i="73"/>
  <c r="F78" i="73"/>
  <c r="F76" i="73"/>
  <c r="F75" i="73"/>
  <c r="F74" i="73"/>
  <c r="F73" i="73"/>
  <c r="F71" i="73"/>
  <c r="F70" i="73"/>
  <c r="F69" i="73"/>
  <c r="F66" i="73"/>
  <c r="F65" i="73"/>
  <c r="F64" i="73"/>
  <c r="F63" i="73"/>
  <c r="F61" i="73"/>
  <c r="F60" i="73"/>
  <c r="F59" i="73"/>
  <c r="F56" i="73"/>
  <c r="F55" i="73"/>
  <c r="F54" i="73"/>
  <c r="F53" i="73"/>
  <c r="F52" i="73"/>
  <c r="F51" i="73"/>
  <c r="F50" i="73"/>
  <c r="F48" i="73"/>
  <c r="F47" i="73"/>
  <c r="F46" i="73"/>
  <c r="F44" i="73"/>
  <c r="F39" i="73"/>
  <c r="F37" i="73"/>
  <c r="F35" i="73"/>
  <c r="F33" i="73"/>
  <c r="F30" i="73"/>
  <c r="F29" i="73"/>
  <c r="F27" i="73"/>
  <c r="F26" i="73"/>
  <c r="F25" i="73"/>
  <c r="F22" i="73"/>
  <c r="F21" i="73"/>
  <c r="F18" i="73"/>
  <c r="F17" i="73"/>
  <c r="F11" i="73"/>
  <c r="F9" i="73"/>
  <c r="F8" i="73"/>
  <c r="F13" i="73" s="1"/>
  <c r="G12" i="72" s="1"/>
  <c r="G20" i="72" s="1"/>
  <c r="F6" i="73"/>
  <c r="F15" i="71" l="1"/>
  <c r="G13" i="70" s="1"/>
  <c r="G21" i="70" s="1"/>
  <c r="G63" i="74"/>
  <c r="G230" i="74" s="1"/>
  <c r="G236" i="74" s="1"/>
  <c r="G84" i="24"/>
  <c r="G70" i="75"/>
  <c r="G109" i="75" s="1"/>
  <c r="G103" i="75"/>
  <c r="G111" i="75" s="1"/>
  <c r="G87" i="75"/>
  <c r="G110" i="75" s="1"/>
  <c r="G112" i="75"/>
  <c r="G36" i="68"/>
  <c r="G15" i="41"/>
  <c r="G64" i="43"/>
  <c r="G62" i="43"/>
  <c r="G53" i="43"/>
  <c r="G51" i="43"/>
  <c r="G43" i="43"/>
  <c r="G41" i="43"/>
  <c r="G39" i="43"/>
  <c r="G37" i="43"/>
  <c r="G30" i="43"/>
  <c r="G26" i="43"/>
  <c r="G17" i="43"/>
  <c r="G15" i="43"/>
  <c r="G19" i="43" s="1"/>
  <c r="G13" i="43"/>
  <c r="G206" i="44"/>
  <c r="G204" i="44"/>
  <c r="G202" i="44"/>
  <c r="G195" i="44"/>
  <c r="G193" i="44"/>
  <c r="G190" i="44"/>
  <c r="G181" i="44"/>
  <c r="G179" i="44"/>
  <c r="G177" i="44"/>
  <c r="G175" i="44"/>
  <c r="G173" i="44"/>
  <c r="G171" i="44"/>
  <c r="G169" i="44"/>
  <c r="G167" i="44"/>
  <c r="G160" i="44"/>
  <c r="G158" i="44"/>
  <c r="G156" i="44"/>
  <c r="G154" i="44"/>
  <c r="G152" i="44"/>
  <c r="G150" i="44"/>
  <c r="G148" i="44"/>
  <c r="G146" i="44"/>
  <c r="G144" i="44"/>
  <c r="G136" i="44"/>
  <c r="G134" i="44"/>
  <c r="G127" i="44"/>
  <c r="G125" i="44"/>
  <c r="G124" i="44"/>
  <c r="G123" i="44"/>
  <c r="G120" i="44"/>
  <c r="G117" i="44"/>
  <c r="G115" i="44"/>
  <c r="G113" i="44"/>
  <c r="G111" i="44"/>
  <c r="G109" i="44"/>
  <c r="G107" i="44"/>
  <c r="G105" i="44"/>
  <c r="G103" i="44"/>
  <c r="G96" i="44"/>
  <c r="G94" i="44"/>
  <c r="G92" i="44"/>
  <c r="G91" i="44"/>
  <c r="G88" i="44"/>
  <c r="G86" i="44"/>
  <c r="G84" i="44"/>
  <c r="G82" i="44"/>
  <c r="G80" i="44"/>
  <c r="G78" i="44"/>
  <c r="G76" i="44"/>
  <c r="G74" i="44"/>
  <c r="G72" i="44"/>
  <c r="G70" i="44"/>
  <c r="G68" i="44"/>
  <c r="G66" i="44"/>
  <c r="G60" i="44"/>
  <c r="G56" i="44"/>
  <c r="G48" i="44"/>
  <c r="G46" i="44"/>
  <c r="G44" i="44"/>
  <c r="G42" i="44"/>
  <c r="G40" i="44"/>
  <c r="G38" i="44"/>
  <c r="G36" i="44"/>
  <c r="G34" i="44"/>
  <c r="G32" i="44"/>
  <c r="G30" i="44"/>
  <c r="G28" i="44"/>
  <c r="G26" i="44"/>
  <c r="G24" i="44"/>
  <c r="G22" i="44"/>
  <c r="G20" i="44"/>
  <c r="G18" i="44"/>
  <c r="G16" i="44"/>
  <c r="G14" i="44"/>
  <c r="G12" i="44"/>
  <c r="G45" i="41"/>
  <c r="G44" i="41"/>
  <c r="G43" i="41"/>
  <c r="G42" i="41"/>
  <c r="G39" i="41"/>
  <c r="G38" i="41"/>
  <c r="G37" i="41"/>
  <c r="G199" i="45"/>
  <c r="G197" i="45"/>
  <c r="G195" i="45"/>
  <c r="G193" i="45"/>
  <c r="G186" i="45"/>
  <c r="G184" i="45"/>
  <c r="G181" i="45"/>
  <c r="G172" i="45"/>
  <c r="G170" i="45"/>
  <c r="G168" i="45"/>
  <c r="G166" i="45"/>
  <c r="G164" i="45"/>
  <c r="G162" i="45"/>
  <c r="G160" i="45"/>
  <c r="G158" i="45"/>
  <c r="G156" i="45"/>
  <c r="G149" i="45"/>
  <c r="G147" i="45"/>
  <c r="G145" i="45"/>
  <c r="G136" i="45"/>
  <c r="G134" i="45"/>
  <c r="G132" i="45"/>
  <c r="G130" i="45"/>
  <c r="G127" i="45"/>
  <c r="G126" i="45"/>
  <c r="G123" i="45"/>
  <c r="G122" i="45"/>
  <c r="G121" i="45"/>
  <c r="G118" i="45"/>
  <c r="G116" i="45"/>
  <c r="G114" i="45"/>
  <c r="G112" i="45"/>
  <c r="G110" i="45"/>
  <c r="G108" i="45"/>
  <c r="G106" i="45"/>
  <c r="G104" i="45"/>
  <c r="G102" i="45"/>
  <c r="G100" i="45"/>
  <c r="G93" i="45"/>
  <c r="G91" i="45"/>
  <c r="G89" i="45"/>
  <c r="G88" i="45"/>
  <c r="G85" i="45"/>
  <c r="G83" i="45"/>
  <c r="G81" i="45"/>
  <c r="G79" i="45"/>
  <c r="G77" i="45"/>
  <c r="G75" i="45"/>
  <c r="G73" i="45"/>
  <c r="G71" i="45"/>
  <c r="G69" i="45"/>
  <c r="G67" i="45"/>
  <c r="G65" i="45"/>
  <c r="G63" i="45"/>
  <c r="G61" i="45"/>
  <c r="G54" i="45"/>
  <c r="G50" i="45"/>
  <c r="G41" i="45"/>
  <c r="G39" i="45"/>
  <c r="G37" i="45"/>
  <c r="G35" i="45"/>
  <c r="G33" i="45"/>
  <c r="G31" i="45"/>
  <c r="G29" i="45"/>
  <c r="G27" i="45"/>
  <c r="G25" i="45"/>
  <c r="G23" i="45"/>
  <c r="G21" i="45"/>
  <c r="G19" i="45"/>
  <c r="G17" i="45"/>
  <c r="G15" i="45"/>
  <c r="G637" i="76"/>
  <c r="G380" i="76" s="1"/>
  <c r="G635" i="76"/>
  <c r="G633" i="76"/>
  <c r="G629" i="76"/>
  <c r="G627" i="76"/>
  <c r="G625" i="76"/>
  <c r="G623" i="76"/>
  <c r="G621" i="76"/>
  <c r="G619" i="76"/>
  <c r="G617" i="76"/>
  <c r="G616" i="76"/>
  <c r="G615" i="76"/>
  <c r="G612" i="76"/>
  <c r="G610" i="76"/>
  <c r="G608" i="76"/>
  <c r="G606" i="76"/>
  <c r="G604" i="76"/>
  <c r="G602" i="76"/>
  <c r="G598" i="76"/>
  <c r="G378" i="76" s="1"/>
  <c r="G596" i="76"/>
  <c r="G594" i="76"/>
  <c r="G592" i="76"/>
  <c r="G590" i="76"/>
  <c r="G586" i="76"/>
  <c r="G584" i="76"/>
  <c r="G582" i="76"/>
  <c r="G580" i="76"/>
  <c r="G576" i="76"/>
  <c r="G376" i="76" s="1"/>
  <c r="G574" i="76"/>
  <c r="G572" i="76"/>
  <c r="G570" i="76"/>
  <c r="G568" i="76"/>
  <c r="G566" i="76"/>
  <c r="G562" i="76"/>
  <c r="G560" i="76"/>
  <c r="G558" i="76"/>
  <c r="G556" i="76"/>
  <c r="G554" i="76"/>
  <c r="G552" i="76"/>
  <c r="G550" i="76"/>
  <c r="G548" i="76"/>
  <c r="G544" i="76"/>
  <c r="G374" i="76" s="1"/>
  <c r="G542" i="76"/>
  <c r="G540" i="76"/>
  <c r="G538" i="76"/>
  <c r="G536" i="76"/>
  <c r="G532" i="76"/>
  <c r="G530" i="76"/>
  <c r="G528" i="76"/>
  <c r="G526" i="76"/>
  <c r="G524" i="76"/>
  <c r="G503" i="76"/>
  <c r="G501" i="76"/>
  <c r="G499" i="76"/>
  <c r="G497" i="76"/>
  <c r="G495" i="76"/>
  <c r="G493" i="76"/>
  <c r="G492" i="76"/>
  <c r="G489" i="76"/>
  <c r="G487" i="76"/>
  <c r="G485" i="76"/>
  <c r="G483" i="76"/>
  <c r="G481" i="76"/>
  <c r="G479" i="76"/>
  <c r="G477" i="76"/>
  <c r="G475" i="76"/>
  <c r="G471" i="76"/>
  <c r="G365" i="76" s="1"/>
  <c r="G469" i="76"/>
  <c r="G465" i="76"/>
  <c r="G463" i="76"/>
  <c r="G461" i="76"/>
  <c r="G457" i="76"/>
  <c r="G363" i="76" s="1"/>
  <c r="G455" i="76"/>
  <c r="G453" i="76"/>
  <c r="G451" i="76"/>
  <c r="G449" i="76"/>
  <c r="G447" i="76"/>
  <c r="G445" i="76"/>
  <c r="G441" i="76"/>
  <c r="G439" i="76"/>
  <c r="G438" i="76"/>
  <c r="G435" i="76"/>
  <c r="G433" i="76"/>
  <c r="G431" i="76"/>
  <c r="G429" i="76"/>
  <c r="G427" i="76"/>
  <c r="G425" i="76"/>
  <c r="G423" i="76"/>
  <c r="G421" i="76"/>
  <c r="G417" i="76"/>
  <c r="G361" i="76" s="1"/>
  <c r="G415" i="76"/>
  <c r="G377" i="76"/>
  <c r="G375" i="76"/>
  <c r="G373" i="76"/>
  <c r="G364" i="76"/>
  <c r="G354" i="76"/>
  <c r="G197" i="76"/>
  <c r="G199" i="76" s="1"/>
  <c r="G196" i="76"/>
  <c r="G195" i="76"/>
  <c r="G194" i="76"/>
  <c r="G193" i="76"/>
  <c r="G192" i="76"/>
  <c r="G185" i="76"/>
  <c r="G183" i="76"/>
  <c r="G181" i="76"/>
  <c r="G177" i="76"/>
  <c r="G175" i="76"/>
  <c r="G171" i="76"/>
  <c r="G169" i="76"/>
  <c r="G167" i="76"/>
  <c r="G352" i="76"/>
  <c r="G350" i="76"/>
  <c r="G348" i="76"/>
  <c r="G346" i="76"/>
  <c r="G344" i="76"/>
  <c r="G338" i="76"/>
  <c r="G336" i="76"/>
  <c r="G334" i="76"/>
  <c r="G332" i="76"/>
  <c r="G330" i="76"/>
  <c r="G328" i="76"/>
  <c r="G326" i="76"/>
  <c r="G324" i="76"/>
  <c r="G322" i="76"/>
  <c r="G320" i="76"/>
  <c r="G318" i="76"/>
  <c r="G316" i="76"/>
  <c r="G310" i="76"/>
  <c r="G308" i="76"/>
  <c r="G306" i="76"/>
  <c r="G304" i="76"/>
  <c r="G302" i="76"/>
  <c r="G296" i="76"/>
  <c r="G294" i="76"/>
  <c r="G292" i="76"/>
  <c r="G290" i="76"/>
  <c r="G288" i="76"/>
  <c r="G282" i="76"/>
  <c r="G280" i="76"/>
  <c r="G278" i="76"/>
  <c r="G276" i="76"/>
  <c r="G274" i="76"/>
  <c r="G272" i="76"/>
  <c r="G270" i="76"/>
  <c r="G268" i="76"/>
  <c r="G266" i="76"/>
  <c r="G264" i="76"/>
  <c r="G262" i="76"/>
  <c r="G256" i="76"/>
  <c r="G254" i="76"/>
  <c r="G253" i="76"/>
  <c r="G252" i="76"/>
  <c r="G249" i="76"/>
  <c r="G247" i="76"/>
  <c r="G105" i="76"/>
  <c r="G103" i="76"/>
  <c r="G101" i="76"/>
  <c r="G97" i="76"/>
  <c r="G95" i="76"/>
  <c r="G93" i="76"/>
  <c r="G89" i="76"/>
  <c r="G87" i="76"/>
  <c r="G85" i="76"/>
  <c r="G83" i="76"/>
  <c r="G79" i="76"/>
  <c r="G77" i="76"/>
  <c r="G75" i="76"/>
  <c r="G73" i="76"/>
  <c r="G71" i="76"/>
  <c r="G69" i="76"/>
  <c r="G67" i="76"/>
  <c r="G61" i="76"/>
  <c r="G59" i="76"/>
  <c r="G50" i="44" l="1"/>
  <c r="G43" i="45"/>
  <c r="G36" i="41" s="1"/>
  <c r="G63" i="76"/>
  <c r="G6" i="76" s="1"/>
  <c r="G41" i="41"/>
  <c r="G35" i="41"/>
  <c r="G33" i="41" s="1"/>
  <c r="G10" i="76"/>
  <c r="G9" i="76"/>
  <c r="G8" i="76"/>
  <c r="G7" i="76"/>
  <c r="G112" i="49"/>
  <c r="G10" i="49" s="1"/>
  <c r="G110" i="49"/>
  <c r="G109" i="49"/>
  <c r="G108" i="49"/>
  <c r="G105" i="49"/>
  <c r="G101" i="49"/>
  <c r="G9" i="49" s="1"/>
  <c r="G99" i="49"/>
  <c r="G97" i="49"/>
  <c r="G93" i="49"/>
  <c r="G91" i="49"/>
  <c r="G89" i="49"/>
  <c r="G87" i="49"/>
  <c r="G85" i="49"/>
  <c r="G77" i="49"/>
  <c r="G76" i="49"/>
  <c r="G75" i="49"/>
  <c r="G74" i="49"/>
  <c r="G71" i="49"/>
  <c r="G69" i="49"/>
  <c r="G67" i="49"/>
  <c r="G66" i="49"/>
  <c r="G65" i="49"/>
  <c r="G62" i="49"/>
  <c r="G8" i="49"/>
  <c r="G87" i="50"/>
  <c r="G85" i="50"/>
  <c r="G84" i="50"/>
  <c r="G79" i="50"/>
  <c r="G8" i="50" s="1"/>
  <c r="G77" i="50"/>
  <c r="G75" i="50"/>
  <c r="G73" i="50"/>
  <c r="G67" i="50"/>
  <c r="G66" i="50"/>
  <c r="G65" i="50"/>
  <c r="G64" i="50"/>
  <c r="G62" i="50"/>
  <c r="G69" i="50" s="1"/>
  <c r="G7" i="50" s="1"/>
  <c r="G9" i="50"/>
  <c r="G42" i="53"/>
  <c r="G40" i="53"/>
  <c r="G38" i="53"/>
  <c r="G36" i="53"/>
  <c r="G34" i="53"/>
  <c r="G16" i="53"/>
  <c r="G14" i="53"/>
  <c r="G12" i="53"/>
  <c r="G30" i="54"/>
  <c r="G28" i="54"/>
  <c r="G26" i="54"/>
  <c r="G24" i="54"/>
  <c r="G22" i="54"/>
  <c r="G20" i="54"/>
  <c r="G18" i="54"/>
  <c r="G16" i="54"/>
  <c r="G14" i="54"/>
  <c r="G12" i="54"/>
  <c r="G42" i="55"/>
  <c r="G40" i="55"/>
  <c r="G38" i="55"/>
  <c r="G36" i="55"/>
  <c r="G34" i="55"/>
  <c r="G32" i="55"/>
  <c r="G30" i="55"/>
  <c r="G28" i="55"/>
  <c r="G26" i="55"/>
  <c r="G24" i="55"/>
  <c r="G22" i="55"/>
  <c r="G20" i="55"/>
  <c r="G18" i="55"/>
  <c r="G16" i="55"/>
  <c r="G14" i="55"/>
  <c r="G12" i="55"/>
  <c r="G10" i="55"/>
  <c r="G33" i="56"/>
  <c r="G31" i="56"/>
  <c r="G29" i="56"/>
  <c r="G27" i="56"/>
  <c r="G25" i="56"/>
  <c r="G23" i="56"/>
  <c r="G21" i="56"/>
  <c r="G19" i="56"/>
  <c r="G17" i="56"/>
  <c r="G15" i="56"/>
  <c r="G13" i="56"/>
  <c r="G44" i="57"/>
  <c r="G42" i="57"/>
  <c r="G40" i="57"/>
  <c r="G38" i="57"/>
  <c r="G36" i="57"/>
  <c r="G34" i="57"/>
  <c r="G32" i="57"/>
  <c r="G30" i="57"/>
  <c r="G28" i="57"/>
  <c r="G26" i="57"/>
  <c r="G24" i="57"/>
  <c r="G47" i="57" s="1"/>
  <c r="G55" i="57" s="1"/>
  <c r="G58" i="57" s="1"/>
  <c r="G22" i="57"/>
  <c r="G18" i="57"/>
  <c r="G16" i="57"/>
  <c r="G14" i="57"/>
  <c r="G79" i="49" l="1"/>
  <c r="G34" i="54"/>
  <c r="G40" i="54" s="1"/>
  <c r="G44" i="54" s="1"/>
  <c r="G46" i="55"/>
  <c r="G55" i="55" s="1"/>
  <c r="G58" i="55" s="1"/>
  <c r="G47" i="53"/>
  <c r="G68" i="53" s="1"/>
  <c r="G11" i="50"/>
  <c r="G36" i="56"/>
  <c r="G43" i="56" s="1"/>
  <c r="G45" i="56" s="1"/>
  <c r="G12" i="76"/>
  <c r="G215" i="58"/>
  <c r="G214" i="58"/>
  <c r="G213" i="58"/>
  <c r="G212" i="58"/>
  <c r="G211" i="58"/>
  <c r="G207" i="58"/>
  <c r="G206" i="58"/>
  <c r="G204" i="58"/>
  <c r="G202" i="58"/>
  <c r="G200" i="58"/>
  <c r="G198" i="58"/>
  <c r="G196" i="58"/>
  <c r="G194" i="58"/>
  <c r="G190" i="58"/>
  <c r="G189" i="58"/>
  <c r="G187" i="58"/>
  <c r="G185" i="58"/>
  <c r="G183" i="58"/>
  <c r="G179" i="58"/>
  <c r="G178" i="58"/>
  <c r="G176" i="58"/>
  <c r="G174" i="58"/>
  <c r="G171" i="58"/>
  <c r="G170" i="58"/>
  <c r="G168" i="58"/>
  <c r="G166" i="58"/>
  <c r="G143" i="58"/>
  <c r="G141" i="58"/>
  <c r="G139" i="58"/>
  <c r="G137" i="58"/>
  <c r="G135" i="58"/>
  <c r="G133" i="58"/>
  <c r="G131" i="58"/>
  <c r="G129" i="58"/>
  <c r="G127" i="58"/>
  <c r="G125" i="58"/>
  <c r="G123" i="58"/>
  <c r="G121" i="58"/>
  <c r="G119" i="58"/>
  <c r="G117" i="58"/>
  <c r="G94" i="58"/>
  <c r="G93" i="58"/>
  <c r="G91" i="58"/>
  <c r="G89" i="58"/>
  <c r="G87" i="58"/>
  <c r="G85" i="58"/>
  <c r="G83" i="58"/>
  <c r="G81" i="58"/>
  <c r="G79" i="58"/>
  <c r="G77" i="58"/>
  <c r="G75" i="58"/>
  <c r="G73" i="58"/>
  <c r="G71" i="58"/>
  <c r="G69" i="58"/>
  <c r="G67" i="58"/>
  <c r="G65" i="58"/>
  <c r="G63" i="58"/>
  <c r="G61" i="58"/>
  <c r="G59" i="58"/>
  <c r="G57" i="58"/>
  <c r="G55" i="58"/>
  <c r="G53" i="58"/>
  <c r="G51" i="58"/>
  <c r="G49" i="58"/>
  <c r="G47" i="58"/>
  <c r="G45" i="58"/>
  <c r="G43" i="58"/>
  <c r="G41" i="58"/>
  <c r="G39" i="58"/>
  <c r="G32" i="58"/>
  <c r="G30" i="58"/>
  <c r="G28" i="58"/>
  <c r="G26" i="58"/>
  <c r="G24" i="58"/>
  <c r="G22" i="58"/>
  <c r="G20" i="58"/>
  <c r="G18" i="58"/>
  <c r="G34" i="58" s="1"/>
  <c r="G210" i="58" s="1"/>
  <c r="G216" i="58" s="1"/>
  <c r="G208" i="60" l="1"/>
  <c r="G207" i="60"/>
  <c r="G205" i="60"/>
  <c r="G199" i="60"/>
  <c r="G198" i="60"/>
  <c r="G196" i="60"/>
  <c r="G194" i="60"/>
  <c r="G192" i="60"/>
  <c r="G190" i="60"/>
  <c r="G188" i="60"/>
  <c r="G186" i="60"/>
  <c r="G182" i="60"/>
  <c r="G181" i="60"/>
  <c r="G179" i="60"/>
  <c r="G177" i="60"/>
  <c r="G175" i="60"/>
  <c r="G171" i="60"/>
  <c r="G168" i="60"/>
  <c r="G166" i="60"/>
  <c r="G164" i="60"/>
  <c r="G162" i="60"/>
  <c r="G160" i="60"/>
  <c r="G154" i="60" l="1"/>
  <c r="G153" i="60"/>
  <c r="G151" i="60"/>
  <c r="G149" i="60"/>
  <c r="G146" i="60"/>
  <c r="G144" i="60"/>
  <c r="G142" i="60"/>
  <c r="G140" i="60"/>
  <c r="G138" i="60"/>
  <c r="G136" i="60"/>
  <c r="G134" i="60"/>
  <c r="G132" i="60"/>
  <c r="G130" i="60"/>
  <c r="G128" i="60"/>
  <c r="G126" i="60"/>
  <c r="G124" i="60"/>
  <c r="G122" i="60"/>
  <c r="G120" i="60"/>
  <c r="G97" i="60"/>
  <c r="G96" i="60"/>
  <c r="G94" i="60"/>
  <c r="G92" i="60"/>
  <c r="G90" i="60"/>
  <c r="G88" i="60"/>
  <c r="G86" i="60"/>
  <c r="G84" i="60"/>
  <c r="G82" i="60"/>
  <c r="G80" i="60"/>
  <c r="G78" i="60"/>
  <c r="G76" i="60"/>
  <c r="G74" i="60"/>
  <c r="G72" i="60"/>
  <c r="G70" i="60"/>
  <c r="G68" i="60"/>
  <c r="G66" i="60"/>
  <c r="G64" i="60"/>
  <c r="G62" i="60"/>
  <c r="G60" i="60"/>
  <c r="G58" i="60"/>
  <c r="G56" i="60"/>
  <c r="G54" i="60"/>
  <c r="G52" i="60"/>
  <c r="G50" i="60"/>
  <c r="G48" i="60"/>
  <c r="G46" i="60"/>
  <c r="G44" i="60"/>
  <c r="G37" i="60"/>
  <c r="G35" i="60"/>
  <c r="G33" i="60"/>
  <c r="G31" i="60"/>
  <c r="G29" i="60"/>
  <c r="G27" i="60"/>
  <c r="G25" i="60"/>
  <c r="G23" i="60"/>
  <c r="G21" i="60"/>
  <c r="G19" i="60"/>
  <c r="G17" i="60"/>
  <c r="G39" i="60" s="1"/>
  <c r="G203" i="60" s="1"/>
  <c r="G209" i="60" s="1"/>
  <c r="G10" i="62"/>
  <c r="G32" i="62" s="1"/>
  <c r="G40" i="62" s="1"/>
  <c r="G43" i="62" s="1"/>
  <c r="G51" i="63"/>
  <c r="G49" i="63"/>
  <c r="G47" i="63"/>
  <c r="G45" i="63"/>
  <c r="G43" i="63"/>
  <c r="G41" i="63"/>
  <c r="G39" i="63"/>
  <c r="G38" i="63"/>
  <c r="G37" i="63"/>
  <c r="G36" i="63"/>
  <c r="G34" i="63"/>
  <c r="G33" i="63"/>
  <c r="G32" i="63"/>
  <c r="G31" i="63"/>
  <c r="G30" i="63"/>
  <c r="G28" i="63"/>
  <c r="G27" i="63"/>
  <c r="G26" i="63"/>
  <c r="G25" i="63"/>
  <c r="G24" i="63"/>
  <c r="G22" i="63"/>
  <c r="G21" i="63"/>
  <c r="G20" i="63"/>
  <c r="G19" i="63"/>
  <c r="G18" i="63"/>
  <c r="G16" i="63"/>
  <c r="G15" i="63"/>
  <c r="G14" i="63"/>
  <c r="G13" i="63"/>
  <c r="G12" i="63"/>
  <c r="G10" i="63"/>
  <c r="F11" i="65"/>
  <c r="F17" i="66"/>
  <c r="F16" i="66"/>
  <c r="F15" i="66"/>
  <c r="F14" i="66"/>
  <c r="F13" i="66"/>
  <c r="F7" i="66"/>
  <c r="F6" i="66"/>
  <c r="F5" i="66"/>
  <c r="F57" i="67"/>
  <c r="F56" i="67"/>
  <c r="F55" i="67"/>
  <c r="F54" i="67"/>
  <c r="F48" i="67"/>
  <c r="F47" i="67"/>
  <c r="F46" i="67"/>
  <c r="F45" i="67"/>
  <c r="F44" i="67"/>
  <c r="F43" i="67"/>
  <c r="F42" i="67"/>
  <c r="F41" i="67"/>
  <c r="F40" i="67"/>
  <c r="F39" i="67"/>
  <c r="F38" i="67"/>
  <c r="F37" i="67"/>
  <c r="F36" i="67"/>
  <c r="F35" i="67"/>
  <c r="F28" i="67"/>
  <c r="F27" i="67"/>
  <c r="F26" i="67"/>
  <c r="F25" i="67"/>
  <c r="F24" i="67"/>
  <c r="F23" i="67"/>
  <c r="F22" i="67"/>
  <c r="F21" i="67"/>
  <c r="F20" i="67"/>
  <c r="F19" i="67"/>
  <c r="F18" i="67"/>
  <c r="F12" i="67"/>
  <c r="F9" i="67"/>
  <c r="F18" i="66" l="1"/>
  <c r="F29" i="67"/>
  <c r="G53" i="63"/>
  <c r="G61" i="63" s="1"/>
  <c r="G64" i="63" s="1"/>
  <c r="G8" i="35"/>
  <c r="G6" i="24"/>
  <c r="G8" i="24" s="1"/>
  <c r="G632" i="76" l="1"/>
  <c r="G601" i="76"/>
  <c r="G589" i="76"/>
  <c r="G565" i="76"/>
  <c r="G547" i="76"/>
  <c r="G535" i="76"/>
  <c r="G523" i="76"/>
  <c r="G474" i="76"/>
  <c r="G468" i="76"/>
  <c r="G460" i="76"/>
  <c r="G444" i="76"/>
  <c r="G315" i="76"/>
  <c r="G301" i="76"/>
  <c r="G287" i="76"/>
  <c r="G115" i="76"/>
  <c r="G379" i="76" l="1"/>
  <c r="G382" i="76" s="1"/>
  <c r="G362" i="76"/>
  <c r="G366" i="76"/>
  <c r="G298" i="76"/>
  <c r="G114" i="76"/>
  <c r="G258" i="76"/>
  <c r="G312" i="76"/>
  <c r="G284" i="76"/>
  <c r="G340" i="76"/>
  <c r="G116" i="76"/>
  <c r="G368" i="76" l="1"/>
  <c r="G384" i="76" s="1"/>
  <c r="G118" i="76"/>
  <c r="G11" i="46"/>
  <c r="G13" i="46" l="1"/>
  <c r="G12" i="46"/>
  <c r="G10" i="46" l="1"/>
  <c r="G9" i="46" s="1"/>
  <c r="A101" i="75" l="1"/>
  <c r="A99" i="75"/>
  <c r="A97" i="75"/>
  <c r="A95" i="75"/>
  <c r="A93" i="75"/>
  <c r="A91" i="75"/>
  <c r="A85" i="75"/>
  <c r="A83" i="75"/>
  <c r="A81" i="75"/>
  <c r="A79" i="75"/>
  <c r="A77" i="75"/>
  <c r="A75" i="75"/>
  <c r="A73" i="75"/>
  <c r="A68" i="75"/>
  <c r="A66" i="75"/>
  <c r="A64" i="75"/>
  <c r="A62" i="75"/>
  <c r="A60" i="75"/>
  <c r="A53" i="75"/>
  <c r="A51" i="75"/>
  <c r="A49" i="75"/>
  <c r="A47" i="75"/>
  <c r="A45" i="75"/>
  <c r="A43" i="75"/>
  <c r="A40" i="75"/>
  <c r="A38" i="75"/>
  <c r="A36" i="75"/>
  <c r="A34" i="75"/>
  <c r="A32" i="75"/>
  <c r="A30" i="75"/>
  <c r="A27" i="75"/>
  <c r="A24" i="75"/>
  <c r="A22" i="75"/>
  <c r="A20" i="75"/>
  <c r="A18" i="75"/>
  <c r="G17" i="75"/>
  <c r="A12" i="75"/>
  <c r="G11" i="75"/>
  <c r="A226" i="74"/>
  <c r="A224" i="74"/>
  <c r="A222" i="74"/>
  <c r="A220" i="74"/>
  <c r="A218" i="74"/>
  <c r="A216" i="74"/>
  <c r="A214" i="74"/>
  <c r="G213" i="74"/>
  <c r="G212" i="74"/>
  <c r="G211" i="74"/>
  <c r="A209" i="74"/>
  <c r="A207" i="74"/>
  <c r="A205" i="74"/>
  <c r="A203" i="74"/>
  <c r="G202" i="74"/>
  <c r="G201" i="74"/>
  <c r="G200" i="74"/>
  <c r="A198" i="74"/>
  <c r="A196" i="74"/>
  <c r="A194" i="74"/>
  <c r="A192" i="74"/>
  <c r="A190" i="74"/>
  <c r="A188" i="74"/>
  <c r="A186" i="74"/>
  <c r="A184" i="74"/>
  <c r="A182" i="74"/>
  <c r="A180" i="74"/>
  <c r="G179" i="74"/>
  <c r="G178" i="74"/>
  <c r="A176" i="74"/>
  <c r="A174" i="74"/>
  <c r="A172" i="74"/>
  <c r="A171" i="74"/>
  <c r="A169" i="74"/>
  <c r="A167" i="74"/>
  <c r="A165" i="74"/>
  <c r="A163" i="74"/>
  <c r="A161" i="74"/>
  <c r="A159" i="74"/>
  <c r="A157" i="74"/>
  <c r="A155" i="74"/>
  <c r="A153" i="74"/>
  <c r="A151" i="74"/>
  <c r="A149" i="74"/>
  <c r="A147" i="74"/>
  <c r="A145" i="74"/>
  <c r="A125" i="74"/>
  <c r="A121" i="74"/>
  <c r="A120" i="74"/>
  <c r="A118" i="74"/>
  <c r="A116" i="74"/>
  <c r="A114" i="74"/>
  <c r="A112" i="74"/>
  <c r="A110" i="74"/>
  <c r="A108" i="74"/>
  <c r="A106" i="74"/>
  <c r="A104" i="74"/>
  <c r="A102" i="74"/>
  <c r="A100" i="74"/>
  <c r="A98" i="74"/>
  <c r="A96" i="74"/>
  <c r="A94" i="74"/>
  <c r="A92" i="74"/>
  <c r="A90" i="74"/>
  <c r="A88" i="74"/>
  <c r="A86" i="74"/>
  <c r="A84" i="74"/>
  <c r="A82" i="74"/>
  <c r="A80" i="74"/>
  <c r="A78" i="74"/>
  <c r="A76" i="74"/>
  <c r="A74" i="74"/>
  <c r="A72" i="74"/>
  <c r="A70" i="74"/>
  <c r="A68" i="74"/>
  <c r="G67" i="74"/>
  <c r="G66" i="74"/>
  <c r="G65" i="74"/>
  <c r="G64" i="74"/>
  <c r="A61" i="74"/>
  <c r="A59" i="74"/>
  <c r="A57" i="74"/>
  <c r="A55" i="74"/>
  <c r="A53" i="74"/>
  <c r="A51" i="74"/>
  <c r="A49" i="74"/>
  <c r="A47" i="74"/>
  <c r="A45" i="74"/>
  <c r="A43" i="74"/>
  <c r="A41" i="74"/>
  <c r="A39" i="74"/>
  <c r="A37" i="74"/>
  <c r="A35" i="74"/>
  <c r="A33" i="74"/>
  <c r="A31" i="74"/>
  <c r="A29" i="74"/>
  <c r="A27" i="74"/>
  <c r="A25" i="74"/>
  <c r="A23" i="74"/>
  <c r="A21" i="74"/>
  <c r="A19" i="74"/>
  <c r="A17" i="74"/>
  <c r="C2" i="74"/>
  <c r="C33" i="1" l="1"/>
  <c r="F26" i="51" l="1"/>
  <c r="F22" i="51"/>
  <c r="C31" i="1"/>
  <c r="D76" i="73"/>
  <c r="D75" i="73"/>
  <c r="D74" i="73"/>
  <c r="D73" i="73"/>
  <c r="A69" i="73"/>
  <c r="A70" i="73" s="1"/>
  <c r="A71" i="73" s="1"/>
  <c r="A73" i="73" s="1"/>
  <c r="A74" i="73" s="1"/>
  <c r="A75" i="73" s="1"/>
  <c r="A76" i="73" s="1"/>
  <c r="A78" i="73" s="1"/>
  <c r="A83" i="73" s="1"/>
  <c r="A84" i="73" s="1"/>
  <c r="A85" i="73" s="1"/>
  <c r="A86" i="73" s="1"/>
  <c r="D66" i="73"/>
  <c r="D64" i="73"/>
  <c r="D63" i="73"/>
  <c r="D61" i="73"/>
  <c r="D59" i="73"/>
  <c r="D51" i="73"/>
  <c r="D48" i="73"/>
  <c r="D46" i="73"/>
  <c r="D33" i="73"/>
  <c r="D30" i="73"/>
  <c r="D29" i="73"/>
  <c r="D27" i="73"/>
  <c r="D26" i="73"/>
  <c r="D25" i="73"/>
  <c r="D22" i="73"/>
  <c r="D21" i="73"/>
  <c r="D18" i="73"/>
  <c r="D17" i="73"/>
  <c r="A17" i="73"/>
  <c r="A18" i="73" s="1"/>
  <c r="A21" i="73" s="1"/>
  <c r="A22" i="73" s="1"/>
  <c r="A25" i="73" s="1"/>
  <c r="A26" i="73" s="1"/>
  <c r="A27" i="73" s="1"/>
  <c r="A29" i="73" s="1"/>
  <c r="A30" i="73" s="1"/>
  <c r="A33" i="73" s="1"/>
  <c r="A35" i="73" s="1"/>
  <c r="A37" i="73" s="1"/>
  <c r="A42" i="73" s="1"/>
  <c r="A44" i="73" s="1"/>
  <c r="A46" i="73" s="1"/>
  <c r="A47" i="73" s="1"/>
  <c r="A48" i="73" s="1"/>
  <c r="A50" i="73" s="1"/>
  <c r="A51" i="73" s="1"/>
  <c r="A52" i="73" s="1"/>
  <c r="A53" i="73" s="1"/>
  <c r="A54" i="73" s="1"/>
  <c r="A55" i="73" s="1"/>
  <c r="A56" i="73" s="1"/>
  <c r="A59" i="73" s="1"/>
  <c r="A60" i="73" s="1"/>
  <c r="A61" i="73" s="1"/>
  <c r="D73" i="71"/>
  <c r="D72" i="71"/>
  <c r="D74" i="71" s="1"/>
  <c r="D75" i="71" s="1"/>
  <c r="D70" i="71"/>
  <c r="D69" i="71"/>
  <c r="D66" i="71"/>
  <c r="D64" i="71"/>
  <c r="D63" i="71"/>
  <c r="D61" i="71"/>
  <c r="D58" i="71"/>
  <c r="D55" i="71"/>
  <c r="D54" i="71"/>
  <c r="D51" i="71"/>
  <c r="D49" i="71"/>
  <c r="D47" i="71"/>
  <c r="D43" i="71"/>
  <c r="D42" i="71"/>
  <c r="D40" i="71"/>
  <c r="D38" i="71"/>
  <c r="D37" i="71"/>
  <c r="D36" i="71"/>
  <c r="D34" i="71"/>
  <c r="D33" i="71"/>
  <c r="D44" i="71" s="1"/>
  <c r="D32" i="71"/>
  <c r="D27" i="71"/>
  <c r="D26" i="71"/>
  <c r="D25" i="71"/>
  <c r="D24" i="71"/>
  <c r="D23" i="71"/>
  <c r="D22" i="71"/>
  <c r="D21" i="71"/>
  <c r="D19" i="71"/>
  <c r="A19" i="71"/>
  <c r="A21" i="71" s="1"/>
  <c r="A22" i="71" s="1"/>
  <c r="A23" i="71" s="1"/>
  <c r="A24" i="71" s="1"/>
  <c r="A25" i="71" s="1"/>
  <c r="A26" i="71" s="1"/>
  <c r="A27" i="71" s="1"/>
  <c r="A28" i="71" s="1"/>
  <c r="A32" i="71" s="1"/>
  <c r="D176" i="69"/>
  <c r="D175" i="69"/>
  <c r="D174" i="69"/>
  <c r="D172" i="69"/>
  <c r="D170" i="69"/>
  <c r="D169" i="69"/>
  <c r="D168" i="69"/>
  <c r="D166" i="69"/>
  <c r="D156" i="69"/>
  <c r="D150" i="69"/>
  <c r="D149" i="69"/>
  <c r="D148" i="69"/>
  <c r="D147" i="69"/>
  <c r="D143" i="69"/>
  <c r="D142" i="69"/>
  <c r="D141" i="69"/>
  <c r="D140" i="69"/>
  <c r="D138" i="69"/>
  <c r="D132" i="69"/>
  <c r="D128" i="69"/>
  <c r="D120" i="69"/>
  <c r="D119" i="69"/>
  <c r="D118" i="69"/>
  <c r="D117" i="69"/>
  <c r="D116" i="69"/>
  <c r="D115" i="69"/>
  <c r="D114" i="69"/>
  <c r="D113" i="69"/>
  <c r="D112" i="69"/>
  <c r="D111" i="69"/>
  <c r="D110" i="69"/>
  <c r="D109" i="69"/>
  <c r="D108" i="69"/>
  <c r="D107" i="69"/>
  <c r="D106" i="69"/>
  <c r="D105" i="69"/>
  <c r="D104" i="69"/>
  <c r="D101" i="69"/>
  <c r="D100" i="69"/>
  <c r="D99" i="69"/>
  <c r="D98" i="69"/>
  <c r="D97" i="69"/>
  <c r="D96" i="69"/>
  <c r="D95" i="69"/>
  <c r="D94" i="69"/>
  <c r="D93" i="69"/>
  <c r="D87" i="69"/>
  <c r="D85" i="69"/>
  <c r="D83" i="69"/>
  <c r="D86" i="69" s="1"/>
  <c r="D82" i="69"/>
  <c r="D78" i="69"/>
  <c r="D77" i="69"/>
  <c r="D88" i="69" s="1"/>
  <c r="D76" i="69"/>
  <c r="D74" i="69"/>
  <c r="D68" i="69"/>
  <c r="D67" i="69"/>
  <c r="D66" i="69"/>
  <c r="D65" i="69"/>
  <c r="A65" i="69"/>
  <c r="A66" i="69" s="1"/>
  <c r="A67" i="69" s="1"/>
  <c r="A68" i="69" s="1"/>
  <c r="A74" i="69" s="1"/>
  <c r="A75" i="69" s="1"/>
  <c r="A76" i="69" s="1"/>
  <c r="A77" i="69" s="1"/>
  <c r="A78" i="69" s="1"/>
  <c r="A79" i="69" s="1"/>
  <c r="A80" i="69" s="1"/>
  <c r="A82" i="69" s="1"/>
  <c r="A83" i="69" s="1"/>
  <c r="A84" i="69" s="1"/>
  <c r="A85" i="69" s="1"/>
  <c r="A86" i="69" s="1"/>
  <c r="A87" i="69" s="1"/>
  <c r="A88" i="69" s="1"/>
  <c r="A90" i="69" s="1"/>
  <c r="A91" i="69" s="1"/>
  <c r="A92" i="69" s="1"/>
  <c r="A93" i="69" s="1"/>
  <c r="A94" i="69" s="1"/>
  <c r="A95" i="69" s="1"/>
  <c r="A96" i="69" s="1"/>
  <c r="A97" i="69" s="1"/>
  <c r="A98" i="69" s="1"/>
  <c r="A99" i="69" s="1"/>
  <c r="A100" i="69" s="1"/>
  <c r="A101" i="69" s="1"/>
  <c r="A102" i="69" s="1"/>
  <c r="A103" i="69" s="1"/>
  <c r="A104" i="69" s="1"/>
  <c r="A105" i="69" s="1"/>
  <c r="A106" i="69" s="1"/>
  <c r="A107" i="69" s="1"/>
  <c r="A108" i="69" s="1"/>
  <c r="A109" i="69" s="1"/>
  <c r="A110" i="69" s="1"/>
  <c r="A111" i="69" s="1"/>
  <c r="A112" i="69" s="1"/>
  <c r="A113" i="69" s="1"/>
  <c r="A114" i="69" s="1"/>
  <c r="A115" i="69" s="1"/>
  <c r="A116" i="69" s="1"/>
  <c r="A117" i="69" s="1"/>
  <c r="A118" i="69" s="1"/>
  <c r="A119" i="69" s="1"/>
  <c r="A120" i="69" s="1"/>
  <c r="A121" i="69" s="1"/>
  <c r="A122" i="69" s="1"/>
  <c r="A128" i="69" s="1"/>
  <c r="A130" i="69" s="1"/>
  <c r="A131" i="69" s="1"/>
  <c r="A132" i="69" s="1"/>
  <c r="A138" i="69" s="1"/>
  <c r="A140" i="69" s="1"/>
  <c r="A141" i="69" s="1"/>
  <c r="A142" i="69" s="1"/>
  <c r="A143" i="69" s="1"/>
  <c r="A144" i="69" s="1"/>
  <c r="A145" i="69" s="1"/>
  <c r="D62" i="69"/>
  <c r="D49" i="69"/>
  <c r="D48" i="69"/>
  <c r="D45" i="69" s="1"/>
  <c r="D47" i="69"/>
  <c r="D43" i="69"/>
  <c r="D76" i="71" l="1"/>
  <c r="D28" i="71"/>
  <c r="D90" i="69"/>
  <c r="D92" i="69"/>
  <c r="D46" i="69"/>
  <c r="D63" i="69"/>
  <c r="D145" i="69"/>
  <c r="D70" i="73"/>
  <c r="D69" i="73"/>
  <c r="D71" i="73"/>
  <c r="D159" i="69"/>
  <c r="D171" i="69"/>
  <c r="D91" i="69"/>
  <c r="D144" i="69"/>
  <c r="D157" i="69"/>
  <c r="A36" i="71"/>
  <c r="A33" i="71"/>
  <c r="A34" i="71" s="1"/>
  <c r="C14" i="1" l="1"/>
  <c r="D160" i="69"/>
  <c r="C15" i="1"/>
  <c r="A40" i="71"/>
  <c r="A37" i="71"/>
  <c r="A38" i="71" s="1"/>
  <c r="A42" i="71" s="1"/>
  <c r="A43" i="71" s="1"/>
  <c r="A44" i="71" s="1"/>
  <c r="A47" i="71" s="1"/>
  <c r="A49" i="71" s="1"/>
  <c r="A51" i="71" s="1"/>
  <c r="A54" i="71" s="1"/>
  <c r="A55" i="71" s="1"/>
  <c r="A56" i="71" s="1"/>
  <c r="A58" i="71" s="1"/>
  <c r="A61" i="71" s="1"/>
  <c r="A63" i="71" s="1"/>
  <c r="A64" i="71" s="1"/>
  <c r="A66" i="71" s="1"/>
  <c r="A69" i="71" s="1"/>
  <c r="A70" i="71" s="1"/>
  <c r="A72" i="71" s="1"/>
  <c r="A73" i="71" s="1"/>
  <c r="A74" i="71" s="1"/>
  <c r="A75" i="71" s="1"/>
  <c r="A76" i="71" s="1"/>
  <c r="A77" i="71" s="1"/>
  <c r="A82" i="71" s="1"/>
  <c r="A83" i="71" s="1"/>
  <c r="A88" i="71" s="1"/>
  <c r="A89" i="71" s="1"/>
  <c r="A90" i="71" s="1"/>
  <c r="A91" i="71" s="1"/>
  <c r="F199" i="69" l="1"/>
  <c r="C13" i="1"/>
  <c r="G106" i="35" l="1"/>
  <c r="F15" i="65"/>
  <c r="F18" i="65" l="1"/>
  <c r="F17" i="65"/>
  <c r="F16" i="65"/>
  <c r="F14" i="65" s="1"/>
  <c r="F12" i="65"/>
  <c r="F10" i="65" s="1"/>
  <c r="F21" i="65" l="1"/>
  <c r="C38" i="1"/>
  <c r="C61" i="63"/>
  <c r="B61" i="63"/>
  <c r="A56" i="63"/>
  <c r="C53" i="63"/>
  <c r="A51" i="63"/>
  <c r="A49" i="63"/>
  <c r="A47" i="63"/>
  <c r="A45" i="63"/>
  <c r="A43" i="63"/>
  <c r="A41" i="63"/>
  <c r="A36" i="63"/>
  <c r="A30" i="63"/>
  <c r="A24" i="63"/>
  <c r="A18" i="63"/>
  <c r="A12" i="63"/>
  <c r="B10" i="63"/>
  <c r="A10" i="63"/>
  <c r="C64" i="63"/>
  <c r="C40" i="62"/>
  <c r="B40" i="62"/>
  <c r="C32" i="62"/>
  <c r="C43" i="62"/>
  <c r="A198" i="60"/>
  <c r="A196" i="60"/>
  <c r="A194" i="60"/>
  <c r="A192" i="60"/>
  <c r="A190" i="60"/>
  <c r="A188" i="60"/>
  <c r="A186" i="60"/>
  <c r="G185" i="60"/>
  <c r="G184" i="60"/>
  <c r="G183" i="60"/>
  <c r="A181" i="60"/>
  <c r="A179" i="60"/>
  <c r="A177" i="60"/>
  <c r="A175" i="60"/>
  <c r="G174" i="60"/>
  <c r="G173" i="60"/>
  <c r="G172" i="60"/>
  <c r="A164" i="60"/>
  <c r="A162" i="60"/>
  <c r="A160" i="60"/>
  <c r="G156" i="60"/>
  <c r="G155" i="60"/>
  <c r="A153" i="60"/>
  <c r="A151" i="60"/>
  <c r="A149" i="60"/>
  <c r="A146" i="60"/>
  <c r="A144" i="60"/>
  <c r="A142" i="60"/>
  <c r="A140" i="60"/>
  <c r="A138" i="60"/>
  <c r="A136" i="60"/>
  <c r="A134" i="60"/>
  <c r="A132" i="60"/>
  <c r="A130" i="60"/>
  <c r="A128" i="60"/>
  <c r="A126" i="60"/>
  <c r="A124" i="60"/>
  <c r="A122" i="60"/>
  <c r="A120" i="60"/>
  <c r="A100" i="60"/>
  <c r="A96" i="60"/>
  <c r="A94" i="60"/>
  <c r="A92" i="60"/>
  <c r="A90" i="60"/>
  <c r="A88" i="60"/>
  <c r="A86" i="60"/>
  <c r="A84" i="60"/>
  <c r="A82" i="60"/>
  <c r="A80" i="60"/>
  <c r="A78" i="60"/>
  <c r="A76" i="60"/>
  <c r="A74" i="60"/>
  <c r="A72" i="60"/>
  <c r="A70" i="60"/>
  <c r="A68" i="60"/>
  <c r="A66" i="60"/>
  <c r="A64" i="60"/>
  <c r="A62" i="60"/>
  <c r="A60" i="60"/>
  <c r="A58" i="60"/>
  <c r="A56" i="60"/>
  <c r="A54" i="60"/>
  <c r="A52" i="60"/>
  <c r="A50" i="60"/>
  <c r="A48" i="60"/>
  <c r="A46" i="60"/>
  <c r="A44" i="60"/>
  <c r="G43" i="60"/>
  <c r="G42" i="60"/>
  <c r="G41" i="60"/>
  <c r="G40" i="60"/>
  <c r="A37" i="60"/>
  <c r="A35" i="60"/>
  <c r="A33" i="60"/>
  <c r="A31" i="60"/>
  <c r="A29" i="60"/>
  <c r="A27" i="60"/>
  <c r="A25" i="60"/>
  <c r="A23" i="60"/>
  <c r="A21" i="60"/>
  <c r="A19" i="60"/>
  <c r="A17" i="60"/>
  <c r="A206" i="58"/>
  <c r="A204" i="58"/>
  <c r="A202" i="58"/>
  <c r="A200" i="58"/>
  <c r="A198" i="58"/>
  <c r="A196" i="58"/>
  <c r="A194" i="58"/>
  <c r="G192" i="58"/>
  <c r="A189" i="58"/>
  <c r="A187" i="58"/>
  <c r="A185" i="58"/>
  <c r="A183" i="58"/>
  <c r="A178" i="58"/>
  <c r="A176" i="58"/>
  <c r="A174" i="58"/>
  <c r="G173" i="58"/>
  <c r="G172" i="58"/>
  <c r="A170" i="58"/>
  <c r="A168" i="58"/>
  <c r="A166" i="58"/>
  <c r="A143" i="58"/>
  <c r="A117" i="58"/>
  <c r="B97" i="58"/>
  <c r="A97" i="58"/>
  <c r="A93" i="58"/>
  <c r="A91" i="58"/>
  <c r="A89" i="58"/>
  <c r="A87" i="58"/>
  <c r="A85" i="58"/>
  <c r="A83" i="58"/>
  <c r="A81" i="58"/>
  <c r="A79" i="58"/>
  <c r="A77" i="58"/>
  <c r="A75" i="58"/>
  <c r="A73" i="58"/>
  <c r="A71" i="58"/>
  <c r="A69" i="58"/>
  <c r="A67" i="58"/>
  <c r="A65" i="58"/>
  <c r="A63" i="58"/>
  <c r="A61" i="58"/>
  <c r="A59" i="58"/>
  <c r="A57" i="58"/>
  <c r="A55" i="58"/>
  <c r="A53" i="58"/>
  <c r="A49" i="58"/>
  <c r="A47" i="58"/>
  <c r="A45" i="58"/>
  <c r="A43" i="58"/>
  <c r="A41" i="58"/>
  <c r="B39" i="58"/>
  <c r="A39" i="58"/>
  <c r="G38" i="58"/>
  <c r="G37" i="58"/>
  <c r="G36" i="58"/>
  <c r="G35" i="58"/>
  <c r="A32" i="58"/>
  <c r="A30" i="58"/>
  <c r="A28" i="58"/>
  <c r="A26" i="58"/>
  <c r="A24" i="58"/>
  <c r="A22" i="58"/>
  <c r="A20" i="58"/>
  <c r="B18" i="58"/>
  <c r="A18" i="58"/>
  <c r="G206" i="60" l="1"/>
  <c r="G204" i="60"/>
  <c r="B12" i="63"/>
  <c r="F30" i="51"/>
  <c r="C34" i="1"/>
  <c r="F28" i="51"/>
  <c r="C37" i="1"/>
  <c r="C36" i="1" s="1"/>
  <c r="B18" i="63"/>
  <c r="B24" i="63" s="1"/>
  <c r="B36" i="63"/>
  <c r="A35" i="62"/>
  <c r="B41" i="58"/>
  <c r="B43" i="58" s="1"/>
  <c r="B20" i="58"/>
  <c r="B117" i="58"/>
  <c r="B119" i="58" s="1"/>
  <c r="F24" i="51" l="1"/>
  <c r="F20" i="51"/>
  <c r="C35" i="1"/>
  <c r="F18" i="51"/>
  <c r="C29" i="1"/>
  <c r="B30" i="63"/>
  <c r="B45" i="58"/>
  <c r="B47" i="58" s="1"/>
  <c r="B121" i="58"/>
  <c r="B22" i="58"/>
  <c r="B24" i="58" s="1"/>
  <c r="C32" i="1" l="1"/>
  <c r="C30" i="1"/>
  <c r="B41" i="63"/>
  <c r="B26" i="58"/>
  <c r="B123" i="58"/>
  <c r="B125" i="58" s="1"/>
  <c r="B49" i="58"/>
  <c r="B51" i="58" s="1"/>
  <c r="B43" i="63" l="1"/>
  <c r="B45" i="63" s="1"/>
  <c r="B47" i="63" s="1"/>
  <c r="B49" i="63" s="1"/>
  <c r="B51" i="63" s="1"/>
  <c r="B28" i="58"/>
  <c r="B30" i="58" s="1"/>
  <c r="B53" i="58"/>
  <c r="B127" i="58"/>
  <c r="B129" i="58" s="1"/>
  <c r="B55" i="58"/>
  <c r="B131" i="58" l="1"/>
  <c r="B133" i="58" s="1"/>
  <c r="B32" i="58"/>
  <c r="B57" i="58"/>
  <c r="C55" i="57"/>
  <c r="B55" i="57"/>
  <c r="C47" i="57"/>
  <c r="A44" i="57"/>
  <c r="A42" i="57"/>
  <c r="A40" i="57"/>
  <c r="A38" i="57"/>
  <c r="A36" i="57"/>
  <c r="A34" i="57"/>
  <c r="A32" i="57"/>
  <c r="A30" i="57"/>
  <c r="A28" i="57"/>
  <c r="A26" i="57"/>
  <c r="A24" i="57"/>
  <c r="A22" i="57"/>
  <c r="A18" i="57"/>
  <c r="A16" i="57"/>
  <c r="B14" i="57"/>
  <c r="A14" i="57"/>
  <c r="C43" i="56"/>
  <c r="B43" i="56"/>
  <c r="C36" i="56"/>
  <c r="B11" i="56"/>
  <c r="B13" i="56" s="1"/>
  <c r="C45" i="56"/>
  <c r="C55" i="55"/>
  <c r="C46" i="55"/>
  <c r="B10" i="55"/>
  <c r="A35" i="54"/>
  <c r="C34" i="54"/>
  <c r="C40" i="54" s="1"/>
  <c r="A30" i="54"/>
  <c r="A28" i="54"/>
  <c r="A26" i="54"/>
  <c r="A24" i="54"/>
  <c r="A22" i="54"/>
  <c r="A20" i="54"/>
  <c r="A18" i="54"/>
  <c r="A16" i="54"/>
  <c r="A14" i="54"/>
  <c r="B12" i="54"/>
  <c r="A12" i="54"/>
  <c r="C44" i="54"/>
  <c r="C27" i="1" l="1"/>
  <c r="B135" i="58"/>
  <c r="B137" i="58" s="1"/>
  <c r="B59" i="58"/>
  <c r="C58" i="57"/>
  <c r="A50" i="57"/>
  <c r="B16" i="57"/>
  <c r="B15" i="56"/>
  <c r="A38" i="56"/>
  <c r="A49" i="55"/>
  <c r="B12" i="55"/>
  <c r="C58" i="55"/>
  <c r="B14" i="54"/>
  <c r="B18" i="54" s="1"/>
  <c r="B16" i="54"/>
  <c r="G56" i="53"/>
  <c r="G53" i="53"/>
  <c r="C60" i="53"/>
  <c r="C70" i="53" s="1"/>
  <c r="A56" i="53"/>
  <c r="A53" i="53"/>
  <c r="C47" i="53"/>
  <c r="C68" i="53" s="1"/>
  <c r="A42" i="53"/>
  <c r="A40" i="53"/>
  <c r="A38" i="53"/>
  <c r="A36" i="53"/>
  <c r="A34" i="53"/>
  <c r="A16" i="53"/>
  <c r="A14" i="53"/>
  <c r="B12" i="53"/>
  <c r="A12" i="53"/>
  <c r="A8" i="52"/>
  <c r="A11" i="52" s="1"/>
  <c r="F14" i="51" l="1"/>
  <c r="G70" i="53"/>
  <c r="B139" i="58"/>
  <c r="B141" i="58" s="1"/>
  <c r="B143" i="58" s="1"/>
  <c r="B166" i="58" s="1"/>
  <c r="B168" i="58" s="1"/>
  <c r="B170" i="58" s="1"/>
  <c r="C26" i="1"/>
  <c r="F12" i="51"/>
  <c r="B61" i="58"/>
  <c r="B63" i="58" s="1"/>
  <c r="B65" i="58" s="1"/>
  <c r="B67" i="58" s="1"/>
  <c r="B69" i="58" s="1"/>
  <c r="B71" i="58" s="1"/>
  <c r="B73" i="58" s="1"/>
  <c r="B75" i="58" s="1"/>
  <c r="B77" i="58" s="1"/>
  <c r="B79" i="58" s="1"/>
  <c r="B81" i="58" s="1"/>
  <c r="B83" i="58" s="1"/>
  <c r="B85" i="58" s="1"/>
  <c r="B87" i="58" s="1"/>
  <c r="B89" i="58" s="1"/>
  <c r="B91" i="58" s="1"/>
  <c r="B93" i="58" s="1"/>
  <c r="B18" i="57"/>
  <c r="B17" i="56"/>
  <c r="B14" i="55"/>
  <c r="B20" i="54"/>
  <c r="B24" i="54" s="1"/>
  <c r="B22" i="54"/>
  <c r="B14" i="53"/>
  <c r="B16" i="53" s="1"/>
  <c r="A12" i="52"/>
  <c r="A13" i="52"/>
  <c r="A14" i="52" l="1"/>
  <c r="C28" i="1"/>
  <c r="F16" i="51"/>
  <c r="G7" i="49"/>
  <c r="B28" i="54"/>
  <c r="B22" i="57"/>
  <c r="B19" i="56"/>
  <c r="B23" i="56" s="1"/>
  <c r="B16" i="55"/>
  <c r="B30" i="54"/>
  <c r="B26" i="54"/>
  <c r="G73" i="53"/>
  <c r="F10" i="51" s="1"/>
  <c r="B34" i="53"/>
  <c r="A15" i="52"/>
  <c r="F33" i="51" l="1"/>
  <c r="C25" i="1"/>
  <c r="C24" i="1" s="1"/>
  <c r="G17" i="46"/>
  <c r="C23" i="1" s="1"/>
  <c r="G12" i="49"/>
  <c r="G15" i="46" s="1"/>
  <c r="B24" i="57"/>
  <c r="B21" i="56"/>
  <c r="B18" i="55"/>
  <c r="B20" i="55" s="1"/>
  <c r="B36" i="53"/>
  <c r="A16" i="52"/>
  <c r="A17" i="52" s="1"/>
  <c r="C22" i="1" l="1"/>
  <c r="G19" i="46"/>
  <c r="B26" i="57"/>
  <c r="B25" i="56"/>
  <c r="B27" i="56" s="1"/>
  <c r="B29" i="56" s="1"/>
  <c r="B31" i="56" s="1"/>
  <c r="B22" i="55"/>
  <c r="B24" i="55"/>
  <c r="B38" i="53"/>
  <c r="B28" i="57" l="1"/>
  <c r="B33" i="56"/>
  <c r="B28" i="55"/>
  <c r="B30" i="55" s="1"/>
  <c r="B32" i="55" s="1"/>
  <c r="B34" i="55" s="1"/>
  <c r="B26" i="55"/>
  <c r="B40" i="53"/>
  <c r="B42" i="53" s="1"/>
  <c r="C21" i="1" l="1"/>
  <c r="C20" i="1" s="1"/>
  <c r="B30" i="57"/>
  <c r="B36" i="55"/>
  <c r="B38" i="55" s="1"/>
  <c r="B40" i="55" s="1"/>
  <c r="B42" i="55" s="1"/>
  <c r="B53" i="53"/>
  <c r="B56" i="53" s="1"/>
  <c r="A195" i="45"/>
  <c r="A197" i="45"/>
  <c r="A193" i="45"/>
  <c r="B195" i="45" s="1"/>
  <c r="E199" i="45"/>
  <c r="A179" i="45"/>
  <c r="B183" i="45" s="1"/>
  <c r="E186" i="45"/>
  <c r="B179" i="45"/>
  <c r="A158" i="45"/>
  <c r="A160" i="45"/>
  <c r="A162" i="45"/>
  <c r="A164" i="45"/>
  <c r="A166" i="45"/>
  <c r="A168" i="45"/>
  <c r="A170" i="45"/>
  <c r="A156" i="45"/>
  <c r="B158" i="45" s="1"/>
  <c r="E172" i="45"/>
  <c r="A145" i="45"/>
  <c r="A147" i="45" s="1"/>
  <c r="E149" i="45"/>
  <c r="A102" i="45"/>
  <c r="A104" i="45"/>
  <c r="A106" i="45"/>
  <c r="A108" i="45"/>
  <c r="A110" i="45"/>
  <c r="A112" i="45"/>
  <c r="A114" i="45"/>
  <c r="A116" i="45"/>
  <c r="A118" i="45"/>
  <c r="A120" i="45"/>
  <c r="A125" i="45"/>
  <c r="A129" i="45"/>
  <c r="A132" i="45"/>
  <c r="A134" i="45"/>
  <c r="A100" i="45"/>
  <c r="E136" i="45"/>
  <c r="B100" i="45"/>
  <c r="A63" i="45"/>
  <c r="A65" i="45"/>
  <c r="A67" i="45"/>
  <c r="A69" i="45"/>
  <c r="A71" i="45"/>
  <c r="A73" i="45"/>
  <c r="A75" i="45"/>
  <c r="A77" i="45"/>
  <c r="A79" i="45"/>
  <c r="A81" i="45"/>
  <c r="A83" i="45"/>
  <c r="A85" i="45"/>
  <c r="A87" i="45"/>
  <c r="A91" i="45"/>
  <c r="A61" i="45"/>
  <c r="E93" i="45"/>
  <c r="A50" i="45"/>
  <c r="E54" i="45"/>
  <c r="B50" i="45"/>
  <c r="E43" i="45"/>
  <c r="A41" i="45"/>
  <c r="A39" i="45"/>
  <c r="A37" i="45"/>
  <c r="A35" i="45"/>
  <c r="A33" i="45"/>
  <c r="A31" i="45"/>
  <c r="A29" i="45"/>
  <c r="A27" i="45"/>
  <c r="A25" i="45"/>
  <c r="A23" i="45"/>
  <c r="A21" i="45"/>
  <c r="A19" i="45"/>
  <c r="A17" i="45"/>
  <c r="A15" i="45"/>
  <c r="A13" i="45"/>
  <c r="B160" i="45" l="1"/>
  <c r="B63" i="45"/>
  <c r="B65" i="45" s="1"/>
  <c r="B102" i="45"/>
  <c r="B197" i="45"/>
  <c r="B32" i="57"/>
  <c r="B34" i="57" s="1"/>
  <c r="B162" i="45"/>
  <c r="B164" i="45" s="1"/>
  <c r="B15" i="45"/>
  <c r="A202" i="44"/>
  <c r="A204" i="44" s="1"/>
  <c r="E206" i="44"/>
  <c r="A192" i="44"/>
  <c r="A188" i="44"/>
  <c r="E195" i="44"/>
  <c r="B188" i="44"/>
  <c r="A169" i="44"/>
  <c r="A171" i="44"/>
  <c r="A173" i="44"/>
  <c r="A175" i="44"/>
  <c r="A177" i="44"/>
  <c r="A179" i="44"/>
  <c r="A167" i="44"/>
  <c r="B169" i="44" s="1"/>
  <c r="B171" i="44" s="1"/>
  <c r="E181" i="44"/>
  <c r="A146" i="44"/>
  <c r="A148" i="44"/>
  <c r="A150" i="44"/>
  <c r="A152" i="44"/>
  <c r="A154" i="44"/>
  <c r="A156" i="44"/>
  <c r="A158" i="44"/>
  <c r="A144" i="44"/>
  <c r="E160" i="44"/>
  <c r="G25" i="41"/>
  <c r="A134" i="44"/>
  <c r="E136" i="44"/>
  <c r="B134" i="44"/>
  <c r="A103" i="44"/>
  <c r="A105" i="44" s="1"/>
  <c r="A107" i="44" s="1"/>
  <c r="A109" i="44" s="1"/>
  <c r="A111" i="44" s="1"/>
  <c r="A113" i="44" s="1"/>
  <c r="A115" i="44" s="1"/>
  <c r="A117" i="44" s="1"/>
  <c r="A119" i="44" s="1"/>
  <c r="A66" i="44"/>
  <c r="A70" i="44" s="1"/>
  <c r="A56" i="44"/>
  <c r="E127" i="44"/>
  <c r="B103" i="44"/>
  <c r="B105" i="44" s="1"/>
  <c r="E96" i="44"/>
  <c r="B66" i="44"/>
  <c r="E60" i="44"/>
  <c r="B56" i="44"/>
  <c r="E50" i="44"/>
  <c r="A48" i="44"/>
  <c r="A46" i="44"/>
  <c r="A44" i="44"/>
  <c r="A42" i="44"/>
  <c r="A40" i="44"/>
  <c r="A38" i="44"/>
  <c r="A36" i="44"/>
  <c r="A34" i="44"/>
  <c r="A32" i="44"/>
  <c r="A30" i="44"/>
  <c r="A28" i="44"/>
  <c r="A26" i="44"/>
  <c r="A24" i="44"/>
  <c r="A22" i="44"/>
  <c r="A20" i="44"/>
  <c r="A18" i="44"/>
  <c r="A16" i="44"/>
  <c r="A14" i="44"/>
  <c r="A12" i="44"/>
  <c r="G16" i="41"/>
  <c r="E64" i="43"/>
  <c r="A39" i="43"/>
  <c r="A41" i="43"/>
  <c r="A43" i="43"/>
  <c r="A51" i="43"/>
  <c r="A37" i="43"/>
  <c r="A26" i="43"/>
  <c r="E53" i="43"/>
  <c r="B37" i="43"/>
  <c r="E30" i="43"/>
  <c r="B26" i="43"/>
  <c r="E19" i="43"/>
  <c r="A17" i="43"/>
  <c r="A15" i="43"/>
  <c r="A13" i="43"/>
  <c r="A90" i="44" l="1"/>
  <c r="A82" i="44"/>
  <c r="B104" i="45"/>
  <c r="B106" i="45" s="1"/>
  <c r="B108" i="45" s="1"/>
  <c r="A74" i="44"/>
  <c r="G30" i="41"/>
  <c r="B166" i="45"/>
  <c r="G11" i="41"/>
  <c r="G10" i="41" s="1"/>
  <c r="G8" i="41" s="1"/>
  <c r="G31" i="41"/>
  <c r="G29" i="41"/>
  <c r="G28" i="41"/>
  <c r="G24" i="41"/>
  <c r="G23" i="41"/>
  <c r="G22" i="41"/>
  <c r="G21" i="41"/>
  <c r="B146" i="44"/>
  <c r="A88" i="44"/>
  <c r="A80" i="44"/>
  <c r="B107" i="44"/>
  <c r="A94" i="44"/>
  <c r="A84" i="44"/>
  <c r="A76" i="44"/>
  <c r="B68" i="44"/>
  <c r="B173" i="44"/>
  <c r="B175" i="44" s="1"/>
  <c r="B17" i="45"/>
  <c r="B19" i="45" s="1"/>
  <c r="B168" i="45"/>
  <c r="B170" i="45" s="1"/>
  <c r="A72" i="44"/>
  <c r="B67" i="45"/>
  <c r="B69" i="45" s="1"/>
  <c r="A68" i="44"/>
  <c r="A86" i="44"/>
  <c r="A78" i="44"/>
  <c r="B36" i="57"/>
  <c r="B38" i="57" s="1"/>
  <c r="B40" i="57" s="1"/>
  <c r="B42" i="57" s="1"/>
  <c r="B44" i="57" s="1"/>
  <c r="B39" i="43"/>
  <c r="B43" i="43" s="1"/>
  <c r="G12" i="41"/>
  <c r="B14" i="44"/>
  <c r="B16" i="44" s="1"/>
  <c r="G13" i="41"/>
  <c r="B15" i="43"/>
  <c r="B17" i="43" s="1"/>
  <c r="G20" i="41" l="1"/>
  <c r="G27" i="41"/>
  <c r="C19" i="1"/>
  <c r="B177" i="44"/>
  <c r="B179" i="44" s="1"/>
  <c r="B70" i="44"/>
  <c r="B72" i="44" s="1"/>
  <c r="B21" i="45"/>
  <c r="B110" i="45"/>
  <c r="B112" i="45" s="1"/>
  <c r="C17" i="1"/>
  <c r="B148" i="44"/>
  <c r="B150" i="44" s="1"/>
  <c r="B71" i="45"/>
  <c r="B109" i="44"/>
  <c r="B18" i="44"/>
  <c r="B20" i="44" s="1"/>
  <c r="B51" i="43"/>
  <c r="B23" i="45" l="1"/>
  <c r="B25" i="45" s="1"/>
  <c r="B74" i="44"/>
  <c r="G18" i="41"/>
  <c r="G47" i="41" s="1"/>
  <c r="B152" i="44"/>
  <c r="B154" i="44" s="1"/>
  <c r="B156" i="44" s="1"/>
  <c r="B158" i="44" s="1"/>
  <c r="B114" i="45"/>
  <c r="B76" i="44"/>
  <c r="B22" i="44"/>
  <c r="B27" i="45" l="1"/>
  <c r="B29" i="45" s="1"/>
  <c r="C18" i="1"/>
  <c r="C16" i="1" s="1"/>
  <c r="B73" i="45"/>
  <c r="B111" i="44"/>
  <c r="B24" i="44"/>
  <c r="B26" i="44" s="1"/>
  <c r="B31" i="45" l="1"/>
  <c r="B33" i="45" s="1"/>
  <c r="B35" i="45" s="1"/>
  <c r="B116" i="45"/>
  <c r="B118" i="45" s="1"/>
  <c r="B75" i="45"/>
  <c r="B113" i="44"/>
  <c r="B78" i="44"/>
  <c r="B28" i="44"/>
  <c r="B30" i="44" s="1"/>
  <c r="B37" i="45" l="1"/>
  <c r="B39" i="45" s="1"/>
  <c r="B41" i="45" s="1"/>
  <c r="B120" i="45"/>
  <c r="B115" i="44"/>
  <c r="B117" i="44" s="1"/>
  <c r="B119" i="44" s="1"/>
  <c r="B122" i="44" s="1"/>
  <c r="B32" i="44"/>
  <c r="B34" i="44" s="1"/>
  <c r="B36" i="44" s="1"/>
  <c r="B38" i="44" s="1"/>
  <c r="B40" i="44" s="1"/>
  <c r="B125" i="45" l="1"/>
  <c r="B129" i="45" s="1"/>
  <c r="B132" i="45" s="1"/>
  <c r="B134" i="45" s="1"/>
  <c r="B77" i="45"/>
  <c r="B80" i="44"/>
  <c r="B42" i="44"/>
  <c r="B44" i="44" s="1"/>
  <c r="B46" i="44" s="1"/>
  <c r="B48" i="44" s="1"/>
  <c r="G619" i="35"/>
  <c r="G199" i="35" l="1"/>
  <c r="G201" i="35" s="1"/>
  <c r="G441" i="35"/>
  <c r="G439" i="35"/>
  <c r="B79" i="45"/>
  <c r="B81" i="45" s="1"/>
  <c r="B83" i="45" s="1"/>
  <c r="B85" i="45" s="1"/>
  <c r="B87" i="45" s="1"/>
  <c r="B91" i="45" s="1"/>
  <c r="B82" i="44"/>
  <c r="B84" i="44" s="1"/>
  <c r="B86" i="44" s="1"/>
  <c r="B88" i="44" s="1"/>
  <c r="B90" i="44" s="1"/>
  <c r="B94" i="44" s="1"/>
  <c r="G618" i="35"/>
  <c r="E515" i="35"/>
  <c r="G348" i="35"/>
  <c r="G160" i="35"/>
  <c r="G61" i="35"/>
  <c r="G622" i="35" l="1"/>
  <c r="G438" i="35"/>
  <c r="G437" i="35"/>
  <c r="G105" i="35"/>
  <c r="G443" i="35"/>
  <c r="G620" i="35"/>
  <c r="G440" i="35"/>
  <c r="G442" i="35"/>
  <c r="G445" i="35" l="1"/>
  <c r="G16" i="34" s="1"/>
  <c r="G15" i="34"/>
  <c r="G17" i="34"/>
  <c r="G12" i="34"/>
  <c r="G11" i="34" s="1"/>
  <c r="G14" i="34"/>
  <c r="G13" i="34" l="1"/>
  <c r="C11" i="1" s="1"/>
  <c r="C12" i="1" l="1"/>
  <c r="G9" i="34" l="1"/>
  <c r="G21" i="34" l="1"/>
  <c r="C10" i="1"/>
  <c r="C9" i="1" s="1"/>
  <c r="C39" i="1" s="1"/>
  <c r="C40" i="1" s="1"/>
  <c r="C41" i="1" s="1"/>
  <c r="C42" i="1" s="1"/>
  <c r="C44" i="1" s="1"/>
</calcChain>
</file>

<file path=xl/sharedStrings.xml><?xml version="1.0" encoding="utf-8"?>
<sst xmlns="http://schemas.openxmlformats.org/spreadsheetml/2006/main" count="4567" uniqueCount="1638">
  <si>
    <t>Opis</t>
  </si>
  <si>
    <t>Znesek v EUR brez DDV</t>
  </si>
  <si>
    <t>Oznaka</t>
  </si>
  <si>
    <t>3/1</t>
  </si>
  <si>
    <t>4</t>
  </si>
  <si>
    <t>5</t>
  </si>
  <si>
    <t>6</t>
  </si>
  <si>
    <t>7</t>
  </si>
  <si>
    <t>Načrt organizacije gradbišča</t>
  </si>
  <si>
    <t>Izvedba gradbene jame portala</t>
  </si>
  <si>
    <t>Podpiranje predora</t>
  </si>
  <si>
    <t>Notranja obloga</t>
  </si>
  <si>
    <t>Električne inštalacije</t>
  </si>
  <si>
    <t>Načrt pomožnih objektov</t>
  </si>
  <si>
    <t>3.1.1</t>
  </si>
  <si>
    <t>3.1.2</t>
  </si>
  <si>
    <t>3.1.3</t>
  </si>
  <si>
    <t>Zavarovanje in ureditev gradbišča</t>
  </si>
  <si>
    <t>Dostopna gradbiščna cesta</t>
  </si>
  <si>
    <t>Odvodnjavanje gradbene jame</t>
  </si>
  <si>
    <t>I.</t>
  </si>
  <si>
    <t>GRADBENA DELA</t>
  </si>
  <si>
    <t>A.</t>
  </si>
  <si>
    <t>PREDDELA</t>
  </si>
  <si>
    <t>B.</t>
  </si>
  <si>
    <t>SKUPAJ GRADBENA DELA BREZ DDV</t>
  </si>
  <si>
    <t>Poz.</t>
  </si>
  <si>
    <t>Opis postavke</t>
  </si>
  <si>
    <t>Enota</t>
  </si>
  <si>
    <t>Količina</t>
  </si>
  <si>
    <t>Cena</t>
  </si>
  <si>
    <t>Vrednost</t>
  </si>
  <si>
    <t>1.</t>
  </si>
  <si>
    <t>Dobava, postavitev in kasnejša odstranitev gradbiščne ograje iz panelov, višine 2.0 m, vključno s postavitvijo nosilnih stebrov in zavarovanjem pred porušitvijo zaradi vetra</t>
  </si>
  <si>
    <t>m'</t>
  </si>
  <si>
    <t>2.</t>
  </si>
  <si>
    <t>Dobava, postavitev in kasnejša odstranitev PVC gradbiščne ograje (PVC folija višine 1.80 m), vključno s postavitvijo nosilnih stebrov</t>
  </si>
  <si>
    <t>3.</t>
  </si>
  <si>
    <t>Izdelava, montaža in kasnejša odstranitev dvokrilnih gradbiščnih vrat, dimenzij 2 x 2.0m</t>
  </si>
  <si>
    <t>kos</t>
  </si>
  <si>
    <t>4.</t>
  </si>
  <si>
    <t>Dobava, montaža in demontaža naslovne gradbiščne table</t>
  </si>
  <si>
    <t>5.</t>
  </si>
  <si>
    <t>Postavitev in odstranitev opozorilne table</t>
  </si>
  <si>
    <t>6.</t>
  </si>
  <si>
    <t xml:space="preserve">Dobava, montaža in demontaža stolpnega žerjava r/m=40m/1500kg </t>
  </si>
  <si>
    <t>7.</t>
  </si>
  <si>
    <t>Postavitev in odstranitev tipskega kontejnerja za (pisarno, garderobo, jedilnico)</t>
  </si>
  <si>
    <t>8.</t>
  </si>
  <si>
    <t>Postavitev in odstranitev tipskega skladiščnega kontejnerja</t>
  </si>
  <si>
    <t>9.</t>
  </si>
  <si>
    <t>Dobava in postavitev kemičnih stranišč</t>
  </si>
  <si>
    <t>10.</t>
  </si>
  <si>
    <t>Nadstrešek za krožno žago iz odrskih cevi s pokrivno cerado</t>
  </si>
  <si>
    <t>11.</t>
  </si>
  <si>
    <t>Postavitev zabojnikov za odpadke</t>
  </si>
  <si>
    <t>12.</t>
  </si>
  <si>
    <t>Odstranjevanje gradbišča z demontažo in odvozom gradbiščnih naprav in objektov in zagotovitvijo prvotnega stanja na uporabljenih površinah</t>
  </si>
  <si>
    <t>kpl</t>
  </si>
  <si>
    <t>SKUPAJ PREDDELA</t>
  </si>
  <si>
    <t>ZEMELJSKA DELA</t>
  </si>
  <si>
    <t>C.</t>
  </si>
  <si>
    <t>vrednosti so v EUR, brez DDV!</t>
  </si>
  <si>
    <t>Cene na enoto in vrednosti so v EUR brez DDV!</t>
  </si>
  <si>
    <t>Zakoličba osi</t>
  </si>
  <si>
    <t>m</t>
  </si>
  <si>
    <t>Postavitev gradbenih prečnih profilov, dvostranski, veliki</t>
  </si>
  <si>
    <t>Geomehanski nadzor</t>
  </si>
  <si>
    <t>Strojni izkop zemljine v terenu III. do IV. ktg., strojno nakladanje izkopanega materiala na kamion in odvoz na trajno deponijo na razdalji do 20 km vključno s stroški deponije in z vsemi evidenčnimi listi.</t>
  </si>
  <si>
    <t>m3</t>
  </si>
  <si>
    <t>Dobava in polaganje geotekstila</t>
  </si>
  <si>
    <t>m2</t>
  </si>
  <si>
    <r>
      <t>Dobava in vgradnja drobljenega kamnitega materiala frakcije 0-125mm v cestni nasip in za kamnito zložbo, strojno razstiranje in utrjevanje po plasteh debeline 40cm, zahtevana zgoščenost 95% glede na MPP, zahtevan deformacijski modul E</t>
    </r>
    <r>
      <rPr>
        <vertAlign val="subscript"/>
        <sz val="9"/>
        <color theme="1"/>
        <rFont val="Arial"/>
        <family val="2"/>
        <charset val="238"/>
      </rPr>
      <t>V2</t>
    </r>
    <r>
      <rPr>
        <sz val="9"/>
        <color theme="1"/>
        <rFont val="Arial"/>
        <family val="2"/>
        <charset val="238"/>
      </rPr>
      <t xml:space="preserve"> &gt; 60 MPa, planiranje z natančnostjo +/-5,0 cm</t>
    </r>
  </si>
  <si>
    <t>Strojna izdelava kamnite zložbe iz lomljenca fi 80 do 100cm, vključno z dobavo materiala in vsemi notranjimi prevozi</t>
  </si>
  <si>
    <r>
      <t>Dobava in vgradnja kamnitega drobljenca frakcije 0-63mm v gradbiščno cesto v debelini 50 cm, strojno razstiranje in utrjevanje po plasteh debeline 25 cm, zahtevana zgoščenost 98% glede na MPP, zahtevan deformacijski modul E</t>
    </r>
    <r>
      <rPr>
        <vertAlign val="subscript"/>
        <sz val="9"/>
        <color theme="1"/>
        <rFont val="Arial"/>
        <family val="2"/>
        <charset val="238"/>
      </rPr>
      <t xml:space="preserve">V2 </t>
    </r>
    <r>
      <rPr>
        <sz val="9"/>
        <color theme="1"/>
        <rFont val="Arial"/>
        <family val="2"/>
        <charset val="238"/>
      </rPr>
      <t>&gt; 80 MPa, planiranje z natančnostjo +/-1,0 cm</t>
    </r>
  </si>
  <si>
    <t>SKUPAJ ZEMELJSKA DELA</t>
  </si>
  <si>
    <t>REKAPITULACIJA PO OBJEKTIH</t>
  </si>
  <si>
    <t>II.</t>
  </si>
  <si>
    <t>Izdelava dostopne gradbiščne ceste za izgradnjo zaščitnega nasipa vtočne gradbene jame</t>
  </si>
  <si>
    <t>Izdelava in odstranitev dostopne gradbiščne ceste za izgradnjo vtočnega kanala</t>
  </si>
  <si>
    <t>Izdelava in odstranitev začasnega zaščitnega nasipa v dnu akumulacije</t>
  </si>
  <si>
    <t>Izdelava, odstranitev in obnova dostopnih gradbiščnih cest na zračni strani pregrade</t>
  </si>
  <si>
    <t>Izdelava in odstranitev začasne premostitve čez vodotok</t>
  </si>
  <si>
    <t>Obnova dostopne gradbiščne ceste po kroni pregrade</t>
  </si>
  <si>
    <t>III.</t>
  </si>
  <si>
    <t>GRADBENA DELA SKUPAJ</t>
  </si>
  <si>
    <t>IV.</t>
  </si>
  <si>
    <t>VI.</t>
  </si>
  <si>
    <t>V.</t>
  </si>
  <si>
    <r>
      <t>Strojni izkop zemljine v terenu III. do IV. ktg. z direktnim nakladanjem na kamion in odvoz na razdalji do 200m, razstiranje in utrjevanje po plasteh debeline 40cm, zahtevana zgoščenost 95% glede na MPP, zahtevan deformacijski modul E</t>
    </r>
    <r>
      <rPr>
        <vertAlign val="subscript"/>
        <sz val="9"/>
        <color theme="1"/>
        <rFont val="Arial"/>
        <family val="2"/>
        <charset val="238"/>
      </rPr>
      <t>V2</t>
    </r>
    <r>
      <rPr>
        <sz val="9"/>
        <color theme="1"/>
        <rFont val="Arial"/>
        <family val="2"/>
        <charset val="238"/>
      </rPr>
      <t xml:space="preserve"> &gt; 60 MPa, planiranje z natančnostjo +/-5,0 cm</t>
    </r>
  </si>
  <si>
    <t>Po končanih delih, strojni izkop zemljine v terenu III. do IV. ktg. z direktnim nakladanjem na kamion in odvozom v trajno deponijo na razdalji do 20 km vključno s stroški deponije in z vsemi evidenčnimi listi.</t>
  </si>
  <si>
    <t xml:space="preserve">Dobava, vgradnja, vzdrževanje in izvlačenje jeklene zagatne stene, zagatnice kot npr. Larssen 604, L=12m,  dolžina zagatne stene 50m </t>
  </si>
  <si>
    <t>ZAKLJUČNA DELA</t>
  </si>
  <si>
    <t>D.</t>
  </si>
  <si>
    <t>Zavarovanje telekomunikacijskega droga</t>
  </si>
  <si>
    <t xml:space="preserve">Posek grmovja s spravilom </t>
  </si>
  <si>
    <t>Posek dreves s spravilom lesa - ocena</t>
  </si>
  <si>
    <t>a.</t>
  </si>
  <si>
    <t>fi 10-20 cm</t>
  </si>
  <si>
    <t>b.</t>
  </si>
  <si>
    <t>fi 20-30 cm</t>
  </si>
  <si>
    <t>Strojni izkop humusa v debelini 15-20 cm, nakladanje na kamion, prevoz na začasno deponijo na razdalji do 100 m za ponovni zasip po končanih delih</t>
  </si>
  <si>
    <t>Odstranitev dostopne ceste po zaključku del. Strojni izkop zemljine v terenu III. do IV. ktg. z direktnim nakladanjem na kamion in odvozom v trajno deponijo na razdalji do 20 km vključno s stroški deponije in z vsemi evidenčnimi listi.</t>
  </si>
  <si>
    <r>
      <t>Dobava in vgradnja kamnitega drobljenca frakcije 0-32 mm za obnovo obstoječe ceste v debelini 20 cm, strojno razstiranje in utrjevanje, zahtevana zgoščenost 98% glede na MPP, zahtevan deformacijski modul E</t>
    </r>
    <r>
      <rPr>
        <vertAlign val="subscript"/>
        <sz val="9"/>
        <color theme="1"/>
        <rFont val="Arial"/>
        <family val="2"/>
        <charset val="238"/>
      </rPr>
      <t xml:space="preserve">V2 </t>
    </r>
    <r>
      <rPr>
        <sz val="9"/>
        <color theme="1"/>
        <rFont val="Arial"/>
        <family val="2"/>
        <charset val="238"/>
      </rPr>
      <t>&gt; 80 MPa, planiranje z natančnostjo +/-1,0 cm</t>
    </r>
  </si>
  <si>
    <t>Strojni zasip s humusom deponiranim na začasni deponiji. Strojno nakladanje na kamion, prevoz na razdalji do 100 m, strojno razstiranje, planiranje z natančnostjo +/-5,0 cm</t>
  </si>
  <si>
    <t>Delno strojno, delno ročno planiranje terena III. ktg. na ravnih površinah na celotnem območju gradbišča na zračni strani pregrade</t>
  </si>
  <si>
    <t>Humusiranje in zatravitev  na celotnem območju gradbišča na zračni strani pregrade</t>
  </si>
  <si>
    <t>Vzpostavitvijo terena v prvotno stanje</t>
  </si>
  <si>
    <t>bager - ocena</t>
  </si>
  <si>
    <t>ur</t>
  </si>
  <si>
    <t>delavci PK - ocena</t>
  </si>
  <si>
    <t>SKUPAJ ZAKLJUČNA DELA</t>
  </si>
  <si>
    <t>BETONSKA DELA</t>
  </si>
  <si>
    <t>TESARSKA DELA</t>
  </si>
  <si>
    <t>E.</t>
  </si>
  <si>
    <t>ZIDARSKA DELA</t>
  </si>
  <si>
    <t>F.</t>
  </si>
  <si>
    <t>ZAVAROVALNA DELA</t>
  </si>
  <si>
    <t>G.</t>
  </si>
  <si>
    <t>SKUPAJ GRADBENA DELA</t>
  </si>
  <si>
    <t>Odlov rib</t>
  </si>
  <si>
    <t>Preusmeritev vode v času gradnje</t>
  </si>
  <si>
    <t>dobava rebraste cev fi 315 mm, L=12,0m - ocena</t>
  </si>
  <si>
    <t>bager (vgradnja in premikanje rebraste cevi) - ocena</t>
  </si>
  <si>
    <t>c.</t>
  </si>
  <si>
    <t>delavci PK (vgradnja in premikanje rebraste cevi) - ocena</t>
  </si>
  <si>
    <t>d.</t>
  </si>
  <si>
    <t xml:space="preserve">črpalka običajne velikosti - ocena  </t>
  </si>
  <si>
    <t>Strojni izkop zemlje v terenu III do IV. ktg.</t>
  </si>
  <si>
    <t>Ročni izkop zemlje v terenu III do IV.  ktg.</t>
  </si>
  <si>
    <r>
      <t>Dobava in vgradnja kamnitega drobljenca frakcije 0-63mm ob AB prepustu, strojno razstiranje in utrjevanje po plasteh debeline 40cm, zahtevana zgoščenost 95% glede na MPP, zahtevan deformacijski modul E</t>
    </r>
    <r>
      <rPr>
        <vertAlign val="subscript"/>
        <sz val="9"/>
        <color theme="1"/>
        <rFont val="Arial"/>
        <family val="2"/>
        <charset val="238"/>
      </rPr>
      <t>V2</t>
    </r>
    <r>
      <rPr>
        <sz val="9"/>
        <color theme="1"/>
        <rFont val="Arial"/>
        <family val="2"/>
        <charset val="238"/>
      </rPr>
      <t xml:space="preserve"> &gt; 60 MPa, planiranje z natančnostjo +/-5,0 cm</t>
    </r>
  </si>
  <si>
    <t>Strojno zasipanje za obrežnimi zavarovanji z materialom od izkopa deponiranim na brežini, vgrajevanje in utrjevanje materiala po plasteh debeline 30 cm do deformacijskega modula Ev2=60MPa</t>
  </si>
  <si>
    <t>Strojno nakladanje izkopanega materiala na kamion in odvoz na trajno deponijo na razdalji do 20 km vključno s stroški deponije in z vsemi evidenčnimi listi.</t>
  </si>
  <si>
    <t>Delno strojno, delno ročno planiranje dna betonske podlage AB prepusta</t>
  </si>
  <si>
    <t>Dobava in vgradnja podložnega betona C12/15 v prereze nad 0,30m3/m2, (C12/15; X0; dmax=16mm; S1)</t>
  </si>
  <si>
    <t>Dobava in vgradnja AB prepusta kot npr. tip 220x170x150 ''Jadranka Koper''</t>
  </si>
  <si>
    <t xml:space="preserve">Dobava in vgradnja črpnega betona C25/30 v prereze 0,12 do 0,30m3/m2, (C25/30; XC2; dmax=16mm; S4; PV-I) </t>
  </si>
  <si>
    <t>Dobava, rezanje, krivljenje, vezanje in vgrajevanje srednje zahtevne armature, rebraste palice do vključno fi 12 mm, kvalitete B500 B</t>
  </si>
  <si>
    <t>kg</t>
  </si>
  <si>
    <t>Dobava, rezanje, krivljenje, vezanje in vgrajevanje srednje zahtevne armature, rebraste palice nad fi 12 mm, kvalitete B500 B</t>
  </si>
  <si>
    <t>Dobava, rezanje, krivljenje, vezanje in vgrajevanje srednje zahtevne armature, armaturne mreže kvalitete B500 B</t>
  </si>
  <si>
    <t>SKUPAJ BETONSKA DELA</t>
  </si>
  <si>
    <t>Izdelava enostranskega opaža vključno s podpiranjem in razopaženjem</t>
  </si>
  <si>
    <t>Izdelava dvostranskega opaža robne vezi vključno s podpiranjem in razopaženjem</t>
  </si>
  <si>
    <t>SKUPAJ TESARSKA DELA</t>
  </si>
  <si>
    <t>Dobava in vgradnja sider fi16mm na lepilo kot npr. Hilti, L=0,50m, globina vrtanja 0,30m</t>
  </si>
  <si>
    <t>Dobava in vgradnja odcednic fi 10cm, L=100cm</t>
  </si>
  <si>
    <t>SKUPAJ ZIDARSKA DELA</t>
  </si>
  <si>
    <t>Strojna izdelava kamnite zložbe iz lomljenca do fi 50 cm za zavarovanje v dnu, vključno z dobavo materiala in vsemi notranjimi prevozi</t>
  </si>
  <si>
    <t>Strojna izdelava kamnite zložbe iz kamna v betonu 70/30 za obrežno zavarovanje, vključno z dobavo vseh materialov in vsemi notranjimi prevozi</t>
  </si>
  <si>
    <t>SKUPAJ ZAVAROVALNA DELA</t>
  </si>
  <si>
    <t>Odstranitev AB prepusta kot npr. tip 220x170x150 ''Jadranka Koper'' in odvoz na deponijo na razdalji do 20 km vključno s stroški deponije in z vsemi evidenčnimi listi.</t>
  </si>
  <si>
    <t>Rušenje in odstranitev robne vezi prepusta,  betonske podlage prepusta in obrežnega zavarovanja z nakladanjem na prevozno sredstvo, odvoz na deponijo na razdalji do 20 km vključno s stroški deponije in z vsemi evidenčnimi listi.</t>
  </si>
  <si>
    <t>Vzpostavitev struge v prvotno stanje. Strojna izdelava kamnite zložbe iz lomljenca do fi 50 cm, vključno z dobavo materiala in vsemi notranjimi prevozi</t>
  </si>
  <si>
    <t>Zapolnitev fug med kamni z zemljenim materialom in zatravitev</t>
  </si>
  <si>
    <t>Delno strojno, delno ročno planiranje terena III. ktg. na ravnih površinah</t>
  </si>
  <si>
    <t>Humusiranje in zatravitev</t>
  </si>
  <si>
    <t>Zavarovanje piezometrov in ostalih jaškov po kroni pregrade</t>
  </si>
  <si>
    <t>Črpanje vode iz gradbene jame</t>
  </si>
  <si>
    <t xml:space="preserve"> </t>
  </si>
  <si>
    <t xml:space="preserve">Dobava, vgradnja in odstranitev rebraste cevi fi 500mm </t>
  </si>
  <si>
    <t>Skupaj:</t>
  </si>
  <si>
    <t>Tuje storitve in ostalo</t>
  </si>
  <si>
    <t>IX.</t>
  </si>
  <si>
    <t>Zasip odvzemnega objekta</t>
  </si>
  <si>
    <t>VIII.</t>
  </si>
  <si>
    <t xml:space="preserve">Dovodni jarek </t>
  </si>
  <si>
    <t>VII.</t>
  </si>
  <si>
    <t>Odstranitev zaščitnega nasipa</t>
  </si>
  <si>
    <t>Začasni portal</t>
  </si>
  <si>
    <t>Gradbena jama za izvedbo novega odvzemnega objekta</t>
  </si>
  <si>
    <t>Tesnilna zavesa</t>
  </si>
  <si>
    <t>Injekcijska zavesa</t>
  </si>
  <si>
    <t>Zaščitni nasip za vtočno gradbeno jamo</t>
  </si>
  <si>
    <t>REKAPITULACIJA:</t>
  </si>
  <si>
    <t>Objekt:</t>
  </si>
  <si>
    <t>S PRIPADAJOČIMI OBJEKTI</t>
  </si>
  <si>
    <t>PRI IZVEDBI SANACIJE PREGRADE VOGRŠČEK</t>
  </si>
  <si>
    <t>Št.</t>
  </si>
  <si>
    <t>Opis del</t>
  </si>
  <si>
    <t>Cena na enoto [€]</t>
  </si>
  <si>
    <t>Vrednost [€]</t>
  </si>
  <si>
    <t>0.1 Splošno</t>
  </si>
  <si>
    <t>0.1.1</t>
  </si>
  <si>
    <t>Za razvrstitev zemljin in hribin se uporablja 5 stopenjska klasifikacija, v skladu s Dopolnili splošnih in tehničnih pogojev, DDC, 2001 -  Tabela 2.1.</t>
  </si>
  <si>
    <t>0.1.2</t>
  </si>
  <si>
    <t>Količine za prevoz materiala na začasno ali trajno deponijo se upoštevajo v raščenem stanju</t>
  </si>
  <si>
    <t>0.2 Skupni časovno odvisni stroški gradbišča</t>
  </si>
  <si>
    <t>0.2.1</t>
  </si>
  <si>
    <t>Časovno odvisni stroški ureditve gradbišča - skupni časovno odvisni stroški gradbišča
Opomba: Ponudnik ceno ponudi kot strošek glede na fiksni čas T.
Zajeti so skupni stroški za dela zajeta v načrtih 3/2, 3/3 in 3/4.</t>
  </si>
  <si>
    <t>1. Stroški gradbišča</t>
  </si>
  <si>
    <t>1.1 Časovno odvisni stroški gradbišča</t>
  </si>
  <si>
    <t>Časovno odvisni stroški ureditve gradbišča - izvedba pripravljalnih del
Opomba: Ponudnik ceno ponudi kot strošek glede na čas Tpr</t>
  </si>
  <si>
    <t>Časovno odvisni stroški ureditve gradbišča - izvedba začasnega portala
Opomba: Ponudnik ceno ponudi kot strošek glede na fiksni čas Tp.1.</t>
  </si>
  <si>
    <t>Časovno odvisni stroški gradbišča- izkop in zaščita gradbene jame novega odvzemnega objekta
Opomba: Ponudnik ceno ponudi kot strošek glede na fiksni čas Tp.2.</t>
  </si>
  <si>
    <t>Časovno odvisni stroški gradbišča - odstarnitev zaščitnega nasipa in izkop ter izvedbo zaščitnih ukrepov dovodnega jarka
Opomba: Ponudnik ceno ponudi kot strošek glede na fiksni čas Tp.3.</t>
  </si>
  <si>
    <t>1.2 Časi ustavitve del</t>
  </si>
  <si>
    <t>Časi ustavitve del-časi ustavitve del pri izvedbi pripravljalnih del.  Ponudnik ceno ponudi kot strošek glede na fiksni čas Tu.pr</t>
  </si>
  <si>
    <t>Časi ustavitve del-časi ustavitve del na začasnem portalu.  Ponudnik ceno ponudi kot strošek glede na fiksni čas Tu.p.1</t>
  </si>
  <si>
    <t>Časi ustavitve del-časi ustavitve del pri izkopu in zaščiti gradbene jame za novi odvzemni objekt.  Ponudnik ceno ponudi kot strošek glede na fiksni čas Tu.p.2</t>
  </si>
  <si>
    <t>Časi ustavitve del-časi ustavitve del na dovodnem jarku.  Ponudnik ceno ponudi kot strošek glede na fiksni čas Tu.p.3</t>
  </si>
  <si>
    <t>2. Dodatne geološko-geomehanske raziskave</t>
  </si>
  <si>
    <t>2.1 Tuje storitve</t>
  </si>
  <si>
    <t>Izdelava geološko - geotehničnega poročila z inženirsko geološko karto z lokacijami vrtin in reperjev, predlogom sanacije, pripravljenem na osnovi vrednotenja podatkov iz  terenskih in laboratorijskih raziskav ter stabilnostnih analiz v skladu z geotehnično stroko (najmanj trije profili).</t>
  </si>
  <si>
    <r>
      <t xml:space="preserve">Izvedba </t>
    </r>
    <r>
      <rPr>
        <b/>
        <sz val="8"/>
        <color indexed="8"/>
        <rFont val="Arial"/>
        <family val="2"/>
        <charset val="238"/>
      </rPr>
      <t>3  strukturnih vrtin,  globine 20 m (V1), 10 m (V2), 5 m (V3),</t>
    </r>
    <r>
      <rPr>
        <sz val="8"/>
        <color indexed="8"/>
        <rFont val="Arial"/>
        <family val="2"/>
        <charset val="238"/>
      </rPr>
      <t xml:space="preserve"> skupne globine do 35 m,  z odvzemom vzorcev.
Opombe: *Lokacije vrtin so prikazane v točki T.1.6.3 tehičnega poročila.</t>
    </r>
  </si>
  <si>
    <t>Transport garniture (po vseh terenih, ne glede na težavnost terena)</t>
  </si>
  <si>
    <t xml:space="preserve">Formiranje delovišča </t>
  </si>
  <si>
    <t>Premiki med vrtinami, ne glede na težavnost terena (tudi težje dostopne lokacije, z izvedbo dostopnih poti in ureditev brežin v prvotno stanje)</t>
  </si>
  <si>
    <t xml:space="preserve">Vrtanje </t>
  </si>
  <si>
    <t>V zemljini (glina, grušč in preperina)</t>
  </si>
  <si>
    <t>V hribini</t>
  </si>
  <si>
    <t>Popis vrtin, odvzem vzorcev in izdelava geoloških  profilov</t>
  </si>
  <si>
    <t>SPT preiskava</t>
  </si>
  <si>
    <t>Laboratorijske preiskave (prepusnost, deformacijski parametri, drenirane in nedrenirane trdnostne karakteristike, enoosna tlačna trdnost, prostorninska teža)</t>
  </si>
  <si>
    <t>3. Zaščitni nasip za vtočno gradbeno jamo</t>
  </si>
  <si>
    <t>3.1 Preddela</t>
  </si>
  <si>
    <t>3.2 Zemeljska dela</t>
  </si>
  <si>
    <t>Dobava in vgradnja zasipa iz zrnate kamnine 3. kategorije pod nivojem gladine jezera (84 m n.m.)  
Opombe: * Frakcija 0/100 mm</t>
  </si>
  <si>
    <t>Dobava in vgradnja zasipa iz zrnate kamnine 3. kategorije nad nivojem gladine jezera (84 m n.m.)
Opombe: * Frakcija 0/100 mm, MPP=95%, Ev2=50 MN/m2, Evd=25 MN/m2, Ev2/Ev1=3</t>
  </si>
  <si>
    <t>Dobava in vgradnja zasipa iz zrnate kamnine 3. kategorije
Opombe: * Frakcija 0/100 mm, MPP=95%, Ev2=50 MN/m2, Evd=25 MN/m2, Ev2/Ev1=3
* Izvedba dostopne poti in platoja za izvedbo pilotne stene - krak I</t>
  </si>
  <si>
    <t>Zaščita brežine (dobava in vgradnja) s kamnometom iz lomljenca
Opombe: * Vodna stran zaščitnega nasipa
* Velikost kamnitih kosov 30-60 cm
* Izvedeno pod nivojem gladine jezera</t>
  </si>
  <si>
    <t>Zaščita brežine (dobava in vgradnja) s kamnometom iz lomljenca
Opombe: * Vodna stran zaščitnega nasipa
* Velikost kamnitih kosov 30-60 cm
* Izvedeno nad nivojem gladine jezera</t>
  </si>
  <si>
    <t>4. Injekcijska zavesa</t>
  </si>
  <si>
    <t>Izvedba injekcijske zavese skladno z načrtom za izvedbo</t>
  </si>
  <si>
    <t>5. Tesnilna zavesa</t>
  </si>
  <si>
    <t>5.1 Preddela</t>
  </si>
  <si>
    <t>Določitev in preverjanje položajev, višin in smeri pri gradnji objekta s površino nad 500 m2  
Opombe: * Os tesnilne zavese</t>
  </si>
  <si>
    <t>5.2 Zemeljska dela</t>
  </si>
  <si>
    <t>Izkop vezljive zemljine/zrnate kamnine – 3. kategorije za temelje, kanalske rove, prepuste, jaške in drenaže, širine do 1,0 m in globine do 1,0 m – strojno, planiranje dna ročno
Opombe: * Izvedba uvodnice širine 1,6 m in globine 0,5 m</t>
  </si>
  <si>
    <t>Nakladanje in prevoz izkopanega materiala na razdaljo nad 10 do 15km (prevoz, deponiranje, odškodnina, takse,...)</t>
  </si>
  <si>
    <t>5.3 Gradbena in obrtniška dela</t>
  </si>
  <si>
    <t>Dobava in postavitev mreže iz vlečene jeklene žice B500A, s premerom &gt; od 4 in &lt; od 12 mm, masa 2,1 do 3 kg/m2
Opombe: * Uvodnica
* Mreža Q189</t>
  </si>
  <si>
    <t>Izdelava podprtega opaža za ukrivljen zid, visok do 2 m
Opombe: * Uvodnica
* Oblikovati glede na raster pilotov</t>
  </si>
  <si>
    <t>Dobava in vgraditev cementnega betona C25/30 v prerez 0,16 do 0,30 m3/m2-m1
Opombe: * Uvodnica</t>
  </si>
  <si>
    <r>
      <t xml:space="preserve">Izdelava uvrtanih kolov iz cementnega betona, sistema Benotto, premera 80 cm, izkop v vezljivi zemljini/zrnati kamnini, dolžine nad 10 do 20 m
Opombe: * Izvedba pilotov premera </t>
    </r>
    <r>
      <rPr>
        <sz val="9"/>
        <rFont val="Calibri"/>
        <family val="2"/>
        <charset val="238"/>
      </rPr>
      <t>Φ80cm/60</t>
    </r>
    <r>
      <rPr>
        <sz val="9"/>
        <rFont val="Arial"/>
        <family val="2"/>
        <charset val="238"/>
      </rPr>
      <t>cm
* Nearmirani piloti
* Beton - C25/30
* Dolžina skladno z grafičnimi prilogami</t>
    </r>
  </si>
  <si>
    <t>m1</t>
  </si>
  <si>
    <t>6. Gradbena jama za izvedbo novega odvzemnega objekta</t>
  </si>
  <si>
    <t>6.1 Preddela</t>
  </si>
  <si>
    <t>Določitev in preverjanje položajev, višin in smeri pri gradnji objekta s površino do 200 m2
Opombe: * Zakoličba robov izkopa</t>
  </si>
  <si>
    <t>Določitev in preverjanje položajev, višin in smeri pri gradnji objekta s površino do 200 m2
Opombe: * Zakoličba osi pilotne stene</t>
  </si>
  <si>
    <t>Določitev in preverjanje položajev, višin in smeri pri gradnji objekta s površino do 200 m2
Opombe: * Pozicioniranje sidrnih gred</t>
  </si>
  <si>
    <t>Porušitev in odstranitev zidu iz ojačenega cementnega betona
Opombe: * Obstoječi odvzemni objekt na stiku s novim odvzemnim objektom - skladno z načrtom</t>
  </si>
  <si>
    <t>Črpanje vode za zavarovanje gradbene jame, do 5 l/s
Opombe: * Po potrebi</t>
  </si>
  <si>
    <t>dan</t>
  </si>
  <si>
    <t>Posek in odstranitev drevesa z deblom premera 11 do 30 cm ter odstranitev vej</t>
  </si>
  <si>
    <t>Odstranitev panja s premerom 11 do 30 cm z odvozom na deponijo na razdaljo nad 1000 m</t>
  </si>
  <si>
    <t>6.2 Zemeljska dela</t>
  </si>
  <si>
    <t>Izkop vezljive zemljine/zrnate kamnine – 3. kategorije za temelje, kanalske rove, prepuste, jaške in drenaže, širine do 1,0 m in globine do 1,0 m – strojno, planiranje dna ročno
Opombe: * Izvedba uvodnice širine 1,0 m in globine 0,5 m</t>
  </si>
  <si>
    <t>Izkop vezljive zemljine/zrnate kamnine – 3. kategorije za gradbene jame za objekte, globine 1,1 do 2,0 m – strojno, planiranje dna ročno</t>
  </si>
  <si>
    <t>Izkop trde kamnine – 5. kategorije za gradbene jame za objekte, globine nad 4,0 m z dviganjem in nakladanjem</t>
  </si>
  <si>
    <t>Doplačilo za pazljivo miniranje kamnine</t>
  </si>
  <si>
    <t>Nakladanje in prevoz izkopanega materiala na razdaljo nad 10 do 15km 
Opombe: * Prevoz, deponiranje, odškodnina, takse,…
* Izkopan material 3. kategorije</t>
  </si>
  <si>
    <t>Nakladanje in prevoz izkopanega materiala na razdaljo nad 10 do 15km 
Opombe: * Prevoz, deponiranje, odškodnina, takse,…
* Izkopan material 5. kategorije</t>
  </si>
  <si>
    <t>Nakladanje in prevoz izkopanega materiala na razdaljo nad 10 do 15km 
Opombe: * Prevoz, deponiranje, odškodnina, takse,…
* material od rušitve dela obstoječega objekta</t>
  </si>
  <si>
    <t>6.3 Gradbena in obrtniška dela</t>
  </si>
  <si>
    <t>Dobava in postavitev rebrastih žic iz visokovrednega naravno trdega jekla B500 B s premerom do 12 mm, za srednje zahtevno ojačitev
Opomba: * Pilotna stena</t>
  </si>
  <si>
    <t>Dobava in postavitev rebrastih palic iz visokovrednega naravno trdega jekla B 500B s premerom 14 mm in večjim, za srednje zahtevno ojačitev
Opomba: * Pilotna stena</t>
  </si>
  <si>
    <t>Izdelava podprtega opaža za raven zid, visok do 2 m
Opombe: * Vezna greda</t>
  </si>
  <si>
    <t>Dobava in postavitev rebrastih žic iz visokovrednega naravno trdega jekla B500 B s premerom do 12 mm, za srednje zahtevno ojačitev
Opomba: * Vezna greda</t>
  </si>
  <si>
    <t>Dobava in postavitev rebrastih palic iz visokovrednega naravno trdega jekla B 500B s premerom 14 mm in večjim, za srednje zahtevno ojačitev
Opomba: * Vezna greda</t>
  </si>
  <si>
    <t>Izdelava podprtega opaža za raven zid, visok do 2 m
Opombe: * Sidrne grede</t>
  </si>
  <si>
    <t>Dobava in postavitev rebrastih žic iz visokovrednega naravno trdega jekla B500 B s premerom do 12 mm, za srednje zahtevno ojačitev
Opomba: * Sidrne grede</t>
  </si>
  <si>
    <t>Dobava in postavitev rebrastih palic iz visokovrednega naravno trdega jekla B 500B s premerom 14 mm in večjim, za srednje zahtevno ojačitev
Opomba: * Sidrne grede</t>
  </si>
  <si>
    <t>Dobava in postavitev mreže iz vlečene jeklene žice B500A, s premerom &gt;od 4 in &lt;12mm, masa od 2,1 do 3kg/m2
Opomba: * Mreža Q189</t>
  </si>
  <si>
    <t>Izdelava brizganega cementnega betona C25/30, prerez do 0,10 m3/m2
Opombe: * Izvedba kontaktnega obrizga v debelini 3-5 cm</t>
  </si>
  <si>
    <t>Izdelava brizganega cementnega betona C25/30, prerez 0,11 do 0,20 m3/m2
Opombe: * Obloga debeline 15 cm</t>
  </si>
  <si>
    <t>Dobava in vgradnja - zaščita brežine s sidrano jekleno mrežo (Mreža, spojni elementi, pritrditvene plošče, robna jeklenica) skladno z zahtevami tehničnega poročila</t>
  </si>
  <si>
    <t>Dobava in vgradnja kokosove mreže- natezna trdnost 10 kN/m, velikost okenc 20mm x 30 mm</t>
  </si>
  <si>
    <t>Sidra za pritditev kokosove mreže - rebrasta palica Φ6 mm, raster v skladu s tehničnim poročilom</t>
  </si>
  <si>
    <t>Izdelava kolov iz ojačanega cementnega betona, izkop z udarnim kladivom, premera 40 cm, izkop v trdi kamnini
Opombe: * Piloti dolžine 12 m
* Beton C30/37, XC4, XF3, PV-II, Dmax 16 mm
* Brez upoštevanja armature</t>
  </si>
  <si>
    <t>Izdelava kolov iz ojačanega cementnega betona, izkop z udarnim kladivom, premera 40 cm, izkop v trdi kamnini
Opombe: * Piloti dolžine 10,5 m
* Beton C30/37, XC4, XF3, PV-II, Dmax 16 mm
* Brez upoštevanja armature</t>
  </si>
  <si>
    <t>Izdelava kolov iz ojačanega cementnega betona, izkop z udarnim kladivom, premera 40 cm, izkop v trdi kamnini
Opombe: * Piloti dolžine 10,7 m
* Beton C30/37, XC4, XF3, PV-II, Dmax 16 mm
* Brez upoštevanja armature</t>
  </si>
  <si>
    <t>Izdelava kolov iz ojačanega cementnega betona, izkop z udarnim kladivom, premera 40 cm, izkop v trdi kamnini
Opombe: * Piloti dolžine 8,7 m
* Beton C30/37, XC4, XF3, PV-II, Dmax 16 mm
* Brez upoštevanja armature</t>
  </si>
  <si>
    <t>Izdelava kolov iz ojačanega cementnega betona, izkop z udarnim kladivom, premera 40 cm, izkop v trdi kamnini
Opombe: * Piloti dolžine 6,7 m
* Beton C30/37, XC4, XF3, PV-II, Dmax 16 mm
* Brez upoštevanja armature</t>
  </si>
  <si>
    <t>Izdelava kolov iz ojačanega cementnega betona, izkop z udarnim kladivom, premera 40 cm, izkop v trdi kamnini
Opombe: * Piloti dolžine 4,7 m
* Beton C30/37, XC4, XF3, PV-II, Dmax 16 mm
* Brez upoštevanja armature</t>
  </si>
  <si>
    <t>Dobava in vgradnja cementnega betona C12/15, XC0 Dmax=12mm, prereza do 0,15 m3/m2-m1.
Opombe: * Podložni beton vezne grede</t>
  </si>
  <si>
    <t>Dobava in vgradnja cementnega betona C30/37, XC4, XF3, PV-II, Dmax=32mm, prereza od 0,31 do 0,50 m3/m2-m1.
Opombe: * Sidrne grede vezne grede</t>
  </si>
  <si>
    <t>Dobava in vgradnja cementnega betona C12/15, XC0 Dmax=12mm, prereza do 0,15 m3/m2-m1.
Opombe: * Podložni beton sidrnih gred</t>
  </si>
  <si>
    <t>Dobava in vgradnja cementnega betona C30/37, XC4, XF3, PV-II, Dmax=32mm, prereza od 0,31 do 0,50 m3/m2-m1.
Opombe: * Sidrne grede pilotne stene</t>
  </si>
  <si>
    <t>Dobava in vgraditev SN sider nosilnosti 250 kN, dolžine 9 m
Opombe: * 85% vseh sider
* Vgrajena v rastru 1 sidro/4m2</t>
  </si>
  <si>
    <t>Dobava in vgraditev injekcijskih IBO sider nosilnosti 250 kN, dolžine 9 m
Opombe: * 15% vseh sider
* Vgrajena v rastru 1 sidro/4m2</t>
  </si>
  <si>
    <t>Dobava in vgraditev IBO sider nosilnosti 350 kN, dolžine 9 m
Opomba: * Trajna sidra (Fy=&gt;330kN) za sidranje mreže visoke natezne trdnosti
* Vgrajena v rastru 1 sidro/4m2</t>
  </si>
  <si>
    <t>Dobava in vgraditev SN sider nosilnosti 350 kN, dolžine 12 m
Opomba: * Trajna sidra (Fy=&gt;330 kN) za sidranje pilotne stene
* 1 sidro/1,2 m'</t>
  </si>
  <si>
    <t>Dobava in vgraditev SN sider nosilnosti 350 kN, dolžine 12 m
Opomba: * Pasivna sidra (Fy=&gt;330 kN) za sidranje pilotne stene
* 1 sidro/1,2 m'</t>
  </si>
  <si>
    <t>7.1 Preddela</t>
  </si>
  <si>
    <t>Odstranitev grmovja na redko porasli površini (do 50 % pokritega tlorisa) - ročno</t>
  </si>
  <si>
    <t>7.2 Gradbena in obrtniška dela</t>
  </si>
  <si>
    <t>Dobava in vgradnja - zaščita brežine s sidrano jekleno mrežo (Mreža, spojni elementi, pritrditvene plošče, robna jeklenica)</t>
  </si>
  <si>
    <t>8. Začasni portal</t>
  </si>
  <si>
    <t>8.1 Preddela</t>
  </si>
  <si>
    <t>Določitev in preverjanje položajev, višin in smeri pri gradnji objekta s površino nad 200 do 500 m2
Opombe: Zakoličba robov izkopa</t>
  </si>
  <si>
    <t>8.2 Zemeljska dela</t>
  </si>
  <si>
    <t>Izkop vezljive zemljine/zrnate kamnine – 3. kategorije za gradbene jame za objekte, globine 2,1do 4,0 m – strojno, planiranje dna ročno</t>
  </si>
  <si>
    <t>Izkop trde kamnine – 5. kategorije za gradbene jame za objekte, globine nad 4,0 m z nakladanjem</t>
  </si>
  <si>
    <t>Nakladanje in prevoz materiala na razdaljo od 100 do 200 m
Opomba: * Material, ki se ponovno uporabi za zasutje portalne konstrukcije</t>
  </si>
  <si>
    <t>Nakladanje in prevoz izkopanega materiala na razdaljo nad 10 do 15km (prevoz, deponiranje, odškodnina, takse,...)
Opombe: * Izkopan material 3. kategorije</t>
  </si>
  <si>
    <t>Nakladanje in prevoz izkopanega materiala na razdaljo nad 10 do 15km (prevoz, deponiranje, odškodnina, takse,...)
Opombe: * Izkopan material 5. kategorije</t>
  </si>
  <si>
    <t>8.3 Gradbena in obrtniška dela</t>
  </si>
  <si>
    <t>Dobava in postavitev mreže iz vlečene jeklene žice B500A, s premerom &gt;od 4 in &lt;12mm, masa 2,1 do 3kg/m2</t>
  </si>
  <si>
    <t>Izdelava brizganega cementnega betona C25/30, prerez do 0,10 m3/m2
Opombe: Obloga debeline 10 cm</t>
  </si>
  <si>
    <t>Izdelava brizganega cementnega betona C25/30, prerez do 0,10 m3/m2
Opombe: Izvedba kontaktnega obrizga v debelini 3-5 cm</t>
  </si>
  <si>
    <t>Dobava in vgraditev SN sider nosilnosti 250 kN, dolžine 6 m</t>
  </si>
  <si>
    <t>9. Odstranitev zaščitnega nasipa</t>
  </si>
  <si>
    <t>9.1 Preddela</t>
  </si>
  <si>
    <t>Porušitev in odstranitev zidu iz cementnega betona 
Opombe: Odstranitev tesnilne zavese</t>
  </si>
  <si>
    <t>Porušitev in odstranitev kamnometa</t>
  </si>
  <si>
    <t>9.2 Zemeljska dela</t>
  </si>
  <si>
    <t>Široki izkop vezljive zemljine – 3. kategorije – strojno z nakladanjem</t>
  </si>
  <si>
    <t>Nakladanje in prevoz izkopanega materiala na razdaljo nad 10 do 15km 
Opombe: * Prevoz, deponiranje, odškodnina, takse,…
* Nasipni material in porušena tesnilna zavesa</t>
  </si>
  <si>
    <t>10. Dovodni jarek</t>
  </si>
  <si>
    <t>10.1 Preddela</t>
  </si>
  <si>
    <t>Določitev in preverjanje položajev, višin in smeri pri gradnji objekta s površino nad 500 m2
Opombe: Zakoličba izkopa dovodnega jarka</t>
  </si>
  <si>
    <t>10.2 Zemeljska dela</t>
  </si>
  <si>
    <t>Izkop zrnate kamnine – 3. kategorije za gradbene jame za objekte, globine nad 4,0 m z nakladanjem</t>
  </si>
  <si>
    <t>Izkop zrnate kamnine – 5. kategorije za gradbene jame za objekte, globine nad 4,0 m z nakladanjem</t>
  </si>
  <si>
    <t>Zaščita brežine s kamnito zložbo, izvedeno v suho
Opombe: * Dobava materiala in vgradnja
* Velikost kamnitih blokov: 0,7-1,0 m</t>
  </si>
  <si>
    <t>10.3 Gradbena in obrtniška dela</t>
  </si>
  <si>
    <t>11. Zasip odvzemnega objekta</t>
  </si>
  <si>
    <t>11.1 Preddela</t>
  </si>
  <si>
    <t>Določitev in preverjanje položajev, višin in smeri pri gradnji objekta s površino nad 500 m2
Opombe: Zakoličba zasipa</t>
  </si>
  <si>
    <t>11.2 Zemeljska dela</t>
  </si>
  <si>
    <t>Izdelava glinastega naboja v debelini nad 50 cm</t>
  </si>
  <si>
    <t>Vgraditev nasipa iz zrnate kamnine – 3. kategorije
Opombe: * Zasip z izkopanim materialom
* do vrha pilotne stene</t>
  </si>
  <si>
    <t>12. Tuje storitve in ostalo</t>
  </si>
  <si>
    <t>Načrt varovanja vtočne gradbene jame in začasnega portala - PZI</t>
  </si>
  <si>
    <t>Načrt izvedbe injekcijske zavese vključno s potrebnimi raziskavami</t>
  </si>
  <si>
    <t>Projektantski nadzor</t>
  </si>
  <si>
    <t>terenski dan</t>
  </si>
  <si>
    <t>Geotehnični nadzor</t>
  </si>
  <si>
    <t>Projekt izvedenih del (PID)</t>
  </si>
  <si>
    <t>NAČRT ORGANIZACIJE GRADBIŠČA</t>
  </si>
  <si>
    <t>SKUPAJ VSA DELA</t>
  </si>
  <si>
    <t>3.1</t>
  </si>
  <si>
    <t>3.2</t>
  </si>
  <si>
    <t>3.3</t>
  </si>
  <si>
    <t>3.4</t>
  </si>
  <si>
    <t>3.5</t>
  </si>
  <si>
    <t>3.7</t>
  </si>
  <si>
    <t>NEPREDVIDENA DELA 10%</t>
  </si>
  <si>
    <t>3.1.1 ZAVAROVANJE IN UREDITEV GRADBIŠČA</t>
  </si>
  <si>
    <t>3.1.3 ODVODNJAVANJE GRADBENE JAME</t>
  </si>
  <si>
    <t>IZVEDBA GRADBENE JAME PORTALA</t>
  </si>
  <si>
    <t>ZA NAČRT IZKOPA IN PRIMARNE PODGRADNJE PREDORA</t>
  </si>
  <si>
    <t>Izkop in primarna podgradnja predora</t>
  </si>
  <si>
    <t>Geotehnični monitoring</t>
  </si>
  <si>
    <t>1 Izkop in primarna podgradnja predora</t>
  </si>
  <si>
    <t>1.0 Splošno</t>
  </si>
  <si>
    <t>0.1</t>
  </si>
  <si>
    <t>Veljajo določila podana v Tehničnih specifikacijah za gradnjo predorov, ter Splošni in Posebni tehnični pogoji za gradnjo cest in Dopolnila splošnih in tehničnih pogojev za gradnjo cest, razen če tu ni drugače določeno. IZVAJALEC mora zagotoviti zadostno predorsko prezračevanje in razsvetljavo. Naprave za izkop, trasport do vmesne deponije na območju portala, itd. se obračunajo posebej v stroških gradbišča. V cenah na enoto za izkope morajo biti zajeti tudi še stroški za naslednje ukrepe:  
a) izkop hribine v določenem podpornem tipu, 
b) izkop brizganega betona in odstranitev (rezanje) geotehničnih sider pri podzemnem izkopu na portalnih območjih, 
c) prevozi oziroma prenosi materiala znotraj gradbišča (vmesne deponije, rampe, začasni talni obok, itd.) z nakladanjem in zvračanjem, lahko tudi večkratno prekladanje in zvračanje, 
d) težave z vodo v času izkopa pri  izkopu navzgor do količine 2l/s. Velja za kaloto, stopnico in talni obok. 
e) stroški za meritev količine vode, 
f) oviranje izkopa in prekinitve zaradi geodetskih in geotehničnih meritev v predoru, velja tudi za kontrolne meritve, ki jih izvajajo tretje osebe, 
g) odvod odpadnih vod iz predora do začasne čistilne naprave, 
h) oviranje izkopa zaradi tehničnega opazovanja predora,
i) izkop do mejne linije A (slika iz Tehničnih specifikacij za predore), 
j) uporaba ustreznih naprav za zagotavljanje ustrezne geometrije vrtin za miniranje in uporaba ustreznih razstrelilnih sredstev pri postopkih razstreljevanja,</t>
  </si>
  <si>
    <t>0.2</t>
  </si>
  <si>
    <t xml:space="preserve">Upoštevati je potrebno tudi naslednja določila:
a) Škode na strojih in opremi zaradi zruškov in podobnega se ne plačajo, ker jih mora Izvajalec posebej zavarovati. 
b) Nadprofili in več izkopi, ki so posledica nestrokovnega dela (Izvajalec na strokoven način ne more  dokazati, da je posledica geološko geotehničnih pogojev gradnje) se ne plačajo in jih mora Izvajalec na lastne stroške zavarovati in zapolniti z brizganim betonom oziroma črpnim betonom. Nadalje je potrebno okolico zruškov po zahtevi Naročnika dodatno zavarovati z injektiranjem. Izvajalec je odgovoren tudi za izvedbo ojačitev, ki so lahko zahtevane zaradi zgornjih navedb. Izvajalec za povzročeno škodo drugim ne more zahtevati povračila plačila škode od Naročnika. </t>
  </si>
  <si>
    <t>0.3</t>
  </si>
  <si>
    <t>VRTANJA V PREDORU: 
Izvajajo se za potrebe geoloških raziskav, injektiranja in predvrtavanja. Predvrtavanje za zgodnje ugotavljanje prisotnosti podzemne vode se izvaja sistematično v geoloških formacijah v katerih je pričakovati vodo. 
IZKOP POD CEVNIM ŠČITOM  
Več izkopa zaradi žagastega profila pod cevnim ščitom. Cena je neodvisna od podpornega tipa. V ceni za enoto izkopa so zajeti vsi stroški podzemnega izkopa. Obračuna se volumen klina, ki nastane pod cevnim ščitom in mejno površino A.  
VEČ IZKOP ZARADI SISTEMSKEGA PODPIRANJA TEMENA 
Več izkopa zaradi žagastega profila (izkop pod sulicami) se obračuna skladno z določenim nadprofilom (üp).
VEČ IZKOP NAD MEJNO POVRŠINO A  
Več izkopa nad mejno površino A (slika v tehničnih specifikacijah). Nakladanje, prevozi oziroma prenosi materiala znotraj gradbišča (vmesne deponije, rampe, začasni talni obok, itd.) z nakladanjem in zvračanjem, lahko tudi večkratno prekladanje in zvračanje mora biti vključeno v cenah na enoto za izkope. Obračunan bo le izkop nad mejno površino A (hribinska stran nadprofila üp), ki bo s strani izvajalca na strokoven način dokazan, da je nastal kot posledica geološko-geotehničnih razmer.</t>
  </si>
  <si>
    <t>0.4</t>
  </si>
  <si>
    <t>DOTOKI V PREDOR
Doplačilo za dotoke hribinske vode, je predvideno z reduciranjem časovnih norm izvedbe podpornih tipov in zajemajo naslednje razrede: 
a) dotok vode pri izkopu 2-5 l/s
b) dotok vode pri izkopu 5-10 l/s
c) dotok vode pri izkopu 10-20 l/s
d) dotok vode pri izkopu 20-40 l/s
Dotoki vode v predor se merijo na mestu, oddaljenem 20 m od čela predora, na podlagi poziva Izvajalca oz. Inženirja. Meri se samo dotoki zajete in regulirano odvedene vode na mestu, ki je 20 m oddaljena od čela predora. Meritev se obvezno izvaja ob prisotnosti Inženirja. 
TRANSPORT MATERIALA 
a) V ceni transporta je potrebno upoštevati stroške nakladanja, razgrinjanja, predpisane v projektni dokumentaciji. 
b) Odvodnja vode na deponiji v času odlaganja. 
f) Transport izkopnega materiala iz predora do vmesne deponije na območju portala predora, mora biti vključen v stroške izkopa. 
g) Material za nadaljno uporabo se določi na podlagi ugotovitev inženirja in zunanje kontrole. 
h) Vključene so tudi količine več izkopa nad mejno površino A.</t>
  </si>
  <si>
    <t>1.1 Enkratni stroški gardbišča</t>
  </si>
  <si>
    <t>Enkratni stroški ureditve gradbišča - izvedba podzemnega izkopa in primarnega podpiranja</t>
  </si>
  <si>
    <t>Enkratni stroški gradbišča - izvedba predvrtavanja in injektiranja</t>
  </si>
  <si>
    <t>1.2 Časovno odvisni stroški gradbišča</t>
  </si>
  <si>
    <t>Časovno odvisni stroški gradbišča za podzemni izkop. Ponudnik ceno ponudi kot strošek glede na čas Ti</t>
  </si>
  <si>
    <t>Časovno odvisni stroški gradbišča za dela predvrtavanja in injektiranja. Ponudnik ceno ponudi kot strošek glede na vsoto časov T1.2</t>
  </si>
  <si>
    <t>1.3 Časi ustavitve del</t>
  </si>
  <si>
    <t>Časi ustavitve del-časi ustavitve del pri izkopu predora  Ponudnik ceno ponudi kot strošek glede na fiksni čas Tu.i</t>
  </si>
  <si>
    <t>2.1 Preddela</t>
  </si>
  <si>
    <t>Usmerjanje podzemnega izkopa predora</t>
  </si>
  <si>
    <t>2.2 Zemeljska dela</t>
  </si>
  <si>
    <t>Izkop kalote s stopnico predora v hribini s podpornim številom K+S-7/6,70_x000D_</t>
  </si>
  <si>
    <t>Izkop kalote s stopnico predora v hribini s podpornim številom K+S-5/0,77</t>
  </si>
  <si>
    <t>Izkop kalote s stopnico predora v hribini s podpornim številom K+S-7/16,78</t>
  </si>
  <si>
    <t>Izkop kalote s stopnico predora v hribini s podpornim številom K+S-6/7,71</t>
  </si>
  <si>
    <t>Izkop talnega oboka prečnika v hribini s podpornim številom TO-4/4</t>
  </si>
  <si>
    <t>Izkop talnega oboka prečnika v hribini s podpornim številom TO-5/4</t>
  </si>
  <si>
    <t>Izkop talnega oboka prečnika v hribini s podpornim številom TO-7/4</t>
  </si>
  <si>
    <t>2.3 Primarna podgradnja</t>
  </si>
  <si>
    <t>2.3.1 Brizgan beton</t>
  </si>
  <si>
    <t>2.3.1.1 Kalota s stopnico</t>
  </si>
  <si>
    <t>Izdelava brizganega cementnega betona C25/30, XC2, ds=5cm</t>
  </si>
  <si>
    <t>Izdelava brizganega cementnega betona C25/30, XC2, ds=15cm</t>
  </si>
  <si>
    <t>Izdelava brizganega cementnega betona C25/30, XC2, ds=20cm</t>
  </si>
  <si>
    <t>2.3.1.2 Talni obok</t>
  </si>
  <si>
    <t>2.3.1.4 Drugo</t>
  </si>
  <si>
    <t>Brizgani beton C25/30, XC2 za zapolnitev žagastega profila pod sulicami_x000D_</t>
  </si>
  <si>
    <t>Brizgani beton C25/30, XC2 za zapolnitev žagastega profila pod cevnim ščitom</t>
  </si>
  <si>
    <t>Dodatni brizgani beton C25/30, XC2, za zapolnitve nad mejno površino B_x000D_</t>
  </si>
  <si>
    <t>2.3.2 Armatura</t>
  </si>
  <si>
    <t>2.3.2.1 Kalota s stopnico</t>
  </si>
  <si>
    <t>Dobava in postavitev mreže iz vlečene jeklene žice B500A, s premerom &gt; od 4 in &lt; od 12 mm, masa 2,1 do 3 kg/m2</t>
  </si>
  <si>
    <t>2.3.2.2 Talni obok</t>
  </si>
  <si>
    <t>2.3.2.3 Čelo izkopa</t>
  </si>
  <si>
    <t>2.3.3 Sidra</t>
  </si>
  <si>
    <t>2.3.3.1 Kalota s stopnico</t>
  </si>
  <si>
    <t>Dobava in vgraditev SN sider nosilnosti 170 kN, dolžine 3 m</t>
  </si>
  <si>
    <t>Dobava in vgraditev SN sider nosilnosti 240 kN, dolžine 4 m</t>
  </si>
  <si>
    <t>Dobava in vgradnja ekspanzijskih trenjskih sider (tipa Swellex ali podobnih) dolžine 4 m, z Fy &gt;= 170 kN</t>
  </si>
  <si>
    <t>2.3.3.2 Čelo izkopa</t>
  </si>
  <si>
    <t>Samouvrtano injekcijsko sidro, Fy=&gt;240 kN, dolžine 15 m in element za raznos obtežbe</t>
  </si>
  <si>
    <t>2.3.4 Jekleni loki</t>
  </si>
  <si>
    <t>2.3.4.1 Kalota s stopnico</t>
  </si>
  <si>
    <t>Palični nosilec 50/20/30 B500B, Wx,min&gt;38 cm3</t>
  </si>
  <si>
    <t>2.3.5 Sulice</t>
  </si>
  <si>
    <t>Dobava in vgraditev jeklenih sulic iz rebrastih armaturnih palic B500B, premera 25 mm in dolžine 3 m, v malti</t>
  </si>
  <si>
    <t>Dobava in vgraditev jeklenih sulic iz rebrastih armaturnih palic B500B, premera 25 mm in dolžine 3 m, v vrtini</t>
  </si>
  <si>
    <t>2.3.6 Cevni ščit</t>
  </si>
  <si>
    <t>Dobava in vgradnja cevi jeklenega cevnega ščita 76,1 mm, debeline 6,3 mm, dolžine 15 m, kvaliteta jekla S355, injektiranje cevi. Preklop je min. 5 m.</t>
  </si>
  <si>
    <t>2.4 Predvrtavanje, injektiranje</t>
  </si>
  <si>
    <t>2.4.1 Predvrtavanje</t>
  </si>
  <si>
    <t>Vrtanje za ugotavljanje geološke strukture - udarno vrtanje do 30 m, premer vrtine najmanj 51 mm, preklop 5 m</t>
  </si>
  <si>
    <t>Vrtanje na območju vodonosnih con z uporabo preventorja, udarno vrtanje, premera vsaj 76 mm in dolžine do 30 m in preklop 5 m.</t>
  </si>
  <si>
    <t>2.4.1 Injektiranje</t>
  </si>
  <si>
    <t>Izdelava vrtin za izvedbo utrjevanja ali tesnilnih zaves. Vrtine se izvedejo z udarnim vrtanjem, so premera 60 mm in dolžine do 20 m. Raster vrtin je prikazan v načrtih.</t>
  </si>
  <si>
    <t>Dobava in vgradnja injekcijske cevi premera ca 50 mm z vsem pripadajočim materialom (packerji, tesnila, …)</t>
  </si>
  <si>
    <t>Dobava cementa in dodatkov ter priprava in izvedba injektiranja z injekcijsko maso. Cena vključuje vso potrebno opremo za injektiranje in druge manipulativne stroške.</t>
  </si>
  <si>
    <t>t</t>
  </si>
  <si>
    <t>Dobava mikrocementa, priprava in izvedba injektiranja z injekcijsko maso iz mikrocementa. Cena vključuje vso potrebno opremo za injektiranje in druge manipulativne stroške. 
Opombe: *Lastnosti mikrocementa: največja velikost zrna 0,02 mm, pri čemer mora biti najmanj 90% zrn manjših od 0,015 mm.</t>
  </si>
  <si>
    <t>Dobava PU mase, priprava in izvedba injektiranja (tesnilne zavese) z dvokomponentno poliuretansko (PU) maso. Cena vključuje vso potrebno opremo za injektiranje in druge manipulativne stroške.</t>
  </si>
  <si>
    <t>Izvedba testa učinkovitosti injektiranja z VDP (Lugeonov test) ali presiometrsko preiskavo, vključno z izvedbo vrtine in interpretacijo.</t>
  </si>
  <si>
    <t>3. Geotehnični monitoring</t>
  </si>
  <si>
    <t>MS-I: V posameznem profilu so predvidene tri merske točke, skladno z grafično prilogo G.1
Opombe: * Enota kos predstavlja posamezni merski profil.</t>
  </si>
  <si>
    <t>Geotehnični monitoring
Opombe: * meritev pomikov merskih točk in njihovo ovrednotenje
* 1x tedensko
* meritve in interpretacija v posameznem tednu</t>
  </si>
  <si>
    <t>4. Tuje storitve in ostalo</t>
  </si>
  <si>
    <t>3/2</t>
  </si>
  <si>
    <t>3/3</t>
  </si>
  <si>
    <t>PODPIRANJE PREDORA</t>
  </si>
  <si>
    <t xml:space="preserve">ZA NAČRT NOTRANJE OBLOGE PREDORA IN PORTALNIH </t>
  </si>
  <si>
    <t>KONSTRUKCIJ PRI IZVEDBI SANACIJE PREGRADE VOGRŠČEK</t>
  </si>
  <si>
    <t>Portalna konstrukcija</t>
  </si>
  <si>
    <t>Enkratni stroški ureditve gradbišča - izvedba betonerskih del</t>
  </si>
  <si>
    <t>Časovno odvisni stroški gradbišča-betonerska dela na notranji oblogi in portalni konstrukciji- Ponudnik ceno ponudi kot strošek glede na fiksni čas Tn</t>
  </si>
  <si>
    <t>Časovno odvisni stroški gradbišča-ostala dela- Ponudnik ceno ponudi kot strošek glede na fiksni čas To</t>
  </si>
  <si>
    <t>Časi ustavitve del-časi ustavitve del pri izvedbi notranje obloge in portalne konstrukcije.  Ponudnik ceno ponudi kot strošek glede na fiksni čas Tu.n</t>
  </si>
  <si>
    <t>2. Notranja obloga</t>
  </si>
  <si>
    <t>2.1 Hidroizolacija</t>
  </si>
  <si>
    <t>Hidroizolacija predora vključno z enim slojem geotekstila min. natezne trdnosti 1000N/50 mm in površinske prepustnosti min. 5x10-1/cm/s pri 2kPa ter PVC folije min. debeline 2 mm in natezne trdnosti 12 N/mm2.</t>
  </si>
  <si>
    <t>Obdelava površine brizganega betona predora (nosilec hidroizolacije) z brizganim cementnim betonom granulacije d=0-4 mm, C12/15, XC1. Debelina brizganega cementnega betona znaša od 3 do 5 cm.</t>
  </si>
  <si>
    <t>2.2 Gradbena in obrtniška dela</t>
  </si>
  <si>
    <t>2.2.1 Tesarska dela</t>
  </si>
  <si>
    <t>Izdelava podprtega opaža ojačenega  betona višine do 1,0 m.
Opombe: *Opaž talnega oboka na mestu centralnega kanala</t>
  </si>
  <si>
    <t>Dobava in vgradnja lesenih letev za opaženje strežnic, skladno z načrtom (razdalja med strežnicami 5 m)</t>
  </si>
  <si>
    <t>2.2.2 Dela z jeklom za ojačitev</t>
  </si>
  <si>
    <t>2.2.2.1 Obloga</t>
  </si>
  <si>
    <t>Nabava, dobava, rezanje in krivljenje srednje komplicirane armature iz palic do D=12 mm iz jekla B500B ter polaganje z vezanjem po projektu armature. Obračun po armaturnem izvlečku.
Opombe: * V ceni so zajeti tudi vezni, cementni distančniki in podložni materiali.
* Armatura v notranji oblogi</t>
  </si>
  <si>
    <t>Nabava, dobava, rezanje in krivljenje srednje komplicirane armature iz palic nad D=14 mm iz jekla B500B ter polaganje z vezanjem po projektu armature. Obračun po armaturnem izvlečku. 
Opombe: * V ceni so zajeti tudi vezni, cementni distančniki in podložni materiali.
* Armatura v notranji oblogi</t>
  </si>
  <si>
    <t>Dobava in vgradnja paličnega nosilca P50-20-30 v notranjo oblogo predora, vključno z U - distančniki za radialno stabilnost in distančnimi cevmi 3/4" za vzdolžno stabilnost loka.
Opombe: * Palični nosilec P50-20-30 za potrebe pritrditve armature notranje obloge</t>
  </si>
  <si>
    <t>2.2.2.2 Talni obok</t>
  </si>
  <si>
    <t>Nabava, dobava, rezanje in krivljenje srednje komplicirane armature iz palic do D=12 mm iz jekla B500B ter polaganje z vezanjem po projektu armature. Obračun po armaturnem izvlečku. V ceni so zajeti tudi vezni, distančni in podložni materiali - armatura v talnem oboku</t>
  </si>
  <si>
    <t>Nabava, dobava, rezanje in krivljenje srednje komplicirane armature iz palic nad D=14 mm iz jekla B500B ter polaganje z vezanjem po projektu armature. Obračun po armaturnem izvlečku. V ceni so zajeti tudi vezni, distančni in podložni materiali - armatura v talnem oboku</t>
  </si>
  <si>
    <t>2.2.3 Dela s cementnim betonom</t>
  </si>
  <si>
    <t>2.2.3.1 Obloga</t>
  </si>
  <si>
    <t>Dobava in vgradnja cementnega betona C30/37, XC3 Dmax=16mm, v notranjo oblogo predora, prereza od 0,16 do 0,30 m3/m2-m1. 
Opombe: *V ceni je vključeno vsakokratno čelno opaževanje ter vsa dela z opažem in distančniki.
*V enotni ceni je upoštevano tudi injektiranje praznine v temenu nad notranjo oblogo s cementno maso.</t>
  </si>
  <si>
    <t>2.2.3.2 Talni obok</t>
  </si>
  <si>
    <t>Dobava in vgradnja cementnega betona C30/37, XC4, XF2, PV-II Dmax=32mm, v notranjo oblogo predora, prereza nad 0,50  m3/m2-m1. 
Opombe: *V ceni je vključeno vsakokratno čelno opaževanje ter vsa dela z opažem in distančniki.</t>
  </si>
  <si>
    <t>2.2.3.3 Odvodnjavanje</t>
  </si>
  <si>
    <t>Dobava in vgraditev linijske rešetke iz duktilne litine za kineto, z nosilnostjo 15 kN
Opombe: * Pohodna rešetka širine 60 cm nad centralnim kanalom, vključno z nosilci in sredstvi za pritjevanje.</t>
  </si>
  <si>
    <t>3. Portalna konstrukcija</t>
  </si>
  <si>
    <t>Dela, ki zajemajo izkop in podpiranje začasnega portala so zajeta v popisu načrta 3/2 Načrt varovanja vtočne gradbene jame in začasnega portala</t>
  </si>
  <si>
    <t>Določitev in preverjanje položajev, višin in smeri pri gradnji objekta s površino nad 200 do 500 m2
Opombe: * Zakoličba portalnega objekta</t>
  </si>
  <si>
    <t>3.2  Zemeljska dela</t>
  </si>
  <si>
    <t>Vgraditev nasipa iz zrnate kamnine – 3. kategorije
Opombe: * Zasip portalne konstrukcije z izkopanim materialom</t>
  </si>
  <si>
    <t>Humuziranje (dobava in vgradnja) brežine brez valjanja, v debelini nad 15 cm - strojno
Opombe: *Debelina humusne plasti je 30 cm</t>
  </si>
  <si>
    <t>Doplačilo za zatravitev s semenom</t>
  </si>
  <si>
    <t>3.3  Odvodnjavanje</t>
  </si>
  <si>
    <t>Izdelava vzdolžne in prečne drenaže, globoke do 1,0 m, na podložni plasti iz cementnega betona, debeline 10 cm, z gibljivimi plastičnimi cevmi premera 15 cm
Opombe: * Drenažni jarek širine 50 cm, globine 70 cm
* Polna cev 160 mm</t>
  </si>
  <si>
    <t>Izdelava vzdolžne in prečne drenaže, globoke do 1,0 m, na podložni plasti iz cementnega betona, debeline 10 cm, z gibljivimi plastičnimi cevmi premera 10 cm
Opombe: * Jarek širine 50 cm, globine 70 cm; vključno s geostekstilno plastjo in zasipom
* Perforirana cev 110 mm</t>
  </si>
  <si>
    <t>Utrditev jarka s kanaletami na stik iz cementnega betona, dolžine 100 cm in notranje širine dna kanalete 30 cm, na podložni plasti iz zmesi zrn drobljenca, debeli 10 cm</t>
  </si>
  <si>
    <t>Izdelava jaška iz cementnega betona, krožnega prereza s premerom 60 cm, globokega do 1,0 m
Opombe: * Globina jaška 1,0 m 
* Izvedba po detajlu, vključno s podložnim betonom in betonom za vbetoniranje</t>
  </si>
  <si>
    <t>Izdelava jaška iz cementnega betona, krožnega prereza s premerom 100 cm, globokega nad 2,5 m
Opombe: * Globina jaška 4,0 m
* Izvedba po detajlu, vključno s podložnim betonom in betonom za vbetoniranje</t>
  </si>
  <si>
    <t>Dobava potopne črpalke s kapaciteto vsaj 5 l/s. Cena vključuje vse inštalacije za črpanje vode</t>
  </si>
  <si>
    <t>Izdelava izpusta drenaže, po načrtu, ne glede na globino ali oviranje z opažem, premera 15 cm</t>
  </si>
  <si>
    <t>3.4 Gradbena in obrtniška dela</t>
  </si>
  <si>
    <t>3.4.1 Hidroizolacija</t>
  </si>
  <si>
    <t>Dobava materiala in izdelava dvoslojne hidroizolacije na horizontalne betonske površine, izdelane z varjenimi plastomernimi bitumenskimi trakovi (2x) z dodatkom APP, debelimi 4 mm, vključno s pripravo površine in sprijemno plastjo iz hladnega bitumenskega veziva.
Opombe: * Talna in stropna plošča</t>
  </si>
  <si>
    <t>Dobava materiala in izdelava dvoslojne hidroizolacije na vertikalne betonske površine, izdelane z varjenimi plastomernimi bitumenskimi trakovi (2x) z dodatkom APP, debelimi 4,5 ali 5 mm, vključno s pripravo površine in sprijemno plastjo iz hladnega bitumenskega veziva.
Opombe: * Vertikalni elmenti</t>
  </si>
  <si>
    <t>Izdelava zaščitne plasti iz trdih penastih plošč v debelini 2,1 do 4,0 cm
Opombe: * Zaščita hidroizolacije</t>
  </si>
  <si>
    <t>3.4.2 Tesarska dela</t>
  </si>
  <si>
    <t>Izdelava podprtega opaža za bočne stranice ravnih plošč.</t>
  </si>
  <si>
    <t>Izdelava dvostranskega vezanega opaža za raven zid, visok 4,1 do 6 m</t>
  </si>
  <si>
    <t>Izdelava podprtega opaža za ravno ploščo s podporo, visoko 4,1 do 6 m</t>
  </si>
  <si>
    <t>Izdelava škatlastega opaža za razne odprtine nad 0,21 m2
Opombe: * Preboji cevi</t>
  </si>
  <si>
    <t>3.4.3 Dela z jeklom za ojačitev</t>
  </si>
  <si>
    <t>3.4.3.1 Obloga</t>
  </si>
  <si>
    <t>Nabava, dobava, rezanje in krivljenje armaturnih mrež iz jekla B500B ter polaganje z vezanjem po projektu armature. 
Opombe: * Obračun po armaturnem izvlečku. 
* V ceni so zajeti tudi vezni, cementni distančniki in podložni materiali.</t>
  </si>
  <si>
    <t>Nabava, dobava, rezanje in krivljenje srednje komplicirane armature iz palic do D=12 mm iz jekla B500B ter polaganje z vezanjem po projektu armature. 
Opombe: * Obračun po armaturnem izvlečku. 
* V ceni so zajeti tudi vezni, cementni distančniki in podložni materiali.</t>
  </si>
  <si>
    <t>Nabava, dobava, rezanje in krivljenje srednje komplicirane armature iz palic premera 14 mm in večjih, iz jekla B500B ter polaganje z vezanjem po projektu armature.
Opombe: * Obračun po armaturnem izvlečku. 
* V ceni so zajeti tudi vezni, cementni distančniki in podložni materiali.</t>
  </si>
  <si>
    <t>3.4.3.2 Dela s cementnim betonom</t>
  </si>
  <si>
    <t>Dobava in vgradnja cementnega betona C12/15, XC0 Dmax=12mm, prereza do 0,15 m3/m2-m1.
Opombe: * Podložni beton talne plošče portalne konstrukcije</t>
  </si>
  <si>
    <t>Dobava in vgradnja cementnega betona C30/37, XC4, XF2, PV-II, Dmax=32mm, prereza od 0,31 do 0,50 m3/m2-m1.
Opombe: * Talna plošča portalne konstrukcije</t>
  </si>
  <si>
    <t>Dobava in vgradnja cementnega betona C30/37, XC4, XF1, PV-II, Dmax=32mm, prereza od 0,31 do 0,50 m3/m2-m1.
Opombe: * Stene portalne konstrukcije</t>
  </si>
  <si>
    <t>Dobava in vgradnja cementnega betona C30/37, XC4, XF1, PV-II, Dmax=32mm, prereza od 0,31 do 0,50 m3/m2-m1.
Opombe: * Stropna plošča portalne konstrukcije</t>
  </si>
  <si>
    <t>3.4.3.3 Ključavničarska dela</t>
  </si>
  <si>
    <t>Izdelava in montaža dvokrilnih gladkih vrat brez nadsvetlobe iz jeklenih profilov, obita z bombirano pločevino, vgrajeno cilindrično ključavnico, 1x temeljno pleskana, dim. 3000x4000 mm
Opombe: * Vrata v portalni objekt</t>
  </si>
  <si>
    <t>3/4</t>
  </si>
  <si>
    <t>NOTRANJA OBLOGA</t>
  </si>
  <si>
    <t>ZA NAČRT VAROVANJA VTOČNE IN IZTOČNE GRADBENE JAME</t>
  </si>
  <si>
    <t>3.5.1</t>
  </si>
  <si>
    <t>3.5.2</t>
  </si>
  <si>
    <t>3.5.3</t>
  </si>
  <si>
    <t>Cevovod</t>
  </si>
  <si>
    <t>Izpustni objekt</t>
  </si>
  <si>
    <t>Odvzemni objekt</t>
  </si>
  <si>
    <t xml:space="preserve">Hidrotehnični objekti </t>
  </si>
  <si>
    <t>3/5</t>
  </si>
  <si>
    <t>NAČRT HIDROTEHNIČNIH OBJEKTOV</t>
  </si>
  <si>
    <t>Gradbena dela</t>
  </si>
  <si>
    <t>CEVOVODI</t>
  </si>
  <si>
    <t>Odstranjevalna in rušitvena dela</t>
  </si>
  <si>
    <t>Zemeljska dela</t>
  </si>
  <si>
    <t>Ostala dela</t>
  </si>
  <si>
    <t>Obrtniška dela</t>
  </si>
  <si>
    <t>GRADBENOOBRTNIŠKA DELA SKUPAJ</t>
  </si>
  <si>
    <t>SPLOŠNE OPOMBE K POPISU DEL</t>
  </si>
  <si>
    <t>Popis tvori celoto skupaj z grafičnim in teksualnim delom načrta, zato ga je potrebno brati skupaj s celotnim načrtom (grafike, tehnična poročila)</t>
  </si>
  <si>
    <t>Pri izdelavi ponudbe za posamezne postavke pregledati kompletno tehnično dokumentacijo z vsemi načrti.</t>
  </si>
  <si>
    <t>V posameznih postavkah je zajeto: dobava materiala, vgradnja materiala in gradbena pomoč inštalaterjem, razen kjer je eksplicitno drugače navedeno</t>
  </si>
  <si>
    <t>Ponudnik je dolžan o vsaki ugotovljeni neskladnosti med popisom in tehničnim poročilom/grafičnimi prikazi obvestiti projektanta in investitorja.</t>
  </si>
  <si>
    <t>Tam, kjer je v popisu določen kos opisan kot določen tip ali blagovna znamka (kot npr...), se to razume v smislu lažjega opisa: enakovreden ali boljši.</t>
  </si>
  <si>
    <t>Investitor bo zagotovil delovne površine v okviru ustreznega delovnega pasu. Na odsekih, kjer bo zaradi objektivnih vzrokov (v območju bližine objektov, konfiguracije terena, nepridobljenih soglasij ipd.) delovni pas ožji od običajnega se gradnja prilagodi dejanskim razmeram na terenu.</t>
  </si>
  <si>
    <t xml:space="preserve">Vse ostale površine, ki jih bo izvajalec potreboval za gradnjo in za organizacijo gradbišč, si bo moral priskbeti sam na svoje stroške.   </t>
  </si>
  <si>
    <t>Izvajalec mora omogočati stalen, prost in vzdrževan dostop za potrebe intervencije oz. vzdrževanja.</t>
  </si>
  <si>
    <t>Izvajalec je dolžan izvesti vsa dela kvalitetno, v skladu s predpisi, standardi, projektom, tehničnimi pogoji in v skladu z dobro gradbeno prakso.</t>
  </si>
  <si>
    <t>Izkopi za jarke, kanale in jaške vključujejo odmet na rob jarka oz. na tovorno vozilo in odvoz na deponijo</t>
  </si>
  <si>
    <t>Izvajalec mora v enotnih cenah upoštevati naslednje stroške, v kolikor le-ti niso upoštevani v posebnih postavkah:</t>
  </si>
  <si>
    <t>*</t>
  </si>
  <si>
    <t>vse stroške za pridobitev začasnih površin za gradnjo  izven delovnega pasu (soglasja, odškodnine, itd.);</t>
  </si>
  <si>
    <t>vse stroške v zvezi z začasnim odvozom, deponiranjem in vračanjem izkopanega materiala na mestih, kjer ga ne bo možno deponirati na gradbišču;</t>
  </si>
  <si>
    <t>vse stroške za postavitev gradbišča, gradbiščnih objektov, ureditev začasnih deponij, tekoče vzdrževanje in odstranitev gradbišča;</t>
  </si>
  <si>
    <t>vse stroške za sanacijo in kultiviranje površin delovnega pasu in gradbiščnih površin po odstranitvi objektov</t>
  </si>
  <si>
    <t>stroške za postavitev objekta s poslovnim prostorom vključno z opremo za dve delovni mesti in za skupne operativne sestanke vel. cca 20 m2 za potrebe investitorja, s tekočim vzdrževanjem in čiščenjem</t>
  </si>
  <si>
    <t>vse stroške v zvezi s transporti po javnih poteh in cestah: morebitne odškodnine, morebitne sanacije cestišč zaradi poškodb med gradnjo itd.</t>
  </si>
  <si>
    <t>stroške odvoza in zagotovitev odstranjevanja odpadnega gradbenega materiala skladno z zakonodajo na področju ravnanja z odpadki (odvoz na urejene deponije s taksami itd.)</t>
  </si>
  <si>
    <t>vsi stroški za zagotavljanje varnosti in zdravja pri delu, zlasti stroške za vsa dela, ki izhajajo iz zahtev Varnostnega načrta</t>
  </si>
  <si>
    <t>stroški odvoda meteorne vode iz gradbene jame in vode, ki se izceja iz bočnih strani izkopa, če je potrebno</t>
  </si>
  <si>
    <t>stroški dela v kampadah zaradi oteženih geoloških razmer</t>
  </si>
  <si>
    <t>stroški dela v nagnjenem terenu</t>
  </si>
  <si>
    <t>stroški oteženega izkopa v mokrem terenu, izkop v vodi, prekop potokov itd.</t>
  </si>
  <si>
    <t>Pred pričetkom del je treba vse opise, mere, količine in obdelave kontrolirati po zadnjeveljavnih načrtrih, detajlih in opisih.</t>
  </si>
  <si>
    <t>V ceno vključiti ves material, delo, dobavo, montažo, prenose in prevoze</t>
  </si>
  <si>
    <t>V kolikor želi izvajalec prilagoditi izvedbo svoji tehnologiji, mora izdelati ustrezno projektno dokumentacijo z detajli. Tehnološke risbe in projektno dokumentacijo z detajli mora pregledati in s podpisom potrditi arhitekt. Izvajanjena objektu se lahko prične, ko projektant potrdi risbe.</t>
  </si>
  <si>
    <t>Pred pričetkom izvajanja del je mora izvajalec preveriti kvaliteto predhodno izvršenih del, ki bi lahko vplivali na kvaliteto, sigurnost in trajnost elementovl za izvedbo strehe. Kasnejše relemacije se ne bodo upoštevale.</t>
  </si>
  <si>
    <t>Izvajalec mora izdelati tehnološke risbe z detajli, ki jih je potrebno izvesti za končanje posameznih del, tudi če niso podrobno navedeni in opisani v popisu in načrtih, so pa nujna za pravilno funkcioniranje posameznih sistemov in elemnotv. Potrditi jih mora odgovorni projektant statike in arhitekture.</t>
  </si>
  <si>
    <t>Izvajalec je dolžan pri sestavi ponudbe (in izvajanju del) upoštevati vse grafične in tekstualne dele projekta (PZI).</t>
  </si>
  <si>
    <t>V primeru tiskarskih napak in neskladij v projektu je dolžan na to opozoriti projektanta pred oddajo ponudbe</t>
  </si>
  <si>
    <t>Izvajalec je dolžan pri ponudbi upoštevati vse povezane stroške, ki so potrebni za tehnično pravilno izvedbo del, ki jih ponuja v izvedbo (kot npr. razni pritrdilni material, vezni in tesnilni material, podkonstrukcije in podobno).</t>
  </si>
  <si>
    <t>Izvajalec je dolžan pri ponudbi upoštevati vse povezane stroške, ki so potrebni za tehnično pravilno izvedbo del, ki jih ponuja v izvedbo (kot npr. razni pritrdilni material, vezni in tesnilni material, stikovanje, sidra, nosilne profile, podkonstrukcije in podobno).</t>
  </si>
  <si>
    <t>Pri izvedbi se je treba držati načrtov in navodil oziroma tolmačenj projektanta. V primeru nejasnosti mora izvajalec del oz. ponudnik že v času izdelave ponudbe iskati ustrezna tolmačenja glavnega projektanta. V primeru, da izvajalec opazi v načrtu oz. detajlu napako, mora nanjo opozoriti, delo pa izvesti strokovno pravilno.</t>
  </si>
  <si>
    <t>Vsa dela morajo biti izvedena pravilno in po pravilih stroke oz. po določilih veljavnih tehničnih predpisov, normativov ter skladno z obveznimi standardi.</t>
  </si>
  <si>
    <t>Pri vseh postavkah upoštevati tudi:</t>
  </si>
  <si>
    <r>
      <t>vsa potrebna pripravljalna in zaključna dela</t>
    </r>
    <r>
      <rPr>
        <sz val="10"/>
        <rFont val="Arial"/>
        <family val="2"/>
        <charset val="238"/>
      </rPr>
      <t/>
    </r>
  </si>
  <si>
    <t>vse potrebne transporte do mesta vgrajevanja (vsi manipulativnimi stroški)</t>
  </si>
  <si>
    <t>vsa potrebna merjenja</t>
  </si>
  <si>
    <t>vse potrebno delo in material</t>
  </si>
  <si>
    <t>ves potrebni glavni in pomožni, pritrdilni tesnilni in vezni material</t>
  </si>
  <si>
    <t>terminsko usklajevanje del z ostalimi izvajalci na objektu</t>
  </si>
  <si>
    <t>vsa potrebna pomožna sredstva na objektu kot so lestve, odri, …</t>
  </si>
  <si>
    <t>usklajevanje z osnovnim načrtom in posvetovanje s projektantom</t>
  </si>
  <si>
    <t>povračilo morebitne škode povzročene ostalim izvajalcem</t>
  </si>
  <si>
    <t>čiščenje izdelkov in delovnih priprav med delom in po končanem delu</t>
  </si>
  <si>
    <t>čiščenje in odvoz gradbenih odpadkov na trajno deponijo</t>
  </si>
  <si>
    <t>skladiščenje materiala na gradbišču</t>
  </si>
  <si>
    <t>eventuelne poškodbe in čiščenja javnih vozišč ter drugih površin zaradi prevozov bremenijo izvajalca. Izvajalec del mora posebej paziti na vse obstoječe komunalne in energetske priključke</t>
  </si>
  <si>
    <t>dela in ukrepe po določilih veljavnih predpisov varstva pri delu</t>
  </si>
  <si>
    <t>preizkušanje kvalitete materiala, ki se vgrajuje in dokazovanje kvalitete z atesti</t>
  </si>
  <si>
    <t>Opombe:</t>
  </si>
  <si>
    <r>
      <t>Zakoličba obstoječih komunalnih vodov</t>
    </r>
    <r>
      <rPr>
        <sz val="9"/>
        <rFont val="Arial"/>
        <family val="2"/>
      </rPr>
      <t>, (npr. javne razsvetljave, elektro NN vodov in vodovoda…) v območju zemeljskih del, obračun komplet;</t>
    </r>
  </si>
  <si>
    <r>
      <t>Zakoličba novega objekta, s postavitvijo gradbenih profilov in označbo višin</t>
    </r>
    <r>
      <rPr>
        <sz val="9"/>
        <rFont val="Arial"/>
        <family val="2"/>
        <charset val="238"/>
      </rPr>
      <t>, obračun komplet;</t>
    </r>
  </si>
  <si>
    <r>
      <t>Rušenje betonskih in armiranobetonskih konstrukcij</t>
    </r>
    <r>
      <rPr>
        <sz val="9"/>
        <rFont val="Arial"/>
        <family val="2"/>
      </rPr>
      <t xml:space="preserve"> (obstoječe obetonirane cevi talnega izpusta, jaški, manjši temelji in podobno), z odstranjevanjem ruševin ter nalaganje in odvoz na stalno deponijo, vključno s plačilom ustrezne pristojbine, obračun po m3;</t>
    </r>
  </si>
  <si>
    <t>Pred izvedbo temeljev mora gradbeno jamo pregledati in prevzeti geomehanik ter potrditi predpostavljene vrednosti in način temeljenja ali podati navodila za pogoje temeljenja in predpisati ukrepe za morebitno sanacijo temeljnih tal na posameznih globinah temeljenja.</t>
  </si>
  <si>
    <t>Tehnologija izvedbe izkopa in varovanja gradbene jame je predmet izvajalca. Pred potrditvijo načina izkopa in varovanja je potrebno pridobiti potrditev projektnata gradbenih konstrukcij in geomehanika. Po opravljenem izkopu in kontroli geomehanik poda svoje mneneje, ki je merodajno za nadaljevanje dela.</t>
  </si>
  <si>
    <t>Izvajalec je dolžan pri izvedbi izkopov prestaviti vse obstoječe inštalacijske vode: fekalno in meteorno kanalizacijo, elektroinštalacijo, telefon, vodovod, plinovod...</t>
  </si>
  <si>
    <t xml:space="preserve">Ves vgradni material mora imeti ustrezne ateste, mora biti vgrajen po predpisih in mora ustrezati veljavnim predpisom in standardom. </t>
  </si>
  <si>
    <t>Pri postavkah, kjer je določen odvoz odpadnega materiala oziroma ruševin (gradbeni odpadki) na trajno deponijo pomeni, da za odvoz poskrbi izvajalec.</t>
  </si>
  <si>
    <t xml:space="preserve">Obračun izvršenih količin predstavlja netto izkopane količine v raščenem stanju. </t>
  </si>
  <si>
    <t>Obračun izvršenih količin predstavlja netto zasipne količine v utrjenem stanju.</t>
  </si>
  <si>
    <t xml:space="preserve">Izkop gradbene jame mora biti izveden na način, ki ustreza kvaliteti in lastnosti zemljin (glej Geotehnično poročilo). </t>
  </si>
  <si>
    <t>Dno gradbene jame mora biti izvedeno ravno s točnostjo ±3 cm na dolžini letve 3,00 m. Za nasipavanje mora biti uporabljen izbran čisti gramozni material.</t>
  </si>
  <si>
    <t>Zasipavanje je izvajati v slojih, z utrjevanjem vsakega sloja posebej tako, da je posedanje materiala zmanjšano na minimum. Modul utrjevanja nasipa je odvisen od predvidenih površinskih obremenitev.</t>
  </si>
  <si>
    <t>Dejansko potrebne module zbitosti določi geomehanik.</t>
  </si>
  <si>
    <t xml:space="preserve">Nasip mora imeti tudi funkcijo drenažnega sloja, da se prepreči zbiranje vode v področju vkopanih zidov in temeljev. </t>
  </si>
  <si>
    <t xml:space="preserve">Lokacijo deponije za nasipni material določiti z načrtom "Organizacija gradbišča". </t>
  </si>
  <si>
    <t xml:space="preserve">Ves odvečni material transportirati izven gradbišča na trajno deponijo. </t>
  </si>
  <si>
    <t>Pri vseh pozicijah upoštevati tudi:</t>
  </si>
  <si>
    <t>vse potrebne gradbene profile</t>
  </si>
  <si>
    <t>pregled bočnih strani izkopa vsak dan pred pričetkom dela, zlasti po dež. vremenu, mrazu ali miniranju</t>
  </si>
  <si>
    <t>plačilo dajatev za trajno deponijo</t>
  </si>
  <si>
    <r>
      <t>Planiranje in utrjevanje</t>
    </r>
    <r>
      <rPr>
        <sz val="9"/>
        <rFont val="Arial"/>
        <family val="2"/>
        <charset val="238"/>
      </rPr>
      <t xml:space="preserve"> pod temelji in talnimi ploščami, pomožna dela, prenosi, obračun po m2;</t>
    </r>
  </si>
  <si>
    <t>Ostala zemeljska dela so zajeta v okviru pripravljalnih del ureditve gradbišča in gradnje predorske cevi s portalom.</t>
  </si>
  <si>
    <t>Vsa dela morajo biti izvedena pravilno in po pravilih stroke oz. po določilih veljavnih tehničnih predpisov, normativov ter skladno z obveznimi standardi (SIST EN 206, SIST 1026, SIST EN 13670, SIST EN 10080, tolerance ravnine betonov po DIN 18202).</t>
  </si>
  <si>
    <t>Material za ta dela mora po kvaliteti ustrezati določilom veljavnih normativov in standardov.</t>
  </si>
  <si>
    <t>Betonska armatura mora biti obdelana v skladu z veljavninimi predpisi v kvaliteti predpisani v statičnem računu in izdelana točno po armaturnih načrtih. Pritrjena mora biti tako, da ostane med betoniranjem v zahtevanem položaju.</t>
  </si>
  <si>
    <t>Končno poročilo preiskav betona, ki ga izvede pooblaščena institucija, je vkalkulirano v ceni po enoti mere.</t>
  </si>
  <si>
    <t>Za posamezne vidne konstrukcije je potrebno vgrajevati enako kvaliteto mešanice betona in enako kvaliteto cementa istega proizvajalca.</t>
  </si>
  <si>
    <t>Za izvajalca del so merodajne marke betonov, ki so navedene v posamezni postavki popisa oziroma v statičnem računu in armaturnih načrtih. V primeru neskladnosti velja tolmačenje statika.</t>
  </si>
  <si>
    <t>Za obliko in mesto ev. delovne rege ali prekinitve betoniranja se je potrebno predhodno dogovoriti s projektantom statike.</t>
  </si>
  <si>
    <t>Pri izvedbi se je treba držati načrtov in navodil oziroma tolmačenj projektanta. V primeru nejasnosti mora izvajalec del oz. ponudnik že v času izdelave ponudbe iskati ustrezna tolmačenja glavnega projektanta. V primeru, da izvajalec opazi v načrtu oziroma detajlu napako, mora nanjo opozoriti, delo pa izvesti strokovno pravilno.</t>
  </si>
  <si>
    <t>izdelava betona</t>
  </si>
  <si>
    <t>vse delavniške načrte izdela izvajalec</t>
  </si>
  <si>
    <t>zgoščevanje in negovanje betona (močenje, zaščita pred mrazom, soncem, vetrom, tresljaji itd.)</t>
  </si>
  <si>
    <t>vgradnjo vseh sider oz kovinskih nosilnih elementov za ostala gradbena in obrtniška dela</t>
  </si>
  <si>
    <t>čiščenje opažev po montaži armature</t>
  </si>
  <si>
    <t>čiščenje in vlaženje opažev neposredno pred pričetkom betoniranja</t>
  </si>
  <si>
    <t>manjša popravila opažev med betoniranjem</t>
  </si>
  <si>
    <t>vmetavanje betona v opaže ter premeščanje lijaka ali transportne cevi med betoniranjem</t>
  </si>
  <si>
    <t>čiščenje betonskega železa od blata, rje, ki se lušči, maščobe; postavljanje podložk in začasno vezanje armature k opažu</t>
  </si>
  <si>
    <t>kontrolirati, da so vsa sidra, škatle, vložki, doze, cevi in podobno, na predvidenih mestih</t>
  </si>
  <si>
    <t>za vidne konstrukcije je potrebno vgrajevati eanako kvaliteto mešanice betona in enako kvaliteto cementa istega proizvajalca</t>
  </si>
  <si>
    <t>čiščenje gradbišča, objekta in konstrukcijskih elemntov zaradi betoniranja</t>
  </si>
  <si>
    <r>
      <rPr>
        <b/>
        <sz val="9"/>
        <rFont val="Arial"/>
        <family val="2"/>
        <charset val="238"/>
      </rPr>
      <t>Izdelava, dobava in montaža jeklenih konstrukcij</t>
    </r>
    <r>
      <rPr>
        <sz val="9"/>
        <rFont val="Arial"/>
        <family val="2"/>
        <charset val="238"/>
      </rPr>
      <t>, dimenzij in oblik po statičnem računu in detajlih, vročecinkano ter finalno pleskano z antikorozijsko barvo po izbiri projektanta, v ceni na enoto zajeti tudi izdelavo delavniške dokumentacije (izdela jo izvajalec kovinske konstrukcije), izravnalni sloj / podlivanje jeklene konstrukcije z Alteks malto, sidranje jeklene konstrukcije v nosilno konstrukcijo ter izvedbo pregleda jeklene konstrukcije s strani pooblaščenega inštituta oziroma odgovornega statika in izdaje poročila, z vsemi deli in vsem pritrdilnim materialom, obračun po kilogramu;</t>
    </r>
  </si>
  <si>
    <r>
      <rPr>
        <b/>
        <sz val="9"/>
        <rFont val="Arial"/>
        <family val="2"/>
        <charset val="238"/>
      </rPr>
      <t>Izdelava in vgradnja jeklenega cevovoda</t>
    </r>
    <r>
      <rPr>
        <sz val="9"/>
        <rFont val="Arial"/>
        <family val="2"/>
        <charset val="238"/>
      </rPr>
      <t xml:space="preserve"> iz standardnih jeklenih cevi prereza 1220 mm debeline stene 10 mm  (zagotoviti skladnost s SIST EN 10217-1 do 6), komplet s medsebojnim spajanjem cevnega matariala  ter tudi standardnih flanž  (varjenje skladno s DIN EN ISO 9692-1 komplet z varilnim materialom in pripravo spojev in vijačenmi spoji komplet z inox spojnim materjalom). V ceni na enotozajeti tudi zaščito cevovoda (v skladu z SIST EN ISO 12944-1 do 8) pregled cevovoda in zvarov, začasno podpiranje in vgradnjo na končno lego. V ceni na enoto zajeti tudi izdelavo delavniške dokumentacije (izdela jo izvajalec konstrukcijskega sklopa), ter izvedbo pregleda vgradnje s strani pooblaščenega inštituta oziroma odgovornega statika in izdaje poročila, z vsemi deli in vsem pritrdilnim materialom. Flanže so zajete v postavki za fazonsne kose. Obračun po kilogramu;</t>
    </r>
  </si>
  <si>
    <r>
      <rPr>
        <b/>
        <sz val="9"/>
        <rFont val="Arial"/>
        <family val="2"/>
        <charset val="238"/>
      </rPr>
      <t>Izdelava in vgradnja jeklenega cevovoda</t>
    </r>
    <r>
      <rPr>
        <sz val="9"/>
        <rFont val="Arial"/>
        <family val="2"/>
        <charset val="238"/>
      </rPr>
      <t xml:space="preserve"> iz standardnih jeklenih cevi prereza 1016 mm debeline stene 10 mm  (zagotoviti skladnost s SIST EN 10217-1 do 6), komplet s medsebojnim spajanjem cevnega matariala  ter tudi standardnih flanž  (varjenje skladno s DIN EN ISO 9692-1 komplet z varilnim materialom in pripravo spojev in vijačenmi spoji komplet z inox spojnim materjalom). V ceni na enotozajeti tudi zaščito cevovoda (v skladu z SIST EN ISO 12944-1 do 8) pregled cevovoda in zvarov, začasno podpiranje in vgradnjo na končno lego. V ceni na enoto zajeti tudi izdelavo delavniške dokumentacije (izdela jo izvajalec konstrukcijskega sklopa), ter izvedbo pregleda vgradnje s strani pooblaščenega inštituta oziroma odgovornega statika in izdaje poročila, z vsemi deli in vsem pritrdilnim materialom. Flanže so zajete v postavki za fazonsne kose. Obračun po kilogramu;</t>
    </r>
  </si>
  <si>
    <r>
      <rPr>
        <b/>
        <sz val="9"/>
        <rFont val="Arial"/>
        <family val="2"/>
        <charset val="238"/>
      </rPr>
      <t>Izdelava in vgradnja fazonskih kosov</t>
    </r>
    <r>
      <rPr>
        <sz val="9"/>
        <rFont val="Arial"/>
        <family val="2"/>
        <charset val="238"/>
      </rPr>
      <t xml:space="preserve"> iz jeklenih cevi prereza 1220 mm debeline stene 10 mm (v nadaljebvanju DN 1200),  jeklenih cevi prereza 1016 mm debeline stene 10 mm (v nadaljebvanju DN 1000) (zagotoviti skladnost s SIST EN 10217-1 do 6) in standardnih flanž PN 16 (zagotoviti skladnost s SIST EN 1092-1) komplet s medsebojnim spajanjem cevnega matariala ter tudi standardnih flanž  (varjenje skladno s DIN EN ISO 9692-1 komplet z varilnim materialom in pripravo spojev in vijačenmi spoji komplet z inox spojnim materjalom). V ceni na enoto zajeti tudi zaščito fazonskih kosov (v skladu z SIST EN ISO 12944-1 do 8) pregled izvedbe in zvarov, začasno podpiranje in vgradnjo na končno lego. V ceni na enoto zajeti tudi izdelavo delavniške dokumentacije (izdela jo izvajalec konstrukcijskega sklopa), ter izvedbo pregleda vgradnje s strani pooblaščenega inštituta oziroma odgovornega statika in izdaje poročila, z vsemi deli in vsem pritrdilnim materialom, obračun po kilogramu;</t>
    </r>
  </si>
  <si>
    <t>seznam fazonov:</t>
  </si>
  <si>
    <t>4x flanža DN 1200</t>
  </si>
  <si>
    <t>8x flanža DN 1000</t>
  </si>
  <si>
    <t>1x T 1000/1000</t>
  </si>
  <si>
    <t>1x X 1000</t>
  </si>
  <si>
    <t>2x MDK 1000</t>
  </si>
  <si>
    <r>
      <t xml:space="preserve">Obbetoniranje jeklenih cevi </t>
    </r>
    <r>
      <rPr>
        <sz val="9"/>
        <rFont val="Arial"/>
        <family val="2"/>
        <charset val="238"/>
      </rPr>
      <t>z betonom C 25/30 z vgradnjo armaturne mtreže Q335 na podlago posložnega betona C12/15, komplet po detajlu vključno s tesarskimi deli (poraba betona za cev DN 1200 C25/30 2,1 m3/m in C 12/15 m3/m).</t>
    </r>
  </si>
  <si>
    <t>GRADBENOOBRTNIŠKA DELA</t>
  </si>
  <si>
    <t>OBRTNIŠKA DELA</t>
  </si>
  <si>
    <t>V ceni vseh postavk je zajeti vsa dela, ves osnovni in pritrdilni material, vse prenose, finalno obdelavo po opisih v postavkah, vse za gotove vgrajene elemente. Prav tako vse obrobe in zaključke, razen če so zajeti v posebni postavki. Izvajalec del je dolžan v ceni upoštevati vse delovne odre in mehanizacijo za potrebe montaže. Pripravo delavniške dokumentacije za vgradnjo vseh elementov. Pripravo detajlov s tehničnim opisom. Umestitev detajlov v obstoječe arhitekturne podloge.</t>
  </si>
  <si>
    <t>Pri izvedbi je potrebno upoštevati tudi navodila, pogoje in podatke proizvajalca krovnega materiala, ki je uporabljen pri predmetnem objektu.</t>
  </si>
  <si>
    <t>Izvajalec izolacijskih del mora preučiti z načrtom zahtevane tehnične karakteristike, za predvideno hidro in toplotno izolacijo. Za proizvode, predvidene za vgradnjo, mora izvajalec predložiti tehnične liste (osnove za izjave o skladnosti).</t>
  </si>
  <si>
    <t>Polaganje enega sloja strešne lepenke pod pločevinastimi oblogami na opeki, malti in betonu.</t>
  </si>
  <si>
    <t>Dela izvajati točno po določilih in navodilih dobavitelja kritine z upoštevanjem veljavnih tehničnih predpisov in standardov.</t>
  </si>
  <si>
    <t>kontrola in čiščenje podlag</t>
  </si>
  <si>
    <t>vsa potrebna tesnenja</t>
  </si>
  <si>
    <r>
      <t>Dobava in vgradnja clam on merilcev pretoka</t>
    </r>
    <r>
      <rPr>
        <sz val="9"/>
        <rFont val="Arial"/>
        <family val="2"/>
        <charset val="238"/>
      </rPr>
      <t xml:space="preserve"> (vgradnja prilagojena cevem DN 1000 in DN 1200) direktno na cev komplet s dvema senzorjema, potrebnimi nastavki in skupnim kontrolerjem (kot npr .  Risonic Clamp on), napajanje predvideno iz lokalne EE omarice izpustnega objekta, komplet po navoodilih proizvajalca.</t>
    </r>
    <r>
      <rPr>
        <b/>
        <sz val="9"/>
        <rFont val="Arial"/>
        <family val="2"/>
      </rPr>
      <t xml:space="preserve"> </t>
    </r>
  </si>
  <si>
    <t>kom</t>
  </si>
  <si>
    <t>i</t>
  </si>
  <si>
    <t>Betonska dela</t>
  </si>
  <si>
    <t>Tesarska dela</t>
  </si>
  <si>
    <t>Zidarska dela</t>
  </si>
  <si>
    <t>Krovskokleparska dela</t>
  </si>
  <si>
    <t>Ključavničarska dela</t>
  </si>
  <si>
    <t>Stavbno pohištvo</t>
  </si>
  <si>
    <t>Slikopleskarska dela</t>
  </si>
  <si>
    <r>
      <t>Odstranitev elektro inšt</t>
    </r>
    <r>
      <rPr>
        <b/>
        <sz val="9"/>
        <rFont val="Arial"/>
        <family val="2"/>
        <charset val="238"/>
      </rPr>
      <t>alacij</t>
    </r>
    <r>
      <rPr>
        <sz val="9"/>
        <rFont val="Arial"/>
        <family val="2"/>
        <charset val="238"/>
      </rPr>
      <t xml:space="preserve"> (inštalacije, svetila, stikala, el. omare…vse komplet) z nakladanjem in odvozom na stalno deponijo, vključno s plačilom ustrezne pristojbine;</t>
    </r>
  </si>
  <si>
    <r>
      <t>Odstranitev strojnih inšt</t>
    </r>
    <r>
      <rPr>
        <b/>
        <sz val="9"/>
        <rFont val="Arial"/>
        <family val="2"/>
        <charset val="238"/>
      </rPr>
      <t xml:space="preserve">alacij </t>
    </r>
    <r>
      <rPr>
        <sz val="9"/>
        <rFont val="Arial"/>
        <family val="2"/>
        <charset val="238"/>
      </rPr>
      <t>(ventili in vsa ostala strojna oprema...vse komplet), z nakladanjem in odvozom na stalno deponijo, vključno s plačilom ustrezne pristojbine;</t>
    </r>
  </si>
  <si>
    <r>
      <t>Odstranitev neuporabne notranje opreme</t>
    </r>
    <r>
      <rPr>
        <sz val="9"/>
        <rFont val="Arial CE"/>
        <family val="2"/>
        <charset val="238"/>
      </rPr>
      <t>, komplet z iznosom, nakladanjem in odvozom na stalno deponijo, vključno s plačilom ustrezne pristojbine; (uporabno oz neuporabno opremo določi investitor oz. uporabnik)</t>
    </r>
  </si>
  <si>
    <r>
      <t>Iznos oziroma prestavitev uporabne notranje opreme</t>
    </r>
    <r>
      <rPr>
        <sz val="9"/>
        <rFont val="Arial"/>
        <family val="2"/>
      </rPr>
      <t xml:space="preserve"> na novo lokacijo, ki jo določi investitor - uporabnik; (uporabno oz neuporabno opremo določi investitor oz. uporabnik)</t>
    </r>
  </si>
  <si>
    <r>
      <t xml:space="preserve">Demontaža in odstranitev žičnih ograj </t>
    </r>
    <r>
      <rPr>
        <sz val="9"/>
        <rFont val="Arial"/>
        <family val="2"/>
        <charset val="238"/>
      </rPr>
      <t>višine do 1,2 m, komplet s stebrički, z nakladanjem in odvozom v javno deponijo, vključno s plačilom ustrezne pristojbine, obračun po tekočem metru;</t>
    </r>
  </si>
  <si>
    <r>
      <t xml:space="preserve">Demontaža in odstranitev kovinskih ograj </t>
    </r>
    <r>
      <rPr>
        <sz val="9"/>
        <rFont val="Arial"/>
        <family val="2"/>
        <charset val="238"/>
      </rPr>
      <t>višine do 1m, z nakladanjem in odvozom v javno deponijo, vključno s plačilom ustrezne pristojbine, obračun po m2;</t>
    </r>
  </si>
  <si>
    <r>
      <t>Demontaža in odstranitev zamrežitve pod nadstreškom</t>
    </r>
    <r>
      <rPr>
        <sz val="9"/>
        <rFont val="Arial"/>
        <family val="2"/>
        <charset val="238"/>
      </rPr>
      <t xml:space="preserve"> (zamrežitev z armaturno mrežo) z nakladanjem in odvozom v javno deponijo, vključno s plačilom ustrezne pristojbine, obračun po m2;</t>
    </r>
  </si>
  <si>
    <r>
      <t>Demontaža in odstranitev kovinskih lestev</t>
    </r>
    <r>
      <rPr>
        <sz val="9"/>
        <rFont val="Arial"/>
        <family val="2"/>
        <charset val="238"/>
      </rPr>
      <t>, komplet s hrbtnim varovalom, višine do 4,6m, z nakladanjem in odvozom v javno deponijo, vključno s plačilom ustrezne pristojbine, obračun po m2;</t>
    </r>
  </si>
  <si>
    <r>
      <t>Odstranitev kleparskih elementov</t>
    </r>
    <r>
      <rPr>
        <sz val="9"/>
        <rFont val="Arial"/>
        <family val="2"/>
        <charset val="238"/>
      </rPr>
      <t xml:space="preserve"> z nakladanjem in odvozom v javno deponijo, vključno s plačilom ustrezne pristojbine, obračun po tekočem metru; (strešne obrobe)</t>
    </r>
  </si>
  <si>
    <r>
      <t>Demontaža</t>
    </r>
    <r>
      <rPr>
        <b/>
        <sz val="9"/>
        <rFont val="Arial"/>
        <family val="2"/>
        <charset val="238"/>
      </rPr>
      <t xml:space="preserve"> in odstranitev strešnega sendvič toplotnoizolativnega panela</t>
    </r>
    <r>
      <rPr>
        <sz val="9"/>
        <rFont val="Arial"/>
        <family val="2"/>
        <charset val="238"/>
      </rPr>
      <t xml:space="preserve"> </t>
    </r>
    <r>
      <rPr>
        <b/>
        <sz val="9"/>
        <rFont val="Arial"/>
        <family val="2"/>
        <charset val="238"/>
      </rPr>
      <t xml:space="preserve">na objektu </t>
    </r>
    <r>
      <rPr>
        <sz val="9"/>
        <rFont val="Arial"/>
        <family val="2"/>
        <charset val="238"/>
      </rPr>
      <t>(TI paneli deb. 5cm), komplet z vso podkonstrukcijo, z nakladanjem in odvozom v javno deponijo, vključno s plačilom ustrezne pristojbine, obračun po m2;</t>
    </r>
  </si>
  <si>
    <r>
      <t>Demontaža</t>
    </r>
    <r>
      <rPr>
        <b/>
        <sz val="9"/>
        <rFont val="Arial"/>
        <family val="2"/>
        <charset val="238"/>
      </rPr>
      <t xml:space="preserve"> in odstranitev pločevinaste strešne kritine na nadstrešku</t>
    </r>
    <r>
      <rPr>
        <sz val="9"/>
        <rFont val="Arial"/>
        <family val="2"/>
        <charset val="238"/>
      </rPr>
      <t>, z nakladanjem in odvozom v javno deponijo, vključno s plačilom ustrezne pristojbine, obračun po m2;</t>
    </r>
  </si>
  <si>
    <r>
      <t>Demontaža</t>
    </r>
    <r>
      <rPr>
        <b/>
        <sz val="9"/>
        <rFont val="Arial"/>
        <family val="2"/>
        <charset val="238"/>
      </rPr>
      <t xml:space="preserve"> in odstranitev kovinske konstrukcije nadstreška</t>
    </r>
    <r>
      <rPr>
        <sz val="9"/>
        <rFont val="Arial"/>
        <family val="2"/>
        <charset val="238"/>
      </rPr>
      <t>, komplet z razrezom, nakladanjem in odvozom v javno deponijo, vključno s plačilom ustrezne pristojbine, obračun po kilogramu;</t>
    </r>
  </si>
  <si>
    <r>
      <t>Odstranitev oken velikosti do 2 m2,</t>
    </r>
    <r>
      <rPr>
        <sz val="9"/>
        <rFont val="Arial"/>
        <family val="2"/>
      </rPr>
      <t xml:space="preserve"> kompletno z okvirji, z nakladanjem in odvozom v javno deponijo, vključno s plačilom ustrezne pristojbine, obračun po komadu;</t>
    </r>
  </si>
  <si>
    <r>
      <t>Odstranitev vrat velikosti do 2 m2</t>
    </r>
    <r>
      <rPr>
        <sz val="9"/>
        <rFont val="Arial"/>
        <family val="2"/>
      </rPr>
      <t>, upoštevati snemanje vratnih kril, izbijanje okvirjev ter nakladanjem in odvozom v javno deponijo, vključno s plačilom ustrezne pristojbine, obračun po komadu;</t>
    </r>
  </si>
  <si>
    <r>
      <t>Demontaža</t>
    </r>
    <r>
      <rPr>
        <b/>
        <sz val="9"/>
        <rFont val="Arial"/>
        <family val="2"/>
        <charset val="238"/>
      </rPr>
      <t xml:space="preserve"> in odstranitev kovinskih deflektorjev</t>
    </r>
    <r>
      <rPr>
        <sz val="9"/>
        <rFont val="Arial"/>
        <family val="2"/>
        <charset val="238"/>
      </rPr>
      <t>, komplet z razrezom, nakladanjem in odvozom v javno deponijo, vključno s plačilom ustrezne pristojbine, obračun po komadu;</t>
    </r>
  </si>
  <si>
    <r>
      <t xml:space="preserve">Odstranjevanje tlaka iz pranih betonskih plošč </t>
    </r>
    <r>
      <rPr>
        <sz val="9"/>
        <rFont val="Arial"/>
        <family val="2"/>
        <charset val="238"/>
      </rPr>
      <t>položenih v pusti beton, z odstranjevanjem ruševin ter nalaganje in odvoz na stalno deponijo, vključno s plačilom ustrezne pristojbine, obračun po m2;</t>
    </r>
  </si>
  <si>
    <r>
      <t>Rušenje armirano betonskih konstrukcij</t>
    </r>
    <r>
      <rPr>
        <sz val="9"/>
        <rFont val="Arial"/>
        <family val="2"/>
      </rPr>
      <t xml:space="preserve"> (vezi, preklade, temelji...), z odstranjevanjem ruševin ter nalaganje in odvoz na stalno deponijo, vključno s plačilom ustrezne pristojbine, obračun po m3;</t>
    </r>
  </si>
  <si>
    <r>
      <t>Dobava in vgrajevanje podložnega betona</t>
    </r>
    <r>
      <rPr>
        <sz val="9"/>
        <rFont val="Arial"/>
        <family val="2"/>
        <charset val="238"/>
      </rPr>
      <t xml:space="preserve"> pod temelji in talnimi ploščami C8/10, debeline do 10 cm, površina gladko zaribana, obračun po m3;</t>
    </r>
  </si>
  <si>
    <r>
      <t xml:space="preserve">Dobava in vgrajevanje - pusti beton, </t>
    </r>
    <r>
      <rPr>
        <sz val="9"/>
        <rFont val="Arial"/>
        <family val="2"/>
      </rPr>
      <t>C8/10, prerez nad 0,30 m3/m1-m2; (pri poglobitvah)</t>
    </r>
  </si>
  <si>
    <r>
      <t>Dobava in vgrajevanje betona - AB poglobitve v talni plošči</t>
    </r>
    <r>
      <rPr>
        <sz val="9"/>
        <rFont val="Arial"/>
        <family val="2"/>
        <charset val="238"/>
      </rPr>
      <t>, beton C30/37</t>
    </r>
    <r>
      <rPr>
        <sz val="9"/>
        <rFont val="Arial"/>
        <family val="2"/>
      </rPr>
      <t>, prerez nad 0,30 m3/m1-m2, obračun po m3;</t>
    </r>
  </si>
  <si>
    <r>
      <t>Dobava in vgrajevanje betona - AB talna plošča</t>
    </r>
    <r>
      <rPr>
        <sz val="9"/>
        <rFont val="Arial"/>
        <family val="2"/>
        <charset val="238"/>
      </rPr>
      <t xml:space="preserve">, beton C30/37, </t>
    </r>
    <r>
      <rPr>
        <sz val="9"/>
        <rFont val="Arial"/>
        <family val="2"/>
      </rPr>
      <t>prerez nad 0,30 m3/m1-m2, obračun po m3;</t>
    </r>
  </si>
  <si>
    <r>
      <t>Dobava in vgrajevanje betona - AB zidov</t>
    </r>
    <r>
      <rPr>
        <sz val="9"/>
        <rFont val="Arial"/>
        <family val="2"/>
        <charset val="238"/>
      </rPr>
      <t xml:space="preserve">, beton C30/37, </t>
    </r>
    <r>
      <rPr>
        <sz val="9"/>
        <rFont val="Arial"/>
        <family val="2"/>
      </rPr>
      <t>prerez nad 0,30 m3/m1-m2, obračun po m3;</t>
    </r>
  </si>
  <si>
    <r>
      <t>Dobava in vgrajevanje betona - AB ob deflektorjih</t>
    </r>
    <r>
      <rPr>
        <sz val="9"/>
        <rFont val="Arial"/>
        <family val="2"/>
        <charset val="238"/>
      </rPr>
      <t xml:space="preserve">, beton C30/37, </t>
    </r>
    <r>
      <rPr>
        <sz val="9"/>
        <rFont val="Arial"/>
        <family val="2"/>
      </rPr>
      <t>prerez nad 0,30 m3/m1-m2, obračun po m3;</t>
    </r>
  </si>
  <si>
    <r>
      <t>Dobava in vgrajevanje betona - AB ob cevovodu</t>
    </r>
    <r>
      <rPr>
        <sz val="9"/>
        <rFont val="Arial"/>
        <family val="2"/>
        <charset val="238"/>
      </rPr>
      <t xml:space="preserve">, beton C30/37, </t>
    </r>
    <r>
      <rPr>
        <sz val="9"/>
        <rFont val="Arial"/>
        <family val="2"/>
      </rPr>
      <t>prerez nad 0,30 m3/m1-m2, obračun po m3;</t>
    </r>
  </si>
  <si>
    <r>
      <t>Dobava in vgrajevanje betona - AB stene,</t>
    </r>
    <r>
      <rPr>
        <sz val="9"/>
        <rFont val="Arial"/>
        <family val="2"/>
        <charset val="238"/>
      </rPr>
      <t xml:space="preserve"> beton C30/37, prerez 0,20-0,30 m3/m1-m2, obračun po m3;</t>
    </r>
  </si>
  <si>
    <r>
      <t>Dobava in vgrajevanje betona - AB plošča,</t>
    </r>
    <r>
      <rPr>
        <sz val="9"/>
        <rFont val="Arial"/>
        <family val="2"/>
        <charset val="238"/>
      </rPr>
      <t xml:space="preserve"> beton C30/37,prerez 0,12-0,20 m3/m1-m2, komplet z zagladitvijo, obračun po m3; </t>
    </r>
  </si>
  <si>
    <r>
      <t>Dobava in vgrajevanje betona - AB stopnice, komplet s temeljem in podestom</t>
    </r>
    <r>
      <rPr>
        <sz val="9"/>
        <rFont val="Arial"/>
        <family val="2"/>
        <charset val="238"/>
      </rPr>
      <t>, beton  C30/37, prerez 0,12-0,20 m3/m1-m2, komplet z zagladitvijo, obračun po m3;</t>
    </r>
  </si>
  <si>
    <r>
      <t>Dobava in vgrajevanje tesnilnega dilatacijskega traku</t>
    </r>
    <r>
      <rPr>
        <sz val="9"/>
        <rFont val="Arial"/>
        <family val="2"/>
        <charset val="238"/>
      </rPr>
      <t xml:space="preserve"> v delovne stike AB elementov, položen po horizontalnih ali vertikalnih delovnih stikih s predpisanimi preklopi po navodilih izbranega proizvajalca. Pločevinasti nerjaveči trak, višine 150 mm, obdelan z obojestranskim nanosom visoko vodotesnilne lepilne bitumenske mase z ustrezno snemljivo zaščitno folijo - tesnilni trak kot npr. STRATHO BITUFLEX 150, komplet z vsem pritrdilnim materialom;</t>
    </r>
  </si>
  <si>
    <r>
      <t xml:space="preserve">Dobava in vgrajevanje nabrekljivega traku </t>
    </r>
    <r>
      <rPr>
        <sz val="9"/>
        <rFont val="Arial"/>
        <family val="2"/>
        <charset val="238"/>
      </rPr>
      <t>kot npr. Sikaswell (ob cevovodu in deflektorjih), po detajlu proizvajalca, komplet z vsem potrebnim materialom;</t>
    </r>
  </si>
  <si>
    <r>
      <t>Dobava, krivljene in polaganje rebraste armature</t>
    </r>
    <r>
      <rPr>
        <sz val="9"/>
        <rFont val="Arial"/>
        <family val="2"/>
      </rPr>
      <t xml:space="preserve"> S500, obračun po kilogramu;</t>
    </r>
  </si>
  <si>
    <t>armatura do fi 12 mm</t>
  </si>
  <si>
    <t>armatura nad fi 12 mm</t>
  </si>
  <si>
    <r>
      <t>Dobava in polaganje srednje komplicirane armature</t>
    </r>
    <r>
      <rPr>
        <sz val="9"/>
        <rFont val="Arial"/>
        <family val="2"/>
      </rPr>
      <t xml:space="preserve"> iz armaturnih mrež S500, obračun po kg;</t>
    </r>
  </si>
  <si>
    <t>Opaži morajo biti izdelani točno po projektirani obliki in merah oz. kotah betonske konstrukcije z vsemi potrebnimi podporami, oporami, horizontalno in vertikalno povezavo, tako, da so stabilni in sposobni za prevzem obtežbe betona in tehnologijo dela. Notranje površine opažev morajo biti ravne. Opaži morajo biti izdelani tako, da se razopaženje opravi lahko, brez pretresov in poškodovanja betonske konstrukcije.</t>
  </si>
  <si>
    <t>Istočasno z izdelavo opažev se polagajo v opaže tudi razvodi in doze za elektroinstalacije.</t>
  </si>
  <si>
    <t>Zajet je najem, morebitna nabava, dostava in odvoz, kompletna montaža, demontaža opažev in odrov s podpiranjem in priprava površine betona do stopnje, ki je pogoj za normalno izvedbo predvidene finalizacije v posameznem prostoru (odstranitev pvc distančnikov in sidernih ploščic, popolna zapolnitev lukenj distančnikov, brušenje vseh nastalih robov zaradi slabega stikovanja opažev, vse morebitne potrebne izravnave zaradi neprecizno postavljenih oziroma učvrščenih opažev).</t>
  </si>
  <si>
    <t>vse delo v delavnici in na objektu z vsemi dajatvami</t>
  </si>
  <si>
    <t>vse kotne letvice v robovih in dodatne trikotne letvice na stikih različnih betonaž</t>
  </si>
  <si>
    <t>letvice 3x3 cm na vseh konzolnih ploščah za izvedbo odkapa</t>
  </si>
  <si>
    <t>ograje na robovih plošč</t>
  </si>
  <si>
    <r>
      <t>Izdelava delavnih odrov višine do 4 m</t>
    </r>
    <r>
      <rPr>
        <sz val="9"/>
        <rFont val="Arial"/>
        <family val="2"/>
      </rPr>
      <t>, naprava podstavka, montaža in demontaža ter vsa pomožna dela na gradbišču, obračun po m2;</t>
    </r>
  </si>
  <si>
    <r>
      <t>Dvostranski opaž poglobitev v talni plošči</t>
    </r>
    <r>
      <rPr>
        <sz val="9"/>
        <rFont val="Arial"/>
        <family val="2"/>
        <charset val="238"/>
      </rPr>
      <t>, komplet s podpiranjem in vsemi potrebnimi deli, obračun po kvadratnem metru;</t>
    </r>
  </si>
  <si>
    <r>
      <t>Čelni opaž talne plošče</t>
    </r>
    <r>
      <rPr>
        <sz val="9"/>
        <rFont val="Arial"/>
        <family val="2"/>
        <charset val="238"/>
      </rPr>
      <t>, komplet s podpiranjem in vsemi potrebnimi deli, obračun po kvadratnem metru;</t>
    </r>
  </si>
  <si>
    <r>
      <t>Dvostranski opaž betonskih sten</t>
    </r>
    <r>
      <rPr>
        <sz val="9"/>
        <rFont val="Arial"/>
        <family val="2"/>
        <charset val="238"/>
      </rPr>
      <t>, komplet s podpiranjem in vsemi potrebnimi deli, obračun po kvadratnem metru;</t>
    </r>
  </si>
  <si>
    <r>
      <t>Enostranski opaž betona ob deflektorjih in cevovodu</t>
    </r>
    <r>
      <rPr>
        <sz val="9"/>
        <rFont val="Arial"/>
        <family val="2"/>
        <charset val="238"/>
      </rPr>
      <t>, komplet s podpiranjem in vsemi potrebnimi deli, obračun po kvadratnem metru;</t>
    </r>
  </si>
  <si>
    <r>
      <t>Opaž AB plošče</t>
    </r>
    <r>
      <rPr>
        <sz val="9"/>
        <rFont val="Arial"/>
        <family val="2"/>
        <charset val="238"/>
      </rPr>
      <t>, komplet s podpiranjem do 3,0 m in vsemi potrebnimi deli, obračun po kvadratnem metru;</t>
    </r>
  </si>
  <si>
    <r>
      <t>Čelni opaž plošč</t>
    </r>
    <r>
      <rPr>
        <sz val="9"/>
        <rFont val="Arial"/>
        <family val="2"/>
      </rPr>
      <t>, višine do 20 cm, komplet s podpiranjem in vsemi potrebnimi deli, obračun po kvadratnem metru;</t>
    </r>
  </si>
  <si>
    <r>
      <t xml:space="preserve">Opaž stopnic, komplet s stemeljem, </t>
    </r>
    <r>
      <rPr>
        <sz val="9"/>
        <rFont val="Arial"/>
        <family val="2"/>
      </rPr>
      <t>poševno stopniščno ramo, podestom in</t>
    </r>
    <r>
      <rPr>
        <sz val="9"/>
        <rFont val="Arial"/>
        <family val="2"/>
        <charset val="238"/>
      </rPr>
      <t xml:space="preserve"> čela nastopnih ploskev stopnic ter podestov, skupaj s podpiranjem opaža, obračun po m2;</t>
    </r>
  </si>
  <si>
    <r>
      <t>Opaž odprtin za prehod instalacij skozi nove AB elemente</t>
    </r>
    <r>
      <rPr>
        <sz val="9"/>
        <rFont val="Arial"/>
        <family val="2"/>
        <charset val="238"/>
      </rPr>
      <t xml:space="preserve"> (širine do 30 cm), postavitev, čiščenje, transporti in druga pomožna dela, obračun po komadu;</t>
    </r>
  </si>
  <si>
    <t>preboj do fi 110 mm</t>
  </si>
  <si>
    <r>
      <t>Opaž odprtin za prehod instalacij skozi nove AB elemente</t>
    </r>
    <r>
      <rPr>
        <sz val="9"/>
        <rFont val="Arial"/>
        <family val="2"/>
        <charset val="238"/>
      </rPr>
      <t xml:space="preserve"> (širine do 60 cm), postavitev, čiščenje, transporti in druga pomožna dela, obračun po komadu;</t>
    </r>
  </si>
  <si>
    <t>preboj do fi 160 mm</t>
  </si>
  <si>
    <t>preboj do fi 200 mm</t>
  </si>
  <si>
    <r>
      <t>Dobava in polaganje pranih plošč</t>
    </r>
    <r>
      <rPr>
        <sz val="9"/>
        <rFont val="Arial"/>
        <family val="2"/>
        <charset val="238"/>
      </rPr>
      <t xml:space="preserve"> na podložno plast iz pustega betona C 8/10 deb. 10 cm, komplet izvedbo fugiranja s cementno malto, obračun po m2;</t>
    </r>
  </si>
  <si>
    <r>
      <t>Dobava in pokrivanje strehe z bitumensko kritino s posipom</t>
    </r>
    <r>
      <rPr>
        <sz val="9"/>
        <rFont val="Arial"/>
        <family val="2"/>
        <charset val="238"/>
      </rPr>
      <t>, komplet z zaključki 10 cm na zid, 1x hladni bitume</t>
    </r>
    <r>
      <rPr>
        <sz val="9"/>
        <rFont val="Arial"/>
        <family val="2"/>
      </rPr>
      <t xml:space="preserve">nski premaz, vključena dobava materiala, transport ter vsa pomožna dela, obračun po kvadratnem metru; </t>
    </r>
  </si>
  <si>
    <r>
      <t>Dvojno letvanje strehe</t>
    </r>
    <r>
      <rPr>
        <sz val="9"/>
        <rFont val="Arial"/>
        <family val="2"/>
      </rPr>
      <t xml:space="preserve"> z vzdolžnimi 8 x 5 cm za pokrivanje s pločevinastimi profiliranimi strešnimi paneli, letve zaščitene z insekticidnimi in fungicidnimi premazi za les, obračun po kvadratnem metru;</t>
    </r>
  </si>
  <si>
    <r>
      <t>Dobava in montaža obrobe na najvišjem delu strehe</t>
    </r>
    <r>
      <rPr>
        <sz val="9"/>
        <rFont val="Arial"/>
        <family val="2"/>
      </rPr>
      <t xml:space="preserve"> iz pocinkane in barvane pločevine oz. po izboru projektanta,</t>
    </r>
    <r>
      <rPr>
        <sz val="9"/>
        <rFont val="Arial"/>
        <family val="2"/>
        <charset val="238"/>
      </rPr>
      <t xml:space="preserve"> deb. 0,6 mm, razvite širine do 50 cm, pritrjeno v nosilno konstrukcijo, komplet s vsem pritrdilnim in spojnim materialom, vodonepropustno izvedbo in podkonstrukcijo, vse komplet po detajlu, obračun po tekočem metru;</t>
    </r>
  </si>
  <si>
    <r>
      <t>Dobava in montaža čelne obrobe</t>
    </r>
    <r>
      <rPr>
        <sz val="9"/>
        <rFont val="Arial"/>
        <family val="2"/>
      </rPr>
      <t xml:space="preserve"> iz pocinkane in barvane pločevine oz. po izboru projektanta,</t>
    </r>
    <r>
      <rPr>
        <sz val="9"/>
        <rFont val="Arial"/>
        <family val="2"/>
        <charset val="238"/>
      </rPr>
      <t xml:space="preserve"> deb. 0,6 mm, razvite širine do 35 cm, pritrjeno v nosilno konstrukcijo, komplet s vsem pritrdilnim in spojnim materialom, vodonepropustno izvedbo in podkonstrukcijo, vse komplet po detajlu, obračun po tekočem metru;</t>
    </r>
  </si>
  <si>
    <r>
      <t>Dobava in montaža žlebov</t>
    </r>
    <r>
      <rPr>
        <sz val="9"/>
        <rFont val="Arial"/>
        <family val="2"/>
        <charset val="238"/>
      </rPr>
      <t xml:space="preserve"> iz pocinkane in barvane pločevine oz. po izboru projektanta, razvite širine 33 cm in debeline 0,6 mm, pritrjeno v nosilno konstrukcijo, komplet s vsem pritrdilnim in spojnim materialom, vodonepropustno izvedbo in podkonstrukcijo, vse komplet po detajlu, obračun po tekočem metru;</t>
    </r>
  </si>
  <si>
    <r>
      <t>Dobava in montaža dodatne odkapne obrobe pri žlebu</t>
    </r>
    <r>
      <rPr>
        <sz val="9"/>
        <rFont val="Arial"/>
        <family val="2"/>
        <charset val="238"/>
      </rPr>
      <t xml:space="preserve"> iz pocinkane in barvane pločevine oz. po izboru projektanta, razvite širine do 25 cm in debeline 0,6 mm, pritrjeno v nosilno konstrukcijo, komplet s vsem pritrdilnim in spojnim materialom, vodonepropustno izvedbo in podkonstrukcijo, vse komplet po detajlu, obračun po tekočem metru;</t>
    </r>
  </si>
  <si>
    <r>
      <t xml:space="preserve">Dobava in montaža strešnih odtočnih cevi </t>
    </r>
    <r>
      <rPr>
        <sz val="9"/>
        <rFont val="Arial CE"/>
        <charset val="238"/>
      </rPr>
      <t>fi 110mm iz pocinkane in barvane pločevine oz. po</t>
    </r>
    <r>
      <rPr>
        <sz val="9"/>
        <rFont val="Arial CE"/>
        <family val="2"/>
        <charset val="238"/>
      </rPr>
      <t xml:space="preserve"> izboru projektanta,</t>
    </r>
    <r>
      <rPr>
        <sz val="9"/>
        <rFont val="Arial CE"/>
        <charset val="238"/>
      </rPr>
      <t xml:space="preserve"> debeline 0,6 mm, kompletno z zaščitno rešetko, odtočnimi kotlički, koleni, pritrjevanjem cevi v nosilno konstrukcijo, ves pritrdilni in spojni material, vodonepropustno izvedbo in podkonstrukcijo, vse komplet po detajlu, obračun po tekočem metru;</t>
    </r>
  </si>
  <si>
    <t>V ceni vseh postavk je zajeti vsa dela, ves osnovni in pritrdilni material, vse prenose, finalno obdelavo po opisih v postavkah, vse za gotove vgrajene elemente. Izvajalec del je dolžan v ceni upoštevati vse delovne odre in mehanizacijo za potrebe montaže. Pripravo delavniške dokumentacije za vgradnjo vseh elementov. Pripravo detajlov s tehničnim opisom. Umestitev detajlov v obstoječe arhitekturne podloge.</t>
  </si>
  <si>
    <t>Vse barve, detajle, odbelave, načine vgradnje in možne spremembe pred dokončno izdelavo potrdi     projektant.</t>
  </si>
  <si>
    <t>Tehnološke risbe za proizvodnjo mora izvajalec del izdelati v skladu s projektno dokumentacijo. V kolikor želi izvajalec prilagoditi izvedbo svoji tehnologiji, mora izdelati ustrezno projektno dokumentacijo z detajli, katero mora pregledati in s podpisom potrditi projektant.</t>
  </si>
  <si>
    <t>V cenah na enoto je potrebno predvideti tudi strošek nadzora in pridobitve potrdila o ustreznosti izvedbe kovinskih konstrukcij.</t>
  </si>
  <si>
    <t>V cenah na enoto je potrebno predvideti vsa čiščenja železnih izdelkov in 2x no miniziranje, če ni v posamezni postavki drugače zahtevano.</t>
  </si>
  <si>
    <t>V cenah na enoto je potrebno vključiti tudi finalno pleskanje kovinske konstrukcije, če ni v posamezni postavki drugače zahtevano.</t>
  </si>
  <si>
    <t>Vse mere je potrebno preveriti na licu mesta.</t>
  </si>
  <si>
    <t xml:space="preserve">Dimenzijo nosilnih elementov je potrebno dokazati z analizo konstrukcij. </t>
  </si>
  <si>
    <t>Vsi elementi za pritrjevanje morajo biti kovinski nerjaveči, ter ustrezne velikosti in nosilnosti.</t>
  </si>
  <si>
    <t>Tehnološke risbe za proizvodnjo mora izvajalec del izdelati skladno s projektno dokumentacijo z detajli, katero mora pregledati in s podpisom potrditi projektant.</t>
  </si>
  <si>
    <t>Čiščenje izdelkov pred in po opravljenem delu in zaščita do predaje naročniku.</t>
  </si>
  <si>
    <t>izdelava tehnoloških risb za proizvodnjo (z detajli)</t>
  </si>
  <si>
    <t>izdelavo vseh potrebnih zaključkov</t>
  </si>
  <si>
    <t>izdelava elementov v delavnici in montaža na objektu</t>
  </si>
  <si>
    <r>
      <rPr>
        <b/>
        <sz val="9"/>
        <rFont val="Arial"/>
        <family val="2"/>
        <charset val="238"/>
      </rPr>
      <t>Izdelava, dobava in montaža jeklenih konstrukcij</t>
    </r>
    <r>
      <rPr>
        <sz val="9"/>
        <rFont val="Arial"/>
        <family val="2"/>
        <charset val="238"/>
      </rPr>
      <t>, dimenzij in oblik po statičnem računu in detajlih, vročecinkano, v ceni na enoto zajeti tudi izdelavo delavniške dokumentacije (izdela jo izvajalec kovinske konstrukcije), sidranje jeklene konstrukcije v nosilno konstrukcijo ter izvedbo pregleda jeklene konstrukcije s strani pooblaščenega inštituta oziroma odgovornega statika in izdaje poročila, z vsemi deli in vsem pritrdilnim materialom, obračun po kilogramu;</t>
    </r>
  </si>
  <si>
    <r>
      <t>Izdelava, dobava in montaža tipskih vročecinkanih pohodnih rešetk</t>
    </r>
    <r>
      <rPr>
        <sz val="9"/>
        <rFont val="Arial"/>
        <family val="2"/>
        <charset val="238"/>
      </rPr>
      <t>, mere mrežnega očesa 31 x 31mm, nosilni element 30 x 2mm), komplet z okvirjem in vsem potrebnim pritrdilnim materialom;</t>
    </r>
  </si>
  <si>
    <r>
      <rPr>
        <b/>
        <sz val="9"/>
        <rFont val="Arial"/>
        <family val="2"/>
        <charset val="238"/>
      </rPr>
      <t>Izdelava, dobava in vgrajevanje kovinske varovalne ograje z dostopnimi odprtinami (sostop do varovanih lestev), ograja mora biti demontažna in z možnostjo polaganja cca 90 ° v izbrano smer</t>
    </r>
    <r>
      <rPr>
        <sz val="9"/>
        <rFont val="Arial"/>
        <family val="2"/>
        <charset val="238"/>
      </rPr>
      <t>, ALU - Rf konstrukcija, ograja iz ALU - Rf profilov dim. kot po načrtu, ograja je viš. 1,20 m od gotovega tlaka, vse komplet po detajlu, z drobnim materialom in s potrebnim pritrdilnim materialom za pritrjevanje v nosilno konstrukcijo (kot npr. INNOTECH – BARRIER PARAPET ON TOP), obračun po m1;</t>
    </r>
  </si>
  <si>
    <r>
      <t xml:space="preserve">Dobava in montaža zaščitne žične ograje, </t>
    </r>
    <r>
      <rPr>
        <sz val="9"/>
        <rFont val="Arial"/>
        <family val="2"/>
        <charset val="238"/>
      </rPr>
      <t>vključno s sidranjem in vsemi zemeljskimi deli, stebrički in drugim potrebnim materialom za ugradnjo. Vsi elementi ograje so jekleni termično cinkani in plastificirani s poliestrom. Skupna višina ograje je najmanj 1,2 m, komplet z vsem pritrdilnim materialom, obračun po tekočem metru;</t>
    </r>
  </si>
  <si>
    <r>
      <rPr>
        <b/>
        <sz val="9"/>
        <rFont val="Arial"/>
        <family val="2"/>
        <charset val="238"/>
      </rPr>
      <t>Dobava in montaža lestve s sredinsko tirnico</t>
    </r>
    <r>
      <rPr>
        <sz val="9"/>
        <rFont val="Arial"/>
        <family val="2"/>
        <charset val="238"/>
      </rPr>
      <t>, ki omogoča vpetje z drsnim elementom, ter tako varno vzpenjanje in spuščanje, komplet z nerjavečimi sidri ter potrebnim pritrdilnim materialom. Material lestve nerjaveče jeklo (1.4571 dekapirano), profil C iz 3mm jekla, asimetrična reža tirnice, kvadratni izrez na zadnji strani tirnice na vsakih 40mm, na katerih se zaskoči drsni element. Lestev mora imeti na vrhu nastavek za uporabo prenosne dostopne tirnice. Lestev mora imeti vgrajene tudi počivalne platforme na maksimalni  razdalji 10m. (kot npr. Tractel FABA A12), obračun po m1;</t>
    </r>
  </si>
  <si>
    <r>
      <t>Dobava prenosne dostopne tirnice</t>
    </r>
    <r>
      <rPr>
        <sz val="9"/>
        <rFont val="Arial"/>
        <family val="2"/>
        <charset val="238"/>
      </rPr>
      <t xml:space="preserve"> za uporabo na lestvi s sredinsko tirnico. Material prenosne dostopne tirnice nerjaveče jeklo (1.4571 dekapirano), (kot npr. Tractel FABA A12)</t>
    </r>
  </si>
  <si>
    <r>
      <rPr>
        <b/>
        <sz val="9"/>
        <rFont val="Arial"/>
        <family val="2"/>
        <charset val="238"/>
      </rPr>
      <t>Dobava varovalno pozicijskega pasu</t>
    </r>
    <r>
      <rPr>
        <sz val="9"/>
        <rFont val="Arial"/>
        <family val="2"/>
        <charset val="238"/>
      </rPr>
      <t xml:space="preserve"> z možnostjo pripetja drsnega elementa na sprednji strani, za uporabo na lestvah s sredinsko tirnico, ter drsni element za uporabo z lestvijo s sredinsko tirnico (kot npr. Varovalni pas SKYLOTEC IGNITE PROTON, ter drsni element FABA AL-D, A12)</t>
    </r>
  </si>
  <si>
    <t xml:space="preserve">Pri vseh postavkah upoštevati tudi: fino vpasovanje vratnih kril; vsa tesnila in PVC čepe; Izdelava, odpiranje glej shemo oken in vrat; ves pritrdilni in vezni material; vsa pripravljalna in zaključna dela vključno z zidarsko pomočjo.  </t>
  </si>
  <si>
    <t>Izbrani proizvajalec vrat mora ustreznost vrat glede požarne varnosti in zvočne izolativnosti dokazati z atestom. Izvajalec vgradnje mora zagotoviti strokovno vgradnjo, tako da bodo vgrajena vrata dosegala predpisane zahteve.</t>
  </si>
  <si>
    <t>Vse mere snemati in kontrolirati na licu mesta.</t>
  </si>
  <si>
    <t xml:space="preserve">Vse elemente okovja mora pred vgradnjo pregledati in potrditi projektant. Vgrajevanje mora bit usklajeno s tehnološkim postopkom gradnje objekta. </t>
  </si>
  <si>
    <t>Vsi nosilni elementi vrat morajo po nosilnosti odgovarjati teži kril, teža pa je odvisna od velikosti krila, debeline in sestave.</t>
  </si>
  <si>
    <t>Vse elemente okovja mora pred vgradnjo pregledati in potrditi projektant. Vgrajevanje vrat mora bit usklajeno s tehnološkim postopkom gradnje objekta.</t>
  </si>
  <si>
    <t>Poleg osnovnega so sestavni del vrat vsi elementi, ki so potrebni za zahtevan namen vrat in so navedeni v detajlnejšem opisu za vsako vrsto posebej.</t>
  </si>
  <si>
    <t>Glede na zahteve protipožarne zaščite, so vrata oz. stene izvedena v zahtevani ognjeodpornosti. Izdelana morajo biti iz negorljivega materiala in opremljena z vsem potrebnim okovjem za požarna vrata, po veljanih tehničnih predpisih.</t>
  </si>
  <si>
    <t>Izdelava tehnoloških risb za proizvodnjo, z detajli, ki jih je potrebno izvesti za končanje posameznih del, tudi če niso podrobno navedeni in opisani v popisu in načrtih, so pa nujna za pravilno funkcioniranje posameznih sistemov in elemnotv. Potrditi jih mora odgovorni projektant statike in arhitekture.</t>
  </si>
  <si>
    <t>V ceni vseh postavk, morajo biti zajeta vsa dela, dobava in montaža, osnovni material, steklo, pritrdilni in tesnilni material, okovje, zapiralno okovje ter material za vse zaključke. Izvajalec mora vse mere preveriti na licu mesta in izdelati ustrezno tehnično dokumentacijo in delavniške risbe v skladu z dogovorom s projektantom.</t>
  </si>
  <si>
    <t>ves osnovni in pomožni material, okovja, nasadila, kljuke, ključavnice, štoperje, zapahe…</t>
  </si>
  <si>
    <t>zunanje in notranje okenske police, razen če so zajete v posebni postavki</t>
  </si>
  <si>
    <t>senčila, razen če so zajeta v posebni postavki</t>
  </si>
  <si>
    <t>vse slepe podboje in okvirje</t>
  </si>
  <si>
    <t>stavbno pohištvo se izdeluje po potrjenih shemah iz projekta</t>
  </si>
  <si>
    <t>vsa stekla imajo vgrajeno protivlomno folijo debeline min 175 mikronov</t>
  </si>
  <si>
    <t>ALU OKNO</t>
  </si>
  <si>
    <t>dimenzija 160 x 100 cm
Alu okvir in krilo
termopan zasteklitev
odpiranje na ventus
Alu kljuka</t>
  </si>
  <si>
    <t>Komplet z zunanjimi in notranjimi Alu policami ter vsemi zaključki okoli oken</t>
  </si>
  <si>
    <t>ENOKRILNA VRATA</t>
  </si>
  <si>
    <t xml:space="preserve">dimenzija vrat 1,00 x 2,10 m
Alu polno vratno krilo 
kovinski podboj
obojestransko kljuka,
trojna nasadila, 
ključavnica
mere kontrolirati na objektu </t>
  </si>
  <si>
    <t>Na željo investitorja in projektanta mora izvajalec del dati na vpogled vzorce in po izbranih vzorcih naročiti material in izvesti slikopleskarska dela. Barva se mora dobro sprijemati s podlago površina izvedenega premaza mora biti enakomerne strukture.</t>
  </si>
  <si>
    <t>Površina izvedenega premaza mora biti enakomerne strukture.</t>
  </si>
  <si>
    <t>Nanaša se na podlago pripravljeno po navodilu proizvajalca barve.</t>
  </si>
  <si>
    <t>Ton barve za vsa slikopleskarska dela je po izbiri projektanta.</t>
  </si>
  <si>
    <t>Čiščenje prostorov in izdelkov po opravljenem delu in zaščita do predaje naročniku.</t>
  </si>
  <si>
    <t xml:space="preserve">Izvajalec slikarskih del mora strogo paziti na to, da s svojim delom ne poškoduje ali onesnaži izdelkov drugih izvajalcev, po potrebi mora le-te ustrezno zaščititi. Izlivanje barv, beleža in drugega slikarskega materiala v vodovodne ali straniščne školjke ni dovoljeno, za škodo odgovarja izvajalec slikarskih del, prav tako odgovarja za škodo, ki bi nastala zaradi nepazljivosti ali malomarnega dela. </t>
  </si>
  <si>
    <t>Po izvršenem delu mora izvajalec slikopleskarskih del odstraniti ves preostali material in odpadke ter očistiti prostore, ki so bili zaradi njegovih del onesnaženi.</t>
  </si>
  <si>
    <t xml:space="preserve">Izvajalec slikarskih del mora pred pričetkom dela  pregledati vse površine, ki bodo slikane in opozoriti izvajalca gradbenih del, da se odstranijo eventuelne pomanjkljivosti, ki jih je opazil in katere bi utegnile kvarno vplivati na brezhibno izvršitev in kvaliteto slikarskih del. </t>
  </si>
  <si>
    <t>Vse slikane površine morajo biti enakomerno pobarvane, brez temnih ali svetlih lis, madežev in podobnih pomanjkljivosti.</t>
  </si>
  <si>
    <t>vsa potrebna čiščenja podlog</t>
  </si>
  <si>
    <t>vsa potrebna izravnava in priprava sten in stropov za slikanje</t>
  </si>
  <si>
    <t>vsi osnovni in končni premazi z vsemi medfazami</t>
  </si>
  <si>
    <r>
      <t>Priprava sten in stropa za slikanje</t>
    </r>
    <r>
      <rPr>
        <sz val="9"/>
        <rFont val="Arial"/>
        <family val="2"/>
        <charset val="238"/>
      </rPr>
      <t xml:space="preserve"> - struganje opažnih stikov, obračun po m2;</t>
    </r>
  </si>
  <si>
    <r>
      <t>Slikanje sten in stropov na betonske površine</t>
    </r>
    <r>
      <rPr>
        <sz val="9"/>
        <rFont val="Arial"/>
        <family val="2"/>
        <charset val="238"/>
      </rPr>
      <t>, impregnacija in 2x oplesk površin z zidno disperzijsko barvo, obračun po m2;</t>
    </r>
  </si>
  <si>
    <t>IZPUSTNI OBJEKT</t>
  </si>
  <si>
    <t>ODVZEMNI OBJEKT</t>
  </si>
  <si>
    <t>Odstranitev strojne opreme ni zajeta v tem popisu!</t>
  </si>
  <si>
    <r>
      <t>Zakoličba obstoječih komunalnih vodov</t>
    </r>
    <r>
      <rPr>
        <sz val="9"/>
        <rFont val="Arial"/>
        <family val="2"/>
      </rPr>
      <t>, v območju zemeljskih del, obračun komplet;</t>
    </r>
  </si>
  <si>
    <r>
      <t>Demontaža in odstranitev kovinskih lestev</t>
    </r>
    <r>
      <rPr>
        <sz val="9"/>
        <rFont val="Arial"/>
        <family val="2"/>
        <charset val="238"/>
      </rPr>
      <t>, komplet s hrbtnim varovalom, z nakladanjem in odvozom v javno deponijo, vključno s plačilom ustrezne pristojbine, obračun po m2;</t>
    </r>
  </si>
  <si>
    <r>
      <t xml:space="preserve">Odstranitev kovinskega kleparskih elementov </t>
    </r>
    <r>
      <rPr>
        <sz val="9"/>
        <rFont val="Arial"/>
        <family val="2"/>
        <charset val="238"/>
      </rPr>
      <t>(kotnik po obodu plošče, pločevina pri mostu, okenska polica...) z nakladanjem in odvozom v javno deponijo, vključno s plačilom ustrezne pristojbine, obračun po tekočem metru;</t>
    </r>
  </si>
  <si>
    <r>
      <t>Demontaža</t>
    </r>
    <r>
      <rPr>
        <b/>
        <sz val="9"/>
        <rFont val="Arial"/>
        <family val="2"/>
        <charset val="238"/>
      </rPr>
      <t xml:space="preserve"> in odstranitev kovinskih podestov</t>
    </r>
    <r>
      <rPr>
        <sz val="9"/>
        <rFont val="Arial"/>
        <family val="2"/>
        <charset val="238"/>
      </rPr>
      <t xml:space="preserve"> (cca 2 m2), komplet z vso nosilno konstrukcijo, z nakladanjem in odvozom v javno deponijo, vključno s plačilom ustrezne pristojbine, obračun po m2;</t>
    </r>
  </si>
  <si>
    <r>
      <t xml:space="preserve">Odstranitev pohodnih rešetk, komplet z okvirji, </t>
    </r>
    <r>
      <rPr>
        <sz val="9"/>
        <rFont val="Arial"/>
        <family val="2"/>
        <charset val="238"/>
      </rPr>
      <t>širine do 80 cm, z nakladanjem in odvozom v javno deponijo, vključno s plačilom ustrezne pristojbine, obračun po tekočem metru;</t>
    </r>
  </si>
  <si>
    <r>
      <t xml:space="preserve">Odstranitev pločevinastih pokrovov, komplet z okvirji, </t>
    </r>
    <r>
      <rPr>
        <sz val="9"/>
        <rFont val="Arial"/>
        <family val="2"/>
        <charset val="238"/>
      </rPr>
      <t>širine do 60 cm, z nakladanjem in odvozom v javno deponijo, vključno s plačilom ustrezne pristojbine, obračun po tekočem metru;</t>
    </r>
  </si>
  <si>
    <r>
      <t xml:space="preserve">Odstranitev pločevinastih pokrovov, komplet z okvirji, </t>
    </r>
    <r>
      <rPr>
        <sz val="9"/>
        <rFont val="Arial"/>
        <family val="2"/>
        <charset val="238"/>
      </rPr>
      <t>dim. 60 x 60 cm, z nakladanjem in odvozom v javno deponijo, vključno s plačilom ustrezne pristojbine, obračun po tekočem metru;</t>
    </r>
  </si>
  <si>
    <r>
      <t>Odstranjevanje zaključnega tlaka iz barvanega betona</t>
    </r>
    <r>
      <rPr>
        <sz val="9"/>
        <rFont val="Arial"/>
        <family val="2"/>
        <charset val="238"/>
      </rPr>
      <t>, z odstranjevanjem ruševin ter nalaganje in odvoz na stalno deponijo, vključno s plačilom ustrezne pristojbine, obračun po m2;</t>
    </r>
  </si>
  <si>
    <r>
      <t xml:space="preserve">Izdelava preboja v komandni prostor </t>
    </r>
    <r>
      <rPr>
        <sz val="9"/>
        <rFont val="Arial"/>
        <family val="2"/>
        <charset val="238"/>
      </rPr>
      <t>za prehod inštalacij skozi obstoječo betonsko konstrikcijo dim. 30 x 30 cm</t>
    </r>
    <r>
      <rPr>
        <sz val="9"/>
        <rFont val="Arial"/>
        <family val="2"/>
      </rPr>
      <t>, z odstranjevanjem ruševin, nakladanjem in odvozom na stalno deponijo, vključno s plačilom ustrezne pristojbine;</t>
    </r>
  </si>
  <si>
    <r>
      <t xml:space="preserve">Dobava in vgrajevanje - pusti beton, </t>
    </r>
    <r>
      <rPr>
        <sz val="9"/>
        <rFont val="Arial"/>
        <family val="2"/>
      </rPr>
      <t>C8/10, prerez nad 0,30 m3/m1-m2;</t>
    </r>
  </si>
  <si>
    <r>
      <t>Dobava in vgrajevanje betona - AB talna plošča</t>
    </r>
    <r>
      <rPr>
        <sz val="9"/>
        <rFont val="Arial"/>
        <family val="2"/>
        <charset val="238"/>
      </rPr>
      <t xml:space="preserve">, beton C30/37, </t>
    </r>
    <r>
      <rPr>
        <sz val="9"/>
        <rFont val="Arial"/>
        <family val="2"/>
      </rPr>
      <t>prerez nad 0,30 m3/m1-m2, komplet z vsemi nakloni in zagladitvijo, obračun po m3;</t>
    </r>
  </si>
  <si>
    <r>
      <t>Dobava in vgrajevanje betona - AB sten</t>
    </r>
    <r>
      <rPr>
        <sz val="9"/>
        <rFont val="Arial"/>
        <family val="2"/>
        <charset val="238"/>
      </rPr>
      <t xml:space="preserve">, beton C30/37, </t>
    </r>
    <r>
      <rPr>
        <sz val="9"/>
        <rFont val="Arial"/>
        <family val="2"/>
      </rPr>
      <t>prerez nad 0,30 m3/m1-m2, obračun po m3;</t>
    </r>
  </si>
  <si>
    <r>
      <t>Dobava in vgrajevanje betona - AB plošč,</t>
    </r>
    <r>
      <rPr>
        <sz val="9"/>
        <rFont val="Arial"/>
        <family val="2"/>
        <charset val="238"/>
      </rPr>
      <t xml:space="preserve"> beton C30/37,prerez nad 0,3 m3/m1-m2, komplet z vsemi nakloni in zagladitvijo, obračun po m3; </t>
    </r>
  </si>
  <si>
    <r>
      <t>Kompletna izdelava posipa plošče</t>
    </r>
    <r>
      <rPr>
        <sz val="9"/>
        <rFont val="Arial"/>
        <family val="2"/>
        <charset val="238"/>
      </rPr>
      <t xml:space="preserve"> za oplemenitenje betonskih tlakov s TAL M KVARC (sive barve), komplet z vsemi deli, obračun po m2; Upoštevati tudi vse potrebne postopke za nego betona pri sušenju.</t>
    </r>
  </si>
  <si>
    <r>
      <t>Dobava in vgrajevanje betona - AB sekundarni beton</t>
    </r>
    <r>
      <rPr>
        <sz val="9"/>
        <rFont val="Arial"/>
        <family val="2"/>
        <charset val="238"/>
      </rPr>
      <t xml:space="preserve">, beton C30/37, </t>
    </r>
    <r>
      <rPr>
        <sz val="9"/>
        <rFont val="Arial"/>
        <family val="2"/>
      </rPr>
      <t>prerez od 0,20-0,30 m3/m1-m2, obračun po m3;</t>
    </r>
  </si>
  <si>
    <r>
      <t>Dobava in vgrajevanje betona - AB sekundarni beton</t>
    </r>
    <r>
      <rPr>
        <sz val="9"/>
        <rFont val="Arial"/>
        <family val="2"/>
        <charset val="238"/>
      </rPr>
      <t xml:space="preserve">, beton C30/37, </t>
    </r>
    <r>
      <rPr>
        <sz val="9"/>
        <rFont val="Arial"/>
        <family val="2"/>
      </rPr>
      <t>prerez od 0,12-0,20 m3/m1-m2, obračun po m3;</t>
    </r>
  </si>
  <si>
    <r>
      <t>Dobava in vgrajevanje betona - AB sekundarni beton</t>
    </r>
    <r>
      <rPr>
        <sz val="9"/>
        <rFont val="Arial"/>
        <family val="2"/>
        <charset val="238"/>
      </rPr>
      <t xml:space="preserve">, beton C30/37, </t>
    </r>
    <r>
      <rPr>
        <sz val="9"/>
        <rFont val="Arial"/>
        <family val="2"/>
      </rPr>
      <t>prerez do 0,12 m3/m1-m2, obračun po m3;</t>
    </r>
  </si>
  <si>
    <r>
      <t xml:space="preserve">Dobava in vgrajevanje nabrekljivega traku </t>
    </r>
    <r>
      <rPr>
        <sz val="9"/>
        <rFont val="Arial"/>
        <family val="2"/>
        <charset val="238"/>
      </rPr>
      <t>kot npr. Sikaswell, po detajlu proizvajalca, komplet z vsem potrebnim materialom;</t>
    </r>
  </si>
  <si>
    <r>
      <t xml:space="preserve">Vgardnja navojnih sider s kovinsko ploščo in šablono </t>
    </r>
    <r>
      <rPr>
        <sz val="9"/>
        <rFont val="Arial"/>
        <family val="2"/>
      </rPr>
      <t xml:space="preserve">in z vsemi drobnim materialom v sveži beton oz pred betoniranjem, po navodilu oziroma detajlu dobavitelja </t>
    </r>
    <r>
      <rPr>
        <b/>
        <sz val="9"/>
        <rFont val="Arial"/>
        <family val="2"/>
      </rPr>
      <t>žerjava</t>
    </r>
    <r>
      <rPr>
        <sz val="9"/>
        <rFont val="Arial"/>
        <family val="2"/>
      </rPr>
      <t>, komplet s podlivanjem, obračun po komadu;</t>
    </r>
  </si>
  <si>
    <r>
      <t>Sidranje novih AB elementov v obstoječo konstrukcijo</t>
    </r>
    <r>
      <rPr>
        <sz val="9"/>
        <rFont val="Arial"/>
        <family val="2"/>
        <charset val="238"/>
      </rPr>
      <t>, vrtanje</t>
    </r>
    <r>
      <rPr>
        <sz val="9"/>
        <rFont val="Arial"/>
        <family val="2"/>
      </rPr>
      <t xml:space="preserve"> lukenj fi 20 mm, globine cca 40 cm (po potrebi tudi več) v obstoječe AB konstrukcije in vgraditev sider iz rebraste armature RA fi 14 mm dolžine kot po armaturnem načrtu z lepilom na eposkidni osnovi v odprašene luknje, obračun po komadu;</t>
    </r>
  </si>
  <si>
    <r>
      <rPr>
        <b/>
        <sz val="9"/>
        <rFont val="Arial"/>
        <family val="2"/>
        <charset val="238"/>
      </rPr>
      <t xml:space="preserve">Izdelava lovilnih odrov </t>
    </r>
    <r>
      <rPr>
        <sz val="9"/>
        <rFont val="Arial"/>
        <family val="2"/>
        <charset val="238"/>
      </rPr>
      <t>okoli obstoječega odvzemnega objekta z montažo in demontažo ter vsemi pomožnimi deli na gradbišču, obračun po m1;</t>
    </r>
  </si>
  <si>
    <r>
      <t>Izdelava delavnega / lovilnega odra</t>
    </r>
    <r>
      <rPr>
        <sz val="9"/>
        <rFont val="Arial"/>
        <family val="2"/>
        <charset val="238"/>
      </rPr>
      <t xml:space="preserve"> v obstoječem odvzemnem objektu, višina 22,5 m, na</t>
    </r>
    <r>
      <rPr>
        <sz val="9"/>
        <rFont val="Arial"/>
        <family val="2"/>
      </rPr>
      <t>prava podstavka, montaža in demontaža ter vsa pomožna dela na gradbišču, obračun po m2 tlorisa;</t>
    </r>
  </si>
  <si>
    <r>
      <t>Izdelava odrov ob novem odvzemnem objektu višine nad 30 m</t>
    </r>
    <r>
      <rPr>
        <sz val="9"/>
        <rFont val="Arial"/>
        <family val="2"/>
      </rPr>
      <t>, naprava podstavka, montaža in demontaža ter vsa pomožna dela na gradbišču, zaščita odra z mrežico oz. tkanino, obračun po m2;</t>
    </r>
  </si>
  <si>
    <r>
      <t>Čelni opaž talne plošče</t>
    </r>
    <r>
      <rPr>
        <sz val="9"/>
        <rFont val="Arial"/>
        <family val="2"/>
        <charset val="238"/>
      </rPr>
      <t>, komplet s podpiranjem in vsemi potrebnimi deli in vsemi zaključnimi trikotnimi letvicami, obračun po kvadratnem metru;</t>
    </r>
  </si>
  <si>
    <r>
      <t>Opaž betonskih sten</t>
    </r>
    <r>
      <rPr>
        <sz val="9"/>
        <rFont val="Arial"/>
        <family val="2"/>
        <charset val="238"/>
      </rPr>
      <t>, komplet z vsemi potrebnimi utori, s podpiranjem in vsemi potrebnimi deli, nakloni in vsemi zaključnimi trikotnimi letvicami dim 20/20cm, obračun po kvadratnem metru;</t>
    </r>
  </si>
  <si>
    <r>
      <t>Opaž betonskih elementov krožnega preseka</t>
    </r>
    <r>
      <rPr>
        <sz val="9"/>
        <rFont val="Arial"/>
        <family val="2"/>
        <charset val="238"/>
      </rPr>
      <t xml:space="preserve"> - radij = 50 cm, komplet s podpiranjem in vsemi potrebnimi deli, obračun po kvadratnem metru;</t>
    </r>
  </si>
  <si>
    <r>
      <t>Opaž AB plošč</t>
    </r>
    <r>
      <rPr>
        <sz val="9"/>
        <rFont val="Arial"/>
        <family val="2"/>
        <charset val="238"/>
      </rPr>
      <t>, komplet z vsemi potrebnimi utori, s podpiranjem v oz do nosilne konstrukcije (do 10 m) in vsemi potrebnimi deli ter vsemi zaključnimi trikotnimi letvicami dim 20/20cm, obračun po kvadratnem metru;</t>
    </r>
  </si>
  <si>
    <r>
      <t>Opaž AB plošč</t>
    </r>
    <r>
      <rPr>
        <sz val="9"/>
        <rFont val="Arial"/>
        <family val="2"/>
        <charset val="238"/>
      </rPr>
      <t>, komplet z vsemi potrebnimi utori, s podpiranjem v oz do nosilne konstrukcije (cca 30 m) in vsemi potrebnimi deli ter vsemi zaključnimi trikotnimi letvicami, obračun po kvadratnem metru;</t>
    </r>
  </si>
  <si>
    <r>
      <t>Čelni opaž plošč in odptrin/prebojev v ploščah</t>
    </r>
    <r>
      <rPr>
        <sz val="9"/>
        <rFont val="Arial"/>
        <family val="2"/>
      </rPr>
      <t>, višine do 100 cm, komplet s podpiranjem in vsemi potrebnimi deli, obračun po kvadratnem metru;</t>
    </r>
  </si>
  <si>
    <r>
      <t xml:space="preserve">Opaž utorov v plošči za kanaleto </t>
    </r>
    <r>
      <rPr>
        <sz val="9"/>
        <rFont val="Arial"/>
        <family val="2"/>
        <charset val="238"/>
      </rPr>
      <t>dimenzij 25 x 25 cm, komplet s podpiranjem in vsemi potrebnimi deli, obračun po tekočem metru;</t>
    </r>
  </si>
  <si>
    <r>
      <t>Opaž odprtin za prehod instalacij skozi nove AB elemente</t>
    </r>
    <r>
      <rPr>
        <sz val="9"/>
        <rFont val="Arial"/>
        <family val="2"/>
        <charset val="238"/>
      </rPr>
      <t xml:space="preserve"> (širine do 100 cm), postavitev, čiščenje, transporti in druga pomožna dela, obračun po komadu;</t>
    </r>
  </si>
  <si>
    <r>
      <t xml:space="preserve">Izdelava opaža iz desk ali plohov cevi za prehod instalacij skozi nove AB elemente </t>
    </r>
    <r>
      <rPr>
        <sz val="9"/>
        <rFont val="Arial"/>
        <family val="2"/>
      </rPr>
      <t>(širine do 100 cm - pre</t>
    </r>
    <r>
      <rPr>
        <sz val="9"/>
        <rFont val="Arial"/>
        <family val="2"/>
        <charset val="238"/>
      </rPr>
      <t xml:space="preserve">boji nad 1 m2 so zajeti </t>
    </r>
    <r>
      <rPr>
        <sz val="9"/>
        <rFont val="Arial"/>
        <family val="2"/>
      </rPr>
      <t>pri opažu zidov oz plošč), postavitev, čiščenje, transporti in druga pomožna dela;</t>
    </r>
  </si>
  <si>
    <t>preboj 60 x 60 cm</t>
  </si>
  <si>
    <t>preboj 80 x 80 cm</t>
  </si>
  <si>
    <r>
      <t xml:space="preserve">Izdelava opaža iz desk ali plohov cevi za prehod instalacij skozi nove AB elemente </t>
    </r>
    <r>
      <rPr>
        <sz val="9"/>
        <rFont val="Arial"/>
        <family val="2"/>
      </rPr>
      <t>(širine do 50 cm - pre</t>
    </r>
    <r>
      <rPr>
        <sz val="9"/>
        <rFont val="Arial"/>
        <family val="2"/>
        <charset val="238"/>
      </rPr>
      <t xml:space="preserve">boji nad 1 m2 so zajeti </t>
    </r>
    <r>
      <rPr>
        <sz val="9"/>
        <rFont val="Arial"/>
        <family val="2"/>
      </rPr>
      <t>pri opažu zidov oz plošč), postavitev, čiščenje, transporti in druga pomožna dela;</t>
    </r>
  </si>
  <si>
    <r>
      <t>Opaž sekundarnega betona</t>
    </r>
    <r>
      <rPr>
        <sz val="9"/>
        <rFont val="Arial"/>
        <family val="2"/>
        <charset val="238"/>
      </rPr>
      <t>, komplet z vsemi potrebnimi utori, s podpiranjem in vsemi potrebnimi deli, nakloni in vsemi zaključnimi trikotnimi letvicami, obračun po kvadratnem metru;</t>
    </r>
  </si>
  <si>
    <r>
      <t xml:space="preserve">Opaž sekundarnega betona ob pohodnih rešetkah, </t>
    </r>
    <r>
      <rPr>
        <sz val="9"/>
        <rFont val="Arial"/>
        <family val="2"/>
        <charset val="238"/>
      </rPr>
      <t>višine 25 cm, komplet s podpiranjem in vsemi potrebnimi deli in vsemi zaključnimi trikotnimi letvicami, obračun po kvadratnem metru;</t>
    </r>
  </si>
  <si>
    <r>
      <rPr>
        <b/>
        <sz val="9"/>
        <rFont val="Arial"/>
        <family val="2"/>
        <charset val="238"/>
      </rPr>
      <t>Izdelava, dobava in montaža jeklenih konstrukcij</t>
    </r>
    <r>
      <rPr>
        <sz val="9"/>
        <rFont val="Arial"/>
        <family val="2"/>
        <charset val="238"/>
      </rPr>
      <t>, dimenzij in oblik po statičnem računu in detajlih, vročecinkano ter finalno pleskano z antikorozijsko barvo po izbiri projektanta, v ceni na enoto zajeti tudi izdelavo delavniške dokumentacije (izdela jo izvajalec kovinske konstrukcije), sidranje jeklene konstrukcije v nosilno konstrukcijo ter izvedbo pregleda jeklene konstrukcije s strani pooblaščenega inštituta oziroma odgovornega statika in izdaje poročila, z vsemi deli in vsem pritrdilnim materialom, obračun po kilogramu; (podporna konstrukcija kontrolne sobe)</t>
    </r>
  </si>
  <si>
    <r>
      <t>Dobava in montaža tipskih vročecinkanih pohodnih rešetk na kanaleti</t>
    </r>
    <r>
      <rPr>
        <sz val="9"/>
        <rFont val="Arial"/>
        <family val="2"/>
        <charset val="238"/>
      </rPr>
      <t>, širine do 30 cm, mere mrežnega očesa 31 x 31mm, nosilni element 30 x 2mm), komplet z vročecinkanim okvirjem in vsem potrebnim pritrdilnim materialom, obračun po m2;</t>
    </r>
  </si>
  <si>
    <r>
      <t>Dobava in montaža</t>
    </r>
    <r>
      <rPr>
        <sz val="9"/>
        <rFont val="Arial"/>
        <family val="2"/>
      </rPr>
      <t xml:space="preserve"> pohodnega pokrova iz rebraste pločevine, vročecinkan dim. 60 x 60 cm, pokrov s tečaji, komplet z vročecinkanim okvirjem in vsem potrebnim pritrdilnim materialom, obračun po komadu;</t>
    </r>
  </si>
  <si>
    <r>
      <t>Dobava in montaža</t>
    </r>
    <r>
      <rPr>
        <sz val="9"/>
        <rFont val="Arial"/>
        <family val="2"/>
      </rPr>
      <t xml:space="preserve"> pohodnega pokrova iz rebraste pločevine, vročecinkan dim. 80 x 80 cm, pokrov s tečaji, komplet z vročecinkanim okvirjem in vsem potrebnim pritrdilnim materialom, obračun po komadu;</t>
    </r>
  </si>
  <si>
    <t>dimenzija 120 x 100 cm
Alu okvir in krilo
termopan zasteklitev
odpiranje na ventus
Alu kljuka</t>
  </si>
  <si>
    <r>
      <t xml:space="preserve">Dobava ter komplet izdelava zaključnega fasadnega sloja </t>
    </r>
    <r>
      <rPr>
        <sz val="9"/>
        <rFont val="Arial"/>
        <family val="2"/>
        <charset val="238"/>
      </rPr>
      <t>kompletno s prednamazom in silikatnim zaključnim fasadnim slojem (kot npr. BAUMIT oz po navodilu projektanta), vse po navodilih proizvajalca v barvi po navodilu projektanta, komplet z dobavo materiala, prenosi, transport, vsa pomožna dela, obračun po kvadratnem metru;</t>
    </r>
  </si>
  <si>
    <t>3/7</t>
  </si>
  <si>
    <t>NAČRT POMOŽNIH OBJEKTOV</t>
  </si>
  <si>
    <t>GRADBENA IN OBRTNIŠKA DELA</t>
  </si>
  <si>
    <t>Sanacija pomožnih objektov na pregradi</t>
  </si>
  <si>
    <t>Sanacija kanalet na zračni strani pregrade</t>
  </si>
  <si>
    <t>Sanacija stopnic ob levem boku pregrade</t>
  </si>
  <si>
    <t>Sanacija drenažnega sistema</t>
  </si>
  <si>
    <t>Sanacija upravnega objekta</t>
  </si>
  <si>
    <t>Sanacija stabilnosti osnovnih stebrov ter vzpostavitev stabilne geodetske mreže</t>
  </si>
  <si>
    <t>Odstranitev zarasti na brežinah akumulacije med koto 92,00 in 98,80 m.n.v.</t>
  </si>
  <si>
    <t>SKUPAJ GRADBENA IN OBRTNIŠKA DELA SKUPAJ</t>
  </si>
  <si>
    <t>H.</t>
  </si>
  <si>
    <t xml:space="preserve">OBRTNIŠKA DELA </t>
  </si>
  <si>
    <t>KLJUČAVNIČARSKA DELA</t>
  </si>
  <si>
    <t>SKUPAJ OBRTNIŠKA DELA</t>
  </si>
  <si>
    <t>SKUPAJ GRADBENA IN OBRTNIŠKA DELA BREZ DDV</t>
  </si>
  <si>
    <t>delavci PK</t>
  </si>
  <si>
    <t>Strojni izkop zemlje v terenu V. ktg</t>
  </si>
  <si>
    <t>Ročni izkop zemlje v terenu V.  ktg.</t>
  </si>
  <si>
    <t>Izdelava dvostranskega opaža vključno s podpiranjem in razopaženjem</t>
  </si>
  <si>
    <t>Dobava, montaža in demontaža trikotne letvice 5/5cm</t>
  </si>
  <si>
    <t>Vzidava okvirjev za pokrove jaškov, ki jih dobavi inštalater</t>
  </si>
  <si>
    <t>Montaža raznih sider v sveži beton</t>
  </si>
  <si>
    <t>Strojno nakladanje izkopanega materiala na kamion in odvoz na trajno deponijo</t>
  </si>
  <si>
    <t>13.</t>
  </si>
  <si>
    <t xml:space="preserve">Delno strojno, delno ročno planiranje terena III. ktg. </t>
  </si>
  <si>
    <t xml:space="preserve">odstranitev tamponskega materiala z odvozom na trajno deponijo </t>
  </si>
  <si>
    <t>SKUPAJ KLJUČAVNIČARSKA DELA</t>
  </si>
  <si>
    <t>Zakoličba kanalet</t>
  </si>
  <si>
    <r>
      <t>Dobava in polaganje betonskih kanalet ''tip 1'' (širina dna 30cm, višina 16) na podložni beton C12/15  (0,15m</t>
    </r>
    <r>
      <rPr>
        <vertAlign val="superscript"/>
        <sz val="9"/>
        <rFont val="Arial"/>
        <family val="2"/>
        <charset val="238"/>
      </rPr>
      <t>3</t>
    </r>
    <r>
      <rPr>
        <sz val="9"/>
        <rFont val="Arial"/>
        <family val="2"/>
        <charset val="238"/>
      </rPr>
      <t>/m'') vključno z izkopom, pripravo podlage, odvozom odvečnega materiala, vsemi notranjimi prenosi in prevozi ter pomožnimi deli</t>
    </r>
  </si>
  <si>
    <t>Dobava in polaganje betonskih kanalet ''tip 2' (hudourniška kanaleta širina dna 26/40cm, višina 19/24) na podložni beton C12/15 (0,15m3/m'') vključno z izkopom, pripravo podlage, odvozom odvečnega materiala, vsemi notranjimi prenosi in prevozi ter pomožnimi deli</t>
  </si>
  <si>
    <t>Dobava in polaganje betonskih zbirnih kanalet ''tip 3'' (kineta širina dna 40cm, višina 30cm) na podložni beton C12/15 (0,18m3/m'') vključno z izkopom, pripravo podlage, odvozom odvečnega materiala, vsemi notranjimi prenosi in prevozi ter pomožnimi deli</t>
  </si>
  <si>
    <t>Združevanje kanalet na bermah, oblikovanje betonskih priključkov, vključno z vsemi pomožnimi deli</t>
  </si>
  <si>
    <t>Rezanje kanalet</t>
  </si>
  <si>
    <t>Dobava tesnilne mase (kot npr. Sikaflex-11FC+) in izvedba spojev med kanaletami za doseganje vodotesnosti</t>
  </si>
  <si>
    <t>Dobava in vgradnja betona C25/30 v prereze nad 0,30m3/m2, (C25/30; XC2; dmax=16mm; S2; PV-I), vključno z vsemi notranjimi prenosi in prevozi</t>
  </si>
  <si>
    <t>Dobava in vgradnja betona C25/30 v prereze 0,12 do 0,30m3/m2, (C25/30; XC2; dmax=16mm; S2; PV-I), vključno z vsemi notranjimi prenosi in prevozi</t>
  </si>
  <si>
    <t>Dobava, rezanje, krivljenje, vezanje in vgrajevanje srednje zahtevne armature, armaturne mreže kvalitete B500 B, vključno z vsemi notranjimi prenosi in prevozi</t>
  </si>
  <si>
    <t>Izdelava enostranskega opaža vključno s podpiranjem in razopaženjem in vsemi notranjimi prenosi in prevozi</t>
  </si>
  <si>
    <t>Izdelava dvostranskega opaža vključno s podpiranjem in razopaženjem in vsemi notranjimi prenosi in prevozi</t>
  </si>
  <si>
    <t>Ročno planiranje terena na ravnih in poševnih površinah</t>
  </si>
  <si>
    <t>Humusiranje in zatravitev vključno z vsemi notranjimi prenosi in prevozi</t>
  </si>
  <si>
    <t>Zakoličba stopnic</t>
  </si>
  <si>
    <t>Dobava in polaganje montažnih betonskih stopnic (betonski elementi 60x40x14cm) na utrjeno tamponsko podlago debeline 15cm, vključno z izkopom, pripravo podlage, odvozom odvečnega materiala, vsemi notranjimi prenosi in prevozi ter pomožnimi deli</t>
  </si>
  <si>
    <t>SKUPNA REKAPITULACIJA ZA SANACIJO DRENAŽNEGA SISTEMA</t>
  </si>
  <si>
    <t>Odlov rib iz podslapja</t>
  </si>
  <si>
    <t>Preusmeritev vode</t>
  </si>
  <si>
    <t>izdelava začasnega nasipa na koncu podslapja z materialom od izkopa</t>
  </si>
  <si>
    <t>črpanje vode iz podslapja - ocena</t>
  </si>
  <si>
    <t xml:space="preserve">črpanje vode, ki priteče po drenaži - ocena  </t>
  </si>
  <si>
    <t>Odstranitev betonske cevi DN 40 z nakladanjem na prevozno sredstvo, transportom na ustrezno deponijo vključno s stroški deponije in z vsemi evidenčnimi listi.</t>
  </si>
  <si>
    <t>Strojno zasipanje za stenami jaška s tamponskim materialom, vgrajevanjem po plasteh debeline 30 cm in komprimiranjem do zbitosti Ev2=60MPa, vključno z dobavo materiala</t>
  </si>
  <si>
    <t>Ročno planiranje izkopa dna temelja s točnostjo +/- 3 cm</t>
  </si>
  <si>
    <t>Strojni izkop jarka za polaganje cevi PEHD fi 110mm, z odvozom na trajno deponijo na razdalji do 20 km</t>
  </si>
  <si>
    <t>Zasipanje cevi PEHD fi 110mm s tamponskim materialom, vgrajevanjem po plasteh debeline 30 cm in komprimiranjem do zbitosti Ev2=60MPa, vključno z dobavo materiala</t>
  </si>
  <si>
    <t>Strojni izkop mulja iz podslapja visokovodnega preliva z odvozom na trajno deponijo na razdalji do 20 km</t>
  </si>
  <si>
    <t xml:space="preserve">Dobava in vgradnja črpnega betona C25/30 v prereze nad 0,30m3/m2, (C25/30; XC2; dmax=16mm; S4; PV-III) </t>
  </si>
  <si>
    <t xml:space="preserve">Dobava in vgradnja črpnega betona C25/30 v prereze 0,12 do 0,30m3/m2, (C25/30; XC2; dmax=16mm; S4; PV-III) </t>
  </si>
  <si>
    <t>Izdelava opaža robov plošč višine do 20 cm  vključno s podpiranjem in razopaženjem</t>
  </si>
  <si>
    <t>Postavitev in premeščanje lahkih premičnih odrov višine do 200 cm, za izvajanje del v notranjosti in zunanjosti objekta</t>
  </si>
  <si>
    <t>Izdelava preboja fi 45cm v armirano betonski steni debeline 60cm</t>
  </si>
  <si>
    <t>Izdelava preboja fi 20cm v armirano betonski steni debeline 60cm</t>
  </si>
  <si>
    <t>Zatesnitev in zabetoniranje obstoječega iztoka iz drenaže DN 40cm</t>
  </si>
  <si>
    <t>Dobava in vgradnja cevi fi 15cm v stenah in ploščah debeline do 20cm za prehod inštalacij</t>
  </si>
  <si>
    <t>Dobava in vgradnja cevi PEHD fi 110mm, gladka notranja površina, v podstavek merilne omarice</t>
  </si>
  <si>
    <t>Dobava in vgradnja cevi PEHD fi 110mm, gladka notranja površina,  pod strop jaška črpališča na obešanke, zatesnitev vseh prehodov med jaški vključno s vsem pritrdilnim in tesnilnim materialom</t>
  </si>
  <si>
    <t>Dobava in vgradnja cevi PEHD fi 110mm, gladka notranja površina, zatesnitev vseh priključkov na jaške vključno s vsem tesnilnim materialom</t>
  </si>
  <si>
    <t>Dobava in vgradnja armirano betonske cevi DN 40cm z izvedbo vseh priključkov na obstoječo cev ter jaške</t>
  </si>
  <si>
    <t>Izrez zgornje polovice armirano betonske cevi na dolžini 1,0m</t>
  </si>
  <si>
    <t>Izvedba priključka obstoječe drenažne cevi fi 110mm v jašek</t>
  </si>
  <si>
    <t>Odstranitev začasnega nasipa na koncu podslapja z odvozom na trajno deponijo</t>
  </si>
  <si>
    <t>Dobava in montaža panelne ograjne sistema Panel 2D - 8/6/8; višine 1630mm, dolžina panela 2508mm,  premer žice (mm) horizontalna Ø8mm, vertikalna Ø6mm; s pripadajočimi stebri 60/60mm in montažo na steno podslapja; Vsi kovinski elementi elementi prašno barvani vroče cinkani, barva po RAL 6005</t>
  </si>
  <si>
    <t>Dobava in montaža enokrilnih vrat nad iztokom drenaže, širina 1000mm, višina skladno z ograjo, polnilo in barva enako kot pri ograji, vključno s kljuko in cilindrično ključavnico</t>
  </si>
  <si>
    <t>SKUPNA REKAPITULACIJA ZA SANACIJO UPRAVNEGA OBJEKTA</t>
  </si>
  <si>
    <t>RUŠITVENA DELA</t>
  </si>
  <si>
    <t>KERAMIČARSKA DELA</t>
  </si>
  <si>
    <t>STAVBNO POHIŠTVO</t>
  </si>
  <si>
    <t>KROVSKA DELA</t>
  </si>
  <si>
    <t>KLEPARSKA DELA</t>
  </si>
  <si>
    <t>FASADERSKA DELA</t>
  </si>
  <si>
    <t>SLIKOPLESKARSKA DELA</t>
  </si>
  <si>
    <t>STROJNE INSTALACIJE</t>
  </si>
  <si>
    <t>Postavitev in odstranitev tipskega skladiščnega kontejnerja za skladiščenje inventarja in dokumentacije iz upravnega objekta v času izvajanja del</t>
  </si>
  <si>
    <t>Razna režijska dela po odobritvi nadzornega organa</t>
  </si>
  <si>
    <t>KV delavec</t>
  </si>
  <si>
    <t>PK delavec</t>
  </si>
  <si>
    <t>SKUPAJ RUŠITVENA DELA</t>
  </si>
  <si>
    <t>Ročno planiranje dna izkopa za pločnik s točnostjo +/- 3 cm</t>
  </si>
  <si>
    <t>Dobava in vgradnja tamponskega nasutja za pločnik skupaj s razplaniranjem in utrditvijo do zbitosti Ev2=60MPa</t>
  </si>
  <si>
    <t>Ročno zasipanje ob pločniku z izkopano zemljino deponirano ob objektu</t>
  </si>
  <si>
    <t>Ročno planiranje terena III. ktg. ob upravnem objektu</t>
  </si>
  <si>
    <t>Humusiranje in zatravitev terena ob upravnem objektu</t>
  </si>
  <si>
    <t xml:space="preserve">Dobava in vgradnja betona C25/30 v prereze nad 0,30m3/m2, (C25/30; XC2; dmax=16mm; S2; PV-I) </t>
  </si>
  <si>
    <t>Izdelava opaža za pločnik višine do 10 cm vključno  s podpiranjem in razopaženjem</t>
  </si>
  <si>
    <t>Dobava in polaganje horizontalne hidroizolacije pod  tlaki v sestavi 1x hladni premaz z ibitolom in 1x polnovarjeni armirani bitumenski trak poljubnega proizvajalca, kot npr. izotekt V4</t>
  </si>
  <si>
    <t>Izdelava mikroarmiranega cementnega estriha po celotnem objektu v sestavi: stirodur 5 cm, PVC folija in cementni estrih v debelini 5 cm kot podlaga za granitogres ploščice. Estrih se dilatira od sten z dilatacijskim trakom debeline 1 cm.</t>
  </si>
  <si>
    <t xml:space="preserve">Dobava, izvedba in vzidava kamnitih notranjih okenskih polic, kot posledica menjave stavbnega pohištva, bele barve, širine do 25cm </t>
  </si>
  <si>
    <t>Dobava, izvedba in vzidava kamnitih zunanjih kamnitih okenskih polic, kot posledica menjave stavbnega pohištva, bele barve, širine do 15cm</t>
  </si>
  <si>
    <t>Dobava in polaganje betonskih plošč dimenzije 40x40cm, kompletno s polaganjem na lepilo ter stičenjem reg med betonskimi ploščami. Betonske plošče srednjega cenovnega razreda.</t>
  </si>
  <si>
    <t>Dobava in polaganje betonskih plošč na stopnicah  kompletno s čeli, pripravo podlage, polaganjem na lepilo ter stičenjem reg med betonskimi ploščami. Betonske plošče srednjega cenovnega razreda.</t>
  </si>
  <si>
    <t xml:space="preserve">Obrizg, grobi in fini sanacijski omet na coklu. </t>
  </si>
  <si>
    <t>Razna obdelava obstoječih površin z lepilno malto, PVC mrežico in ponovnim slojem lepilne malte. Podlaga za slikopleskarsko obdelavo.</t>
  </si>
  <si>
    <t xml:space="preserve">Dolbljenje reg za razvod podometnih instalacij v opečnem zidu. </t>
  </si>
  <si>
    <t>Rege preseka do 10/5 cm.</t>
  </si>
  <si>
    <t>Rege preseka do 15/15 cm.</t>
  </si>
  <si>
    <t>Zazidava reg po položitvi instalacij v utorih širine do 10 cm s podaljšano malto.</t>
  </si>
  <si>
    <t>Zazidava reg po položitvi instalacij v utorih širine do 20cm s podaljšano malto.</t>
  </si>
  <si>
    <t>Dobava in vgradnja sider fi8/50cm po obodu objekta, globina vrtanja 20 cm, sidra L=0,50m</t>
  </si>
  <si>
    <t>Vzidava raznih instalacijskih elementov</t>
  </si>
  <si>
    <t>Dobava in polaganje talnih velikoformatnih granitogres ploščic (celoten objekt brez sanitarij), kompletno s polaganjem na lepilo ter stičenjem reg med ploščicami. Granitogres ploščice so srednjega cenovnega razreda.</t>
  </si>
  <si>
    <t>Dobava in polaganje zidne obrobe (batiškopa) iz  granitogres ploščic višine do 15 cm (celoten objekt brez sanitarij), kompletno s polaganjem na lepilo ter stičenjem reg med ploščicami. Granitogres ploščice so srednjega cenovnega razreda.</t>
  </si>
  <si>
    <t>Dobava in polaganje talnih granitogres ploščic v sanitarijah, kompletno s polaganjem na lepilo ter stičenjem reg med ploščicami. Granitogres ploščice so srednjega cenovnega razreda.</t>
  </si>
  <si>
    <t>Dobava in polaganje stenskih granitogres ploščic v sanitarijah, kompletno s pripravo podlage, polaganjem na lepilo ter stičenjem reg med ploščicami. Vsi vogali in robovi so zaključeni s pvc letvico. Granitogres ploščice so srednjega cenovnega razreda.</t>
  </si>
  <si>
    <t>SKUPAJ KERAMIČARSKA DELA</t>
  </si>
  <si>
    <t>Dobava in montaža PVC oken, 9kos, dvoslojna termopan zasteklitev, polkna, okovje, kljuka (145x140cm, 4 kos, dvokrilna; 124x140cm, 2 kos, dvokrilna; 100x140cm, 1 kos, dvokrilna; 65x65cm, 2 kos, enokrilna;</t>
  </si>
  <si>
    <t>Dobava in montaža protivlomnih vhodnih vrat dimenzije 102x232cm vključno s kljuko</t>
  </si>
  <si>
    <t xml:space="preserve">Dobava in montaža lesenih notranjih vrat z nadsvetlobo vključno s kljuko (95x280cm, 4 kos; 72x280cm, 1 kos), </t>
  </si>
  <si>
    <t>Dobava in montaža vrat za tuš iz kaljenega stekla, satinirano vključno kljuko (66x200cm, 1kos)</t>
  </si>
  <si>
    <t>SKUPAJ STAVBNO POHIŠTVO</t>
  </si>
  <si>
    <t xml:space="preserve">Dobava in polaganje sekundarne kritine (paroprepustna folija, 230g), položena mora biti z ustreznimi lepljenimi preklopi vse v skladu z navodili izbranega proizvajalca </t>
  </si>
  <si>
    <t>Dobava in letvanje strehe s prečnimi letvami 3/5cm vključno s vsem pritrdilnim in tesnilnim materialom</t>
  </si>
  <si>
    <t>Dobava in letvanje strehe z vzdolžnimi letvami 3/5cm vključno s vsem pritrdilnim in tesnilnim materialom</t>
  </si>
  <si>
    <t xml:space="preserve">Dobava in pokrivanje strehe s korci z obešanjem na kljukice in purpenom, po navodilih proizvajalca, v ceno upoštevati vse elemente kritine, ki so potrebni za garancijo </t>
  </si>
  <si>
    <t>Dobava in pokrivanje slemena s slemenjaki in  prezračevalnim trakom, vključno z vsem pritrdilnim materialom, opečnimi jeziki in zaključnimi slemenjaki</t>
  </si>
  <si>
    <t>Dobava in polaganje prezračevalnih korcev</t>
  </si>
  <si>
    <t>Dobava in montaža kapne rešetke, vključno z vsem pritrdilnim materialom</t>
  </si>
  <si>
    <t>SKUPAJ KROVSKA DELA</t>
  </si>
  <si>
    <t>Izdelava, dobava in montaža horizontalnih žlebov, iz barvane aluminijaste pločevine deb. 0,70 mm, polkrožne oblike r.š. do 50 cm,  vključno z izdelavo okroglih odtočnih odprtin za odtoke, z vsem pritrdilnim in tesnilnim materialom, vključno s kljukami</t>
  </si>
  <si>
    <t>Izdelava, dobava in montaža vertikalnih odtočnih cevi, fi 100 mm iz barvane aluminijaste pločevine deb. 0,70 mm, vključno z objemkami in z vsem pritrdilnim materialom</t>
  </si>
  <si>
    <t>Izdelava, dobava in montaža čelnih obrob iz barvane ALU pločevine deb. 0,70 mm, razvite širine do 60 cm, z vsemi potrebnimi pomožnimi deli, vključno z vsem pritrdilnim in tesnilnim materialom</t>
  </si>
  <si>
    <t>Izdelava, dobava in montaža zaključkov - stik kritine in dimnika, iz barvane ALU pločevine deb. 0,70 mm, razvite širine do 50 cm, z vsemi potrebnimi pomožnimi deli, vključno z vsem pritrdilnim in tesnilnim materialom</t>
  </si>
  <si>
    <t>Izdelava, dobava in montaža strelovoda vključno z vsem pritrdilnim materialom, sponkami in podporami ter priključitvijo na obstoječe vertikale strelovoda, kompletno z vsemi potrebnimi pomožnimi deli, elementi in transporti</t>
  </si>
  <si>
    <t>SKUPAJ KLEPARSKA DELA</t>
  </si>
  <si>
    <t>Izdelava fasadnih odrov z napravo podstavkov, ograj in vsemi transporti ter odstranitvijo in čiščenjem po končanih delih, do 45 dni stojnina, cel objekt</t>
  </si>
  <si>
    <t>Izdelava fasade v izvedbi. Nanos lepilne malte in armiranje s pvc armirno mrežico ter izravnava z lepilno malto. Izvedbo zaključnega sloja z impregnacijo podlage ter finalnega sloja s silikonskim zaribanim ometom v barvi po izbiri vključno z dobavo vseh materialov.</t>
  </si>
  <si>
    <t>Dobava in nanos kulirplasta na cokel</t>
  </si>
  <si>
    <t>SKUPAJ FASADERSKA DELA</t>
  </si>
  <si>
    <t>Dobava materiala in slikanje notranjih sten z apnenimi barvami, 2x na predhodno 2x kitanje in brušenje ter impregnacija podlage. Podlaga naj bo trdna suha in čista – brez slabo vezanih delcev, prahu, masti in druge umazanije.</t>
  </si>
  <si>
    <t>Finalni oplesk napuščev in vidnih delov ostrešja, 2x premaz z lazurnim premazom npr. beltop.</t>
  </si>
  <si>
    <t xml:space="preserve">Zaključno čiščenje talnih površin </t>
  </si>
  <si>
    <t>Zaključno čiščenje zastekljenih površin</t>
  </si>
  <si>
    <t>SKUPAJ SLIKOPLESKARSKA DELA</t>
  </si>
  <si>
    <t>Dobava in montaža straniščne školjke iz sanitarnega porcelana, bele barve, kvaliteta 1A. Skupaj s školjko se dobavi tudi: sedežna deska, izplakovalni kotliček s plovnim ventilom, s kotnim regulacijskim ventilom DN 15, vezno cevjo, s tipko za proženje, vključno s potrebnimi montažnim in tesnilnim materialom</t>
  </si>
  <si>
    <t>Dobava in montaža umivalnika iz sanitarnega porcelana, bele barve, kvaliteta 1A, velikosti 500x410, za montažo na zid. Skupaj z umivalnikom se dobavi tudi: kromirana enoročna stoječa mešalna baterija DN15, 2x kromirani medeninasti kotni regulacijski ventil DN 15 z zveznimi cevkami, kromiran medeninasti sifon DN 32 S oblike z zvezno cevjo in rozeto, kromiran medeninasti odtočni ventil DN 32 s čepom</t>
  </si>
  <si>
    <t>Dobava in montaža tuš kadi iz sanitarnega porcelana, bele barve, kvaliteta 1A, velikosti 800x800. Skupaj z tuš kadjo se dobavi tudi sifon za kad.</t>
  </si>
  <si>
    <t>Dobava in montaža enoročne mešalne baterije DN15 za tuš vključno s cevjo in ročko za tuš, talnim sifonom, ventili, in vsem pritrdilnim in tesnilnim materialom</t>
  </si>
  <si>
    <t>Dobava in montaža stenskega, električnega grelnika vode, kapacitete 60 litrov, vključno s podometnima kotnima ventiloma, varnostnim izpustnim ventilom, gibljivima cevema DN 15 PN 10, montažnim in pritrdilnim materialom</t>
  </si>
  <si>
    <t>Dobava in montaža jeklene pocinkane cevi, dimenzije DN 15 PN 10 - za razvod hladne in tople sanitarne vode, skupaj z navojnimi fitingi, tesnilnim in pritrdilnim materialom ter dodatkom za razrez</t>
  </si>
  <si>
    <t>Dobava in montaža PVC kanalizacijskih cevi z objenkami po DIN 19531, skupaj s fazonskimi kosi, tesnilnim in pritrdilnim materialom</t>
  </si>
  <si>
    <t>fi 110 mm</t>
  </si>
  <si>
    <t>fi 75 mm</t>
  </si>
  <si>
    <t>fi 50 mm</t>
  </si>
  <si>
    <t>Dobava in montaža držala za toaletni papir (rola), vključno s pritrdilnim materialom</t>
  </si>
  <si>
    <t>Dobava WC ščetke, izdelane iz plastike</t>
  </si>
  <si>
    <t>Dobava in montaža milnika, za montažo na zid vključno s pritrdilnim materialom</t>
  </si>
  <si>
    <t>Dobava in montaža držala za papirnate brisače, vključno s pritrdilnim materialom</t>
  </si>
  <si>
    <t>Drobni montažni in pritrdilni material</t>
  </si>
  <si>
    <t>SKUPAJ STROJNE INŠTALACIJE</t>
  </si>
  <si>
    <t>Izdelava, dobava in montaža steklenega nadstreška na vhodu, dimenzije 130x250cm, inox izvedba, kaljeno steklo 8mm, vključno s vsem potrebnimi montažnim in tesnilnim materialom</t>
  </si>
  <si>
    <t>Izdelava manjkajočih pokrovov za inštalacijski kanal vključno z vsem potrebnim materialom</t>
  </si>
  <si>
    <t>3.7.1</t>
  </si>
  <si>
    <t>3.7.2</t>
  </si>
  <si>
    <t>3.7.3</t>
  </si>
  <si>
    <t>DRUGA DELA</t>
  </si>
  <si>
    <t>Posek grmovja s spravilom v območju vizur med stebri</t>
  </si>
  <si>
    <t xml:space="preserve">Naprava rampe in obnova dostopnih poti </t>
  </si>
  <si>
    <t>dobava in vgradnja tamponskega materiala v rampo</t>
  </si>
  <si>
    <t>pajek</t>
  </si>
  <si>
    <t>Zakoličba trase med stebroma O4 in O5</t>
  </si>
  <si>
    <t>Postavitev gradbenih prečnih profilov, enostranski, srednji, med stebroma O4 in O5</t>
  </si>
  <si>
    <t>Preprečitev padanja kamna po brežini med izvajanjem del</t>
  </si>
  <si>
    <t>dobava in vgradnja armaturnih palic fi 32mm, dolžine 2,0m, vključno z vsemi notranjimi prenosi in odstranitvijo po končanih delih</t>
  </si>
  <si>
    <t>dobava in vgradnja lesenih plohov, vključno z vsemi notranjimi prenosi in odstranitvijo po končanih delih</t>
  </si>
  <si>
    <t xml:space="preserve">pajek </t>
  </si>
  <si>
    <t>Vzpostavitev vidnosti med stebrom O4 in O5</t>
  </si>
  <si>
    <t>Strojni izkop zemlje v terenu V. ktg (pajek)</t>
  </si>
  <si>
    <t>Tri kratni strojni premet izkopane zemlje IV. ktg (pajek)</t>
  </si>
  <si>
    <t>Strojno nakladanje izkopanega materiala  IV. ktg (pajek) na mini demper in odvoz na začasno deponijo na razdalji do 500m</t>
  </si>
  <si>
    <t>Strojno nakladanje izkopanega materiala  IV. ktg na kamion in odvoz na trajno deponijo na razdalji do 20km</t>
  </si>
  <si>
    <t>Izvedba geodetskega posnetka celotnega območja akumulacije (glavno in zgornje jezero), pregrade in vseh objektov (obstoječih in novih), posnetek glavnega jezera se izvede v času gradnje ob najnižji koti vode, izdela se krivulja površin in volumna akumulacije do kote 100,50m.n.v..</t>
  </si>
  <si>
    <t>SKUPAJ DRUGA DELA</t>
  </si>
  <si>
    <t xml:space="preserve">Preverba vidnosti med stebroma O4 in O5 </t>
  </si>
  <si>
    <t>Odstranitev dostopne rampe z vzpostavitvijo terena v primerno stanje</t>
  </si>
  <si>
    <t>ODSTRANJEVANJE ZARASTI</t>
  </si>
  <si>
    <t>Zakoličba kote normalne zajezbe 98,80 m.n.v.</t>
  </si>
  <si>
    <t>Naprava in obnova dostopnih poti - ocena</t>
  </si>
  <si>
    <t>dobava in vgradnja tamponskega materiala v debelini 30cm (2,0km x 4,0 m x 0,30m)</t>
  </si>
  <si>
    <t>bager</t>
  </si>
  <si>
    <t>Posek grmovja s strojnim prenosom na razdalji do 100m, nakladanjem na prevozno sredstvo in odvozom na začasno deponijo na razdalji do 1km, ter z mletjem biomase in odvozom</t>
  </si>
  <si>
    <t>Posek dreves fi do 10cm s strojnim prenosom na razdalji do 100m, nakladanjem na prevozno sredstvo in odvozom na začasno deponijo na razdalji do 1km, ter z mletjem biomase in odvozom</t>
  </si>
  <si>
    <t>Strojno ruvanje panjev do fi 25 s strojnim prenosom na razdalji do 100m, nakladanjem na prevozno sredstvo in odvozom na trajno deponijo na razdalji do 20km, vključno s stroški deponije</t>
  </si>
  <si>
    <t>SKUPAJ ODSTRANJEVANJE ZARASTI</t>
  </si>
  <si>
    <t>Vzpostavitev terena v primerno stanje</t>
  </si>
  <si>
    <t>Vrednosti so v EUR!</t>
  </si>
  <si>
    <t>SKUPAJ:</t>
  </si>
  <si>
    <t>- stroški oteženega izkopa v mokrem terenu, izkop v vodi, prekop potokov itd.</t>
  </si>
  <si>
    <t>- stroški dela v nagnjenem terenu</t>
  </si>
  <si>
    <t>- stroški dela v kampadah zaradi oteženih geoloških razmer</t>
  </si>
  <si>
    <t>- stroški odvoda meteorne vode iz gradbene jame in vode, ki se izceja iz bočnih strani izkopa, če je potrebno</t>
  </si>
  <si>
    <t>- vsi stroški za zagotavljanje varnosti in zdravja pri delu, zlasti stroške za vsa dela, ki izhajajo iz zahtev Varnostnega načrta</t>
  </si>
  <si>
    <t>- stroške odvoza in zagotovitev odstranjevanja odpadnega gradbenega materiala skladno z zakonodajo na področju ravnanja z odpadki (odvoz na urejene deponije s taksami itd.)</t>
  </si>
  <si>
    <t>- vse stroške v zvezi s transporti po javnih poteh in cestah: morebitne odškodnine, morebitne sanacije cestišč zaradi poškodb med gradnjo itd.</t>
  </si>
  <si>
    <t>- stroške za postavitev objekta s poslovnim prostorom vključno z opremo za dve delovni mesti in za skupne operativne sestanke vel. cca 20 m2 za potrebe investitorja, s tekočim vzdrževanjem in čiščenjem</t>
  </si>
  <si>
    <t>- vse stroške za sanacijo in kultiviranje površin delovnega pasu in gradbiščnih površin po odstranitvi objektov;</t>
  </si>
  <si>
    <t>- vse stroške za postavitev gradbišča, gradbiščnih objektov, ureditev začasnih deponij, tekoče vzdrževanje in odstranitev gradbišča;</t>
  </si>
  <si>
    <t>- vse stroške v zvezi z začasnim odvozom, deponiranjem in vračanjem izkopanega materiala na mestih, kjer ga ne bo možno deponirati na gradbišču;</t>
  </si>
  <si>
    <t>- vse stroške za pridobitev začasnih površin za gradnjo  izven delovnega pasu (soglasja, odškodnine, itd.);</t>
  </si>
  <si>
    <t xml:space="preserve">Izvajalec mora omogočati stalen, prost in vzdrževan dostop za potrebe intervencije oz. vzdrževanja  </t>
  </si>
  <si>
    <t>Izvajalec je dolžan izvesti vsa dela kvalitetno, v skladu s predpisi, projektom, tehničnimi pogoji za izgradnjo plinovodov in v skladu z dobro gradbeno prakso.</t>
  </si>
  <si>
    <t>Ponudnik je dolžan o vsaki ugotovljeni neskladnosti med popisom in tehničnim poročilom in/ali grafičnimi prikazi obvestiti projektanta in investitorja ter zahtevati pojasnilo pred oddajo ponudbe.</t>
  </si>
  <si>
    <t>Tam, kjer je v popisu opreme določen kos opisan kot določen tip ali blagovna znamka, se to razume v smislu lažjega opisa: enakovreden ali boljši.</t>
  </si>
  <si>
    <t>V posameznih postavkah je zajeto: dobava materiala, vgradnja materiala in gradbena pomoč inštalaterjem ter vrtanje do fi 50mm 1m v globino, razen kjer je eksplicitno drugače navedeno</t>
  </si>
  <si>
    <t>SPLOŠNE OPOMBE K POPISU</t>
  </si>
  <si>
    <t>ELEKTRO DEL</t>
  </si>
  <si>
    <t>ZUNANJA IN SPLOŠNA RAZSVETLJAVA</t>
  </si>
  <si>
    <t>Kabel NAYY-J 4x16+2,5 mm2, uvlečen v kabelsko kanalizacijo in luči</t>
  </si>
  <si>
    <t>Izdelava samoskrčnih kabelskih končnikov za kabel iz PVC mase (5 x10/16 mm2), montaža kabelskih čevljev Al/Cu</t>
  </si>
  <si>
    <t>gar</t>
  </si>
  <si>
    <t>Omara PRIŽIGALIŠČE ZR, dim. 1080x1115x322 mm, kot npr. : A/FK 6 H (Mosdorfer) s podstavkom in streho, montažno ploščo, okencem, fizično razdeljena  v notranjosti na M.P.O. in prižigališče, z dvokrilnimi vrati, ključavnico vzdrževalca in ključavnico elektrodistribucije, z montažo na pripravljen temelj, s sledečo opremo po enopolni shemi:</t>
  </si>
  <si>
    <t>- Direktni, dvotarifni, trifazni števec Landis&amp;Gyr (LANDIS GYR ZMF120ABtFs2),  z komunikatorjem:
(AD-FP91D140)</t>
  </si>
  <si>
    <t>1x</t>
  </si>
  <si>
    <t xml:space="preserve"> - prenapetostni zaščitni odvodnik, nazivni odvodni tok (8/20) 25 kA, s prikazom stanja kot npr. ETITEC (I+II) 320/12,5 F3+0 RC (ETI), štiripolni, s pomožnim kontaktnim sklopom, komplet z ozemljitveno šino</t>
  </si>
  <si>
    <t>2x</t>
  </si>
  <si>
    <t xml:space="preserve"> - prenapetostni zaščitni odvodnik, nazivni odvodni tok (8/20) 25 kA, s prikazom stanja kot npr. ETITEC (I+II) 320/12,5 F1+0 RC (ETI), štiripolni, s pomožnim kontaktnim sklopom, komplet z ozemljitveno šino</t>
  </si>
  <si>
    <t xml:space="preserve">- glavno stikalo 4G40-10PK  </t>
  </si>
  <si>
    <t>- podstavek HVL 01, 3 polni</t>
  </si>
  <si>
    <t>- podstavek HVL 00, 3 polni</t>
  </si>
  <si>
    <t>3x</t>
  </si>
  <si>
    <t>- talilni vložki NV 01, 500V, 16, 20, 35A</t>
  </si>
  <si>
    <t>- talilni vložki NV 00, 500V, 16, 20, 35A</t>
  </si>
  <si>
    <t>6x</t>
  </si>
  <si>
    <t>- Varovalčni ločilnik VLC 10 1p+N z LED indikacijo, komplet z varovalnimi vložki</t>
  </si>
  <si>
    <t>- Varovalčni ločilnik VLC 10 3p+N z LED indikacijo, komplet z varovalnimi vložki</t>
  </si>
  <si>
    <t>- ISALUX</t>
  </si>
  <si>
    <t>- stikalo 4G10-51Pk</t>
  </si>
  <si>
    <t>- stikalna ura s pomožnim baterijskim napajanjem</t>
  </si>
  <si>
    <t>- kontaktor KNL30</t>
  </si>
  <si>
    <t>- kontaktor KNL18</t>
  </si>
  <si>
    <t>vrstne sponke, napisi, oznake, obročkanje kablov, enopolna vezalna shema, drobni material</t>
  </si>
  <si>
    <t xml:space="preserve">Svetilka javne razsvetljave z ravnim steklom, zgornji del svetilke in predstikalna omarica tlačno ulitega aluminija, primerna za direktno montažo na drog pod nagibnim kotom 0 stopinj,  priključnimi sponkami, kot npr. MINI BRERA 1669 SAP-T 70 CNR ARG GRAF (Disano) z metalhalogenidno sijalko cevaste oblike 70W 
</t>
  </si>
  <si>
    <r>
      <t>Nadgradna LED vodoodporna svetilka,polikarbonatna z zaščito IP66IK08, za uporabo v prostorih, kjer temperatura ne presega 45</t>
    </r>
    <r>
      <rPr>
        <sz val="9"/>
        <rFont val="Calibri"/>
        <family val="2"/>
        <charset val="238"/>
      </rPr>
      <t>°</t>
    </r>
    <r>
      <rPr>
        <sz val="9"/>
        <rFont val="Arial CE"/>
        <charset val="238"/>
      </rPr>
      <t xml:space="preserve">C.  Ohišje injekcisko brizgano v RAL 7035 negorečem, UV-staliliziranem polikarbonatu. Odporno proti vandalizmu. Difuzor injekcisko brizgan, negoreč V2 polikarbonat, prizmatična notranja plast za boljšo svetlobno karakteristiko kot npr.: ECHO 927 108x54LM CLD CELL GRIGIO 
</t>
    </r>
  </si>
  <si>
    <t>Raven drog cestne razsvetljave (reducirani) višine h=7m (7m nad nivojem terena) z sidrno ploščo za montažo na temelj , prilagojen za direktno montažo svetilke (fi 60 mm), z odprtino za uvod kablov, vročecinkane izvedbe, vijaki INOX (2x), s priključno ploščo ( kot npr: PVE - Stanovnik) in kompletnim ožičenjem (NYY-J 4x2,5 mm2), postavljen v temelj (III. vetrovna cona)</t>
  </si>
  <si>
    <t>Meritve osvetlitve, komplet z izdajo poročila</t>
  </si>
  <si>
    <t>VARNOSTNA RAZSVETLJAVA</t>
  </si>
  <si>
    <t>Varnostna svetilka LED, nadgradna, 250lm, autotest funkcija, avtonomije 1h, kot npr. Eaton NexitechLED AT 250lm 3W.</t>
  </si>
  <si>
    <t>Meritve varnostne osvetlitve</t>
  </si>
  <si>
    <t>Vrednosti so v EUR brez DDV!</t>
  </si>
  <si>
    <t>4.1</t>
  </si>
  <si>
    <t>4.2</t>
  </si>
  <si>
    <t>4.3</t>
  </si>
  <si>
    <t>4.4</t>
  </si>
  <si>
    <t>4.5</t>
  </si>
  <si>
    <t>4.6</t>
  </si>
  <si>
    <t>4.7</t>
  </si>
  <si>
    <t>4.8</t>
  </si>
  <si>
    <t>4.9</t>
  </si>
  <si>
    <t>4.10</t>
  </si>
  <si>
    <t>4.11</t>
  </si>
  <si>
    <t>ZUNANJA, SPLOŠNA IN VARNOSTNA RAZSVETLJAVA</t>
  </si>
  <si>
    <t>4.1 ZUNANJA, SPLOŠNA IN VARNOSTNA RAZSVETLJAVA - SKUPAJ:</t>
  </si>
  <si>
    <t>Vodovni material je zajet v skupnem popisu vodovnega in/ali TK materiala.</t>
  </si>
  <si>
    <t>PRIVOZ 11</t>
  </si>
  <si>
    <r>
      <rPr>
        <b/>
        <sz val="9"/>
        <rFont val="Arial"/>
        <family val="2"/>
        <charset val="238"/>
      </rPr>
      <t>Snemalnik</t>
    </r>
    <r>
      <rPr>
        <sz val="9"/>
        <rFont val="Arial"/>
        <family val="2"/>
      </rPr>
      <t>; 1080p; PoE (8 izhodi); FULL HD; 1xVGA izhod; 1xHDMI izhod; 25fps real time; 8x avdio vhod; 1x avdio izhod; vgrajen HDD 2TB (max. 2HDD 4TB); ONVIF; USB back up and update, montaža v rack omaro, v kompletu z pripadajočo programsko opremo; napajanje 48Vdc/2A (napajalnik priložen), dimenzije 380x50x340mm, kot npr.: NVR 8 CH</t>
    </r>
  </si>
  <si>
    <r>
      <t xml:space="preserve">DOME IP kamera z IR LED reflektorji: </t>
    </r>
    <r>
      <rPr>
        <sz val="9"/>
        <rFont val="Arial"/>
        <family val="2"/>
      </rPr>
      <t>2,1Mpx; 1080p (1920x1080) HD; 1/2,9" CMOS Sony Exmor;  frame rate snemanja 25fps@1080p, 25fps@720p; objektiv 2,8-12mm; Day&amp;Night, ONVIF; IR doseg 20m; IP66, H.264/Mjpeg, 32 Kbps~12Mbps, 1x RJ45 LAN 10/100Mbps; HTTP, TCP/IP, IPv4, UPNP, RTSP, UDP, SMTP, NTP, DHCP, DNS, PPPOE, DDNS; Multi browser; podpora Urmet UVS Client preko NVR; podpora Mobile iUVS (iOS, Android) preko NVR; napajanje: 12Vcc ali PoE (Power over Ethernet), antivandal, kot npr.: Vandal Dome IP kamera 1093/178M2
Komplet z dozo in ostalim veznim in pritrdilnim materialom</t>
    </r>
  </si>
  <si>
    <r>
      <rPr>
        <b/>
        <sz val="9"/>
        <rFont val="Arial"/>
        <family val="2"/>
      </rPr>
      <t xml:space="preserve">Kompaktna IP kamera z IR LED reflektorji: </t>
    </r>
    <r>
      <rPr>
        <sz val="9"/>
        <rFont val="Arial"/>
        <family val="2"/>
      </rPr>
      <t>2,1Mpx; 1080p (1920x1080) HD; 1/2,9" CMOS Sony Exmor;  frame rate snemanja 25fps@1080p, 25fps@720p; objektiv 2,8-12mm; Day&amp;Night, ONVIF; IR doseg 25m; IP66, H.264/Mjpeg, 32 Kbps~12Mbps, 1x RJ45 LAN 10/100Mbps; HTTP, TCP/IP, IPv4, UPNP, RTSP, UDP, SMTP, NTP, DHCP, DNS, PPPOE, DDNS; Multi browser; podpora Urmet UVS Client preko NVR; podpora Mobile iUVS (iOS, Android) preko NVR; napajanje: 12Vcc ali PoE (Power over Ethernet), kot npr.: Bullet IP kamera 1093/141M2
Komplet z dozo in ostalim veznim in pritrdilnim materialom</t>
    </r>
  </si>
  <si>
    <r>
      <rPr>
        <b/>
        <sz val="9"/>
        <rFont val="Arial"/>
        <family val="2"/>
      </rPr>
      <t>4 portno PoE stikalo</t>
    </r>
    <r>
      <rPr>
        <sz val="9"/>
        <rFont val="Arial"/>
        <family val="2"/>
        <charset val="238"/>
      </rPr>
      <t>; 8x port 100/1000Mpbs; 8x PoE port (30W); IPv6; napajanje 54Vdc-1,7A (priložen napajalnik); dimenzije: 250x104x27mm; certifikati: CE, FCC, Class A, C-Tick, BSMI</t>
    </r>
  </si>
  <si>
    <r>
      <rPr>
        <b/>
        <sz val="9"/>
        <rFont val="Arial"/>
        <family val="2"/>
      </rPr>
      <t>24 portno PoE (DIN) stikalo</t>
    </r>
    <r>
      <rPr>
        <sz val="9"/>
        <rFont val="Arial"/>
        <family val="2"/>
        <charset val="238"/>
      </rPr>
      <t>; 24x port 100/1000Mpbs; 24x PoE port (30W); 2x optični SFP port; IPv6; napajanje 230Vac; dimenzije: 440x310x45mm; mogoča montaža v RACK; certifikati: CE, FCC, Class A, C-Tick, BSMI</t>
    </r>
  </si>
  <si>
    <t>Optični pretvornik SFP za multimodna optična vlakna; 1.25Gbps; doseg 500m</t>
  </si>
  <si>
    <t xml:space="preserve">Kabel ClassE kot npr. Leviton-BrandRex </t>
  </si>
  <si>
    <t>Optični kabel</t>
  </si>
  <si>
    <t>Konektor RJ45 za UTP kabel</t>
  </si>
  <si>
    <t>Programiranje video nadzora, podpora pri montiranju elementov in šolanje uporabnika, nalepke in ostali drobni material</t>
  </si>
  <si>
    <t>VIDEONADZOR (VN)</t>
  </si>
  <si>
    <r>
      <rPr>
        <b/>
        <sz val="9"/>
        <rFont val="Arial"/>
        <family val="2"/>
      </rPr>
      <t>Protivlomna centrala</t>
    </r>
    <r>
      <rPr>
        <sz val="9"/>
        <rFont val="Arial"/>
        <family val="2"/>
      </rPr>
      <t xml:space="preserve"> z </t>
    </r>
    <r>
      <rPr>
        <sz val="9"/>
        <rFont val="Arial"/>
        <family val="2"/>
        <charset val="238"/>
      </rPr>
      <t>8 vhodov z možnostjo razširitve do 64 vhodov, 6 izhodov z možnostjo razširitve do 27, s telefosnkim PSTN pozivnikom z ustreznimi protokoli za povezavo na center, napajalnikom 12V/1.5A in sabotažnim stikalom. Možnost priključitve do 8 tipkovnic serije 500; GSM prenos je mogoč (opcijsko). Centrala je vskladu z EN50131 (GRADE 3), kot npr.: MP500/8</t>
    </r>
  </si>
  <si>
    <t xml:space="preserve">Slovenski modul za vokalna sporočila in upravljanje s centralo na daljavo (preko telefona), kot npr.: SV 500N </t>
  </si>
  <si>
    <t>Software za programiranje centrale z računalnikom, kot npr. HI-CONNECT</t>
  </si>
  <si>
    <t>Razširitveni modul, 8 alarmnih vhodov + sabotaža, 3 izhodi (2el. In 1 rele), kot npr.: EP 508</t>
  </si>
  <si>
    <t>GSM modul za prenos podatkov preko GSM/UMTS omrežja, posredovanje dogodkov o alarmih, SMS alarmiranje, zvočno sporočilo (samo z vokalnim modulom SV500N, kot npr.: IMG/500</t>
  </si>
  <si>
    <t xml:space="preserve">Dodatni napajalnik z vgrajeno napajalno enoto v plastičnem ohišju, prostor za eno baterijo 7Ah, vgrajen kontrolni modul za test baterij in napako, napajanje: 100Vac - 260Vac, izhodna napetost: 13.8Vdc, tok: 1 A, dimenzije(h x w x d): 318 x 422 x 91mm, kot npr.: AS07/S </t>
  </si>
  <si>
    <t>Akumulator 12V/7Ah</t>
  </si>
  <si>
    <t xml:space="preserve">Kodirna tipkovnica za upravljenje z centralo, LCD displey, osvetlitev tipk, BUS povezava, 2 x alarmni vhod, v skladu z EN50131, kot npr.:KP500D/N </t>
  </si>
  <si>
    <t>Javljalnik z napajanjem 12Vdc, dvojna tehnologija I.R. ter mikrovalovni na frekvenci 10,5Ghz, domet 15m, del. tem. -10°C/+55°C, dim.:70x124x54mm,IR 108° pokritost, kot npr.: IMA 13</t>
  </si>
  <si>
    <t>Nosilec  za javljalnik , kot nastavljanja 90° horizontalno/vertikalno, kot npr.: SPA 10</t>
  </si>
  <si>
    <t>Zunanja sirena samonapajalna z bliskavico, zaščita IP 43/IK 08, komplet z baterijo 12V 1,5Ah,  del. tem. -25°C/+75°C, dim.:237x287x90mm, kot npr.: HPA 702LG</t>
  </si>
  <si>
    <t>Notranja sirena, 12-24V, N/O montaža, 110dB/1m, 3500-3700Hz, 145X100X42mm, kot npr: HPA100</t>
  </si>
  <si>
    <t>Kabel LiYY 6 x 0,75mm</t>
  </si>
  <si>
    <t xml:space="preserve">Alarmni kabel 2X0.75mm²  4 X 0.22mm² 
</t>
  </si>
  <si>
    <t xml:space="preserve">Kabel NYM  3 x 1mm
</t>
  </si>
  <si>
    <t>Programiranje vloma in šolanje uporabnika</t>
  </si>
  <si>
    <t>Tehnična podpora pri kalibraciji  vlomnih javljalnikov</t>
  </si>
  <si>
    <t>PROTIVLOMNO VAROVANJE (VLOM)</t>
  </si>
  <si>
    <t>Strelovod ustreza HERMI</t>
  </si>
  <si>
    <t>Valjanec Rf 30x3,5 mm položen prosto v zemljo, temelje ali na zidne podpore, komplet z Izvedbo povezav ozemljilnega traku na izvode, povezava na obstoječe ozemljilo, komplet z bitumensko zaščito in drugim materialom</t>
  </si>
  <si>
    <t xml:space="preserve">Žica AL fi 8mm  za lovilni in odvodni vod nameščena na tipskih lovilcih glede na tip strehe/fasade </t>
  </si>
  <si>
    <t>Sponka za povezavo med dvema strelovodnima vodnikoma, kot npr.: KON 04A</t>
  </si>
  <si>
    <t>Sponka za povezavo za povezavo strelovodnega vodnika na kovinske dele, kot npr.: KON 05-1B</t>
  </si>
  <si>
    <t xml:space="preserve">Objemka za povezavo odvodonih cevi z ozemljilom oz. strelovodno inštalacijo, kot npr.: KON 011A </t>
  </si>
  <si>
    <t>Žlebna sponka za spajanja lovilnega dela strelovoda z žlebnim koritom</t>
  </si>
  <si>
    <t xml:space="preserve">Zidni nosilec za izvedbo odvodnih vodov, montaža na 1,5 m, za ploščati vodnik </t>
  </si>
  <si>
    <t>Vertikalna zaščita za mehansko zaščito strelovoda, nameščena pri N/O izvedbi odvodnega voda.</t>
  </si>
  <si>
    <t>Ozemljitev kovinskih vrat, oken in ostalih večjih kovinskih mas s H07VV 16 mm2, komplet s pritrdilnim materialom</t>
  </si>
  <si>
    <t>Ozemljitev večjih kovinskih mas s spojem ozemljilnega traku na kovinsko konstrukcijo izveden s sponko, 
kot npr. HERMI KON01 ter vrtanjem/rezanjem navojev ali s svorniki</t>
  </si>
  <si>
    <t>Merilna številka</t>
  </si>
  <si>
    <t>Meritve strelovodne inštalacije komplet z izdajo poročila</t>
  </si>
  <si>
    <t>STRELOVOD NA NOVIH OBJEKTIH</t>
  </si>
  <si>
    <t>Pri izvedbi mora izvajalec upoštevati tehnične standrade,  ki so že uporabljeni v obstoječem sistemu "HIDROTEHNIK NOVA GORICA"</t>
  </si>
  <si>
    <t>SISTEM ZA PRIKAZ V CNS</t>
  </si>
  <si>
    <t>Windows Server Sistem</t>
  </si>
  <si>
    <t>Razširitev obstoječega serverskega DELL+HP sistema: Dograditev SATA diskovnega polja,</t>
  </si>
  <si>
    <t>Razširitev obstoječega serverskega DELL+HP sistema: Dograditev pomnilnika</t>
  </si>
  <si>
    <t>Razširitev obstoječega serverskega DELL+HP sistema: Nadgradnja windows server okolja</t>
  </si>
  <si>
    <t>SW</t>
  </si>
  <si>
    <t xml:space="preserve">Razširitev števila I/O točk v WEB SCADA nadzornem sistemu
- razširitev Proficy Ifix
- razširitev Proficy Historian"
</t>
  </si>
  <si>
    <t>Razširitev obstoječe baze nadzornega centra - procesna baza.</t>
  </si>
  <si>
    <t>Razširitev obstoječe baze nadzornega centra - zgodovina podatkov.</t>
  </si>
  <si>
    <t xml:space="preserve">Razširitev obstoječe baze nadzornega centra – trend baza </t>
  </si>
  <si>
    <t xml:space="preserve">Razširitev obstoječe baze za daljinsko upravljanje </t>
  </si>
  <si>
    <t>Razširitev obstoječe baze OPC  strežnika za komunikacijo z objekti</t>
  </si>
  <si>
    <t>Razširitev obstoječe baze nadzornega centra – SMS in EMAIL alarmiranja.</t>
  </si>
  <si>
    <t xml:space="preserve">Vključitev objekta v sistem alarmiranja.
</t>
  </si>
  <si>
    <t>Zagon in nastavitev parametrov za avtomatsko delovanje objekta. 
Testiranje delovanja programske opreme na nivoju krmilnika (lokalno, oddaljeno, alarmiranja).
Testiranje delovanja programske opreme  na SCADI (oddaljeno upravljanje in vodenje, nastavitev parametrov za delovanje in  alarmiranje).
Dopolnitev elektronskih navodil  SCADA nadzornega centra (navodila so del SCADA nadzornega centra).</t>
  </si>
  <si>
    <t>PID dokumentacija, navodila za obratovanje, IQ in OQ dokumentacija</t>
  </si>
  <si>
    <t>Izobraževanje uporabnika</t>
  </si>
  <si>
    <t>POSEGI V NADZORNEM CENTRU (CNS)</t>
  </si>
  <si>
    <t xml:space="preserve">ELEKTRO DEL </t>
  </si>
  <si>
    <t>Dela izvajati v skladu z veljavnimi tehničnimi predpisi, normativi.</t>
  </si>
  <si>
    <t>V postavkah je všteta izdelava prebojev za elektro instalacije, odvoz ruševin zaradi izdelave prebojev na trajno deponijo, skladno z zakonom in predpisi. Izvedba prebojev na način, da ne pride do poškodb konstrukcije objekta</t>
  </si>
  <si>
    <t xml:space="preserve">Načrte in opremo je potrebno prilagoditi izbrani - ponujeni tehnologiji! Oprema mora biti potrjena in odobrena s strani investitorja oziroma s pooblastiolom od končnega upravljalca sistema. </t>
  </si>
  <si>
    <t>Pred oddajo ponudbe za izvedbo del si mora ponudnik storitev (izvajalec) pridobiti tehnično dokumentacijo predvidene izvedbe objekta, ki jo je dolžan pregledati ter na osnovi pregledane dokumentacije podati ponudbo. O morebitnih neskladjih, med tehnično dokumentacijo in projektantskih popisov, je o ugotovitvah potrebno obvestiti investitorja in projektanta.</t>
  </si>
  <si>
    <t>Navedena oprema v tem popisu je napisana kot primer in ni zavezujoča za investitorja, ponudnik opreme pa mora zagotoviti isto ali večjo kvaliteto ponujene opreme.</t>
  </si>
  <si>
    <t>1.1</t>
  </si>
  <si>
    <t xml:space="preserve">Splošne elektro inštalacije </t>
  </si>
  <si>
    <r>
      <t xml:space="preserve">Zaščitna, plastična, samogasna (RF) za montažo kablov nad ometom </t>
    </r>
    <r>
      <rPr>
        <sz val="11"/>
        <rFont val="Calibri"/>
        <family val="2"/>
        <charset val="238"/>
      </rPr>
      <t>Ø</t>
    </r>
    <r>
      <rPr>
        <sz val="11"/>
        <rFont val="Arial"/>
        <family val="2"/>
        <charset val="238"/>
      </rPr>
      <t>13,5mm, z dozami in pritrdilnim materialom</t>
    </r>
  </si>
  <si>
    <r>
      <t xml:space="preserve">Zaščitna, plastična, samogasna (RF) za montažo kablov nad ometom </t>
    </r>
    <r>
      <rPr>
        <sz val="11"/>
        <rFont val="Calibri"/>
        <family val="2"/>
        <charset val="238"/>
      </rPr>
      <t>Ø</t>
    </r>
    <r>
      <rPr>
        <sz val="11"/>
        <rFont val="Arial"/>
        <family val="2"/>
        <charset val="238"/>
      </rPr>
      <t>16mm, z dozami in pritrdilnim materialom</t>
    </r>
  </si>
  <si>
    <t>Gibljive zaščitna cev EUROFLEX  raznih dimenzij</t>
  </si>
  <si>
    <t>Energetski kabel NYY-J 7x1,5 mm2</t>
  </si>
  <si>
    <t>Kabel Olfex 24x0,75mm2</t>
  </si>
  <si>
    <t>Kabel LiYCY 4x1mm2</t>
  </si>
  <si>
    <t>Priklop elektromotorneg zasuna</t>
  </si>
  <si>
    <t>Sponke, vezni in drobni material</t>
  </si>
  <si>
    <t>SKUPAJ: Splošne elektro inštalacije</t>
  </si>
  <si>
    <t>1.2</t>
  </si>
  <si>
    <t>Avtomatika in telemetrija</t>
  </si>
  <si>
    <t>Razdelilna omara R-2/3</t>
  </si>
  <si>
    <t>Stikalni blok izdelan iz pločevine dimenzije 1000 x 2000 x 400 mm  na 100mm podstavku. Omara je z vrati, s ključavnico, z montažno ploščo in/ali nosilci opreme, s predalom za načrte, dno omare je zaprto.Stikalni blok je v zaščiti IP 55, barva RAL7032 za notranjo montažo.TIP: OLN , Proizvajalec: HIMEL  (ali enakovredno)</t>
  </si>
  <si>
    <t>Tripolni odklopnik,  za nazivno napetost 690 V in tok 125 A, z zaščitno napravo za zaščito pred kratkim stikom in preobremenitvijo, I&gt;... (0,7-1)*Ir , I&gt;&gt;...5-10*Ir, spomožnimi kontakti 1NOC signalizacije stanja odklopnika in z obešanko za zaklepanje v izklopljenem stanju, TIP: NS36N  + OF1, Proizvajalec: Schneider elecrtic  (ali enakovredno)</t>
  </si>
  <si>
    <t>Prenapetostna zaščita RAZREDA II. TIP IPRD40R Proizvajalec: Schneider elecrtic  (ali enakovredno)</t>
  </si>
  <si>
    <t>Zračnik s finim filtrom , TIP: FS,  Proizvajalec: Schneider elecrtic (ali enakovredno)</t>
  </si>
  <si>
    <t>Interni regulator temperature z 1NO kontaktom 2A, 230V, nastavljiv 0-60°C ,  TIP: TS141,  Proizvajalec: Schneider elecrtic (ali enakovredno)</t>
  </si>
  <si>
    <t>Mehansko stikalo  6A, 230V z 1NO kontaktom za signalizacijo položaja vrat, TIP: PS4127 ,Proizvajalec: RITTAL (ali enakovredno)</t>
  </si>
  <si>
    <t>Servisna svetilka s florescenčno žarnico E27, 15W, stikalom za ročni/avtomatski vklop svetilke, servisno L+N+PE, 230V,16A vtičnico in originalnim kablom z vtičnico ,TIP: PS4138 ,Proizvajalec: RITTAL (ali enakovredno)</t>
  </si>
  <si>
    <t>Rdeča gobasta tipka za izklop v sili, s sprožnikom pritisk-poteg, 1NO+1NC kontakti,TIP: XB4-BT845  , Proizvajalec: Schneider elecrtic (ali enakovredno)</t>
  </si>
  <si>
    <t>Fazni nadzorni rele za kontrolo nadziranja izpada faz Tip:LT3 SA00ED Proizvajalec: Schneider elecrtic (ali enakovredno)</t>
  </si>
  <si>
    <t>Avtomatska varovalka Icu=15 kA, 3-polna 50 A, karakteristika "B" ,TIP: C60H , Proizvajalec: Schneider elecrtic   (ali enakovredno)</t>
  </si>
  <si>
    <t>Avtomatska varovalka Icu=15 kA, 3-polna 20 A, karakteristika "B" ,TIP: C60H , Proizvajalec: Schneider elecrtic   (ali enakovredno)</t>
  </si>
  <si>
    <t>Avtomatska varovalka Icu=15 kA, 3-polna 6 A, karakteristika "B" ,TIP: C60H , Proizvajalec: Schneider elecrtic   (ali enakovredno)</t>
  </si>
  <si>
    <t>Avtomatska varovalka Icu=15 kA, 1-polna 16 A, karakteristika "B" ,   TIP: C60H, Proizvajalec: Schneider elecrtic (ali enakovredno)</t>
  </si>
  <si>
    <t>Avtomatska varovalka Icu=15 kA, 1-polna 10 A, karakteristika "B" ,   TIP: C60H, Proizvajalec: Schneider elecrtic (ali enakovredno)</t>
  </si>
  <si>
    <t>Tripolni motorski odklopnik,  za nazivno napetost 690 V in tok 3 A, prekinitvene moči  50 kA, z zaščitno napravo za zaščito pred kratkim stikom in preobremenitvijo, I&gt;... 2,5-4A , I&gt;&gt;...13*Ir  s pomožnimi kontakti signalizacije preobremenitve in kratkega stika  ter položaja odklopnika, TIP:GV2-P07 + GV-AD0110, Proizvajalec: Schneider elecrtic (ali enakovredno)</t>
  </si>
  <si>
    <t>Ločilni transformator 230/230V AC 1000VA Proizvajalec: Schneider elecrtic  (ali enakovredno)</t>
  </si>
  <si>
    <t>Napajalnik 230VAC/24VDC, 6A TIP: DR-75-24 Proizvajalca: Mean Well (ali enakovredno)</t>
  </si>
  <si>
    <t>Tripolni kontaktor 9 A (AC3) , tuljava za 24V DC z RC členom, pomožnimi kontakti 3NO+1NC, TIP: LC1-D0911P7 + LADN20,  Proizvajalec: Schneider elecrtic (ali enakovredno)</t>
  </si>
  <si>
    <t>Pomožni rele s 4 preklopnimi NOC kontakti, optično indikacijo vklopa, s tuljavo za 24 VAC in RC členom , TIP: RXN-41611B7 , Proizvajalec: Schneider elecrtic  (ali enakovredno)</t>
  </si>
  <si>
    <t xml:space="preserve">Galvanski ločilnik DC/DC 4-20/4-20mA Proizvajalec: Weidmuelle  (ali enakovredno) </t>
  </si>
  <si>
    <t>Prenapetostna zaščita 24V DC Proizvajalec: Schneider elecrtic  (ali enakovredno)</t>
  </si>
  <si>
    <t>Prenapetostna zaščita krmilnih tokokrogov 230V AC Proizvajalec: Schneider elecrtic  (ali enakovredno)</t>
  </si>
  <si>
    <t xml:space="preserve">Tripolno izbirno stikalo 1_0_2, 10 A, 230 V , Proizvajalec: Schneider elecrtic   (ali enakovredno)
</t>
  </si>
  <si>
    <t>Tipka IP67, fi 22,5mm, zapiralni in odpiralni člen</t>
  </si>
  <si>
    <t>ON-Line naprava za neprekinjeno napajanje z električno energijo 2000VA, 230V, 50Hz, 60 min avtonomija</t>
  </si>
  <si>
    <t>Vrstne sponke  za montažo na DIN letev 35 mm, za priključek enožilnega vodnika do 0,5-6 mm2, siva,  TIP:,  Proizvajalec: WAGO (ali enakovredno)</t>
  </si>
  <si>
    <t>Ostala nespecificirana spojna in montažna oprema (nosilci, PVC kanali, PVC zaščita zbiralk, PF vodniki ustreznih premerov in barv za notranje ožičenje, izolirani tulci in ostali spojni in pritrdilni material)</t>
  </si>
  <si>
    <t>Vezava razdelilnika in  testiranje z izdelavo poročila o testih.</t>
  </si>
  <si>
    <t>SKUPAJ  Avtomatika in telemetrija</t>
  </si>
  <si>
    <t>1.3</t>
  </si>
  <si>
    <t>Krmilna in komunikacijska oprema</t>
  </si>
  <si>
    <r>
      <t>Prostoprogramilni krmilnik z možnostjo</t>
    </r>
    <r>
      <rPr>
        <sz val="11"/>
        <color indexed="56"/>
        <rFont val="Arial"/>
        <family val="2"/>
        <charset val="238"/>
      </rPr>
      <t xml:space="preserve"> </t>
    </r>
    <r>
      <rPr>
        <sz val="11"/>
        <color indexed="8"/>
        <rFont val="Arial"/>
        <family val="2"/>
        <charset val="238"/>
      </rPr>
      <t>daljinskega nadzora.</t>
    </r>
    <r>
      <rPr>
        <sz val="11"/>
        <color indexed="56"/>
        <rFont val="Arial"/>
        <family val="2"/>
        <charset val="238"/>
      </rPr>
      <t xml:space="preserve"> </t>
    </r>
    <r>
      <rPr>
        <sz val="11"/>
        <color indexed="8"/>
        <rFont val="Arial"/>
        <family val="2"/>
        <charset val="238"/>
      </rPr>
      <t>Programiranje  Modicon M340 aplikacije</t>
    </r>
    <r>
      <rPr>
        <sz val="11"/>
        <color indexed="56"/>
        <rFont val="Arial"/>
        <family val="2"/>
        <charset val="238"/>
      </rPr>
      <t xml:space="preserve"> </t>
    </r>
    <r>
      <rPr>
        <sz val="11"/>
        <color indexed="8"/>
        <rFont val="Arial"/>
        <family val="2"/>
        <charset val="238"/>
      </rPr>
      <t xml:space="preserve">z naslednjimi lastnostmi:   </t>
    </r>
  </si>
  <si>
    <t>• programiranje krmilnika mora biti po standardu IEC61131-3 v 6 jezikih</t>
  </si>
  <si>
    <t>• podpora naslednjim protokolom: ModBUS TCP / RTU / ASCII , CANopen, EtherNet/IP</t>
  </si>
  <si>
    <t xml:space="preserve">• vgrajen Web server za direkten dostop do upravljanja objekta brez uporabe nadzornega programa (grafični pregled stanja, oddaja komand in parametrov, pregled alarmov, diagramov,statusa I/O) </t>
  </si>
  <si>
    <t>• vgrajen alarmni sistem (alarm management).</t>
  </si>
  <si>
    <t>• ob nastanku alarma krmilnik sam pošlje SMS in/ali mail (push mail) in/ali izvede dial-up in/ali pošlje podatek preko Modbus TCP protokola v nadzorni program s časom nastanka alarma.</t>
  </si>
  <si>
    <t>• vgrajen datalogger za shranjevanje podatkov. Shranjujejo se procesni podatki in alarmi (čas, vrsta alarma,podatka)</t>
  </si>
  <si>
    <t>• vgrajena ura realnega časa z možnostjo sistemske sinhronizacije</t>
  </si>
  <si>
    <r>
      <t>• daljinski « download/upload » programa in operacijskega sistema</t>
    </r>
    <r>
      <rPr>
        <sz val="11"/>
        <color indexed="56"/>
        <rFont val="Arial"/>
        <family val="2"/>
        <charset val="238"/>
      </rPr>
      <t>.</t>
    </r>
  </si>
  <si>
    <t xml:space="preserve"> • hot-swap  I/O moduli</t>
  </si>
  <si>
    <t>• razširitev I/O z do 4 šasijami po  12 slotov</t>
  </si>
  <si>
    <t>• programiranje preko USB,Ethernet in RS232 porta</t>
  </si>
  <si>
    <t>• možnost distribuiranih I/O</t>
  </si>
  <si>
    <t>• možnost oddaljenih I/O</t>
  </si>
  <si>
    <t>• nalaganje SW preko SD kartice</t>
  </si>
  <si>
    <t>• SOAP/XML web servisi</t>
  </si>
  <si>
    <t>• ne potrebuje baterije</t>
  </si>
  <si>
    <t>• certificiran po IEC in mornariških standardih</t>
  </si>
  <si>
    <t>Krmilnik je modularne izvedbe in ima  naslednjo konfiguracijo:</t>
  </si>
  <si>
    <t>ŠASIJA, 8 SLOTNA TIP:BMXXBP0800 Proizvajalec: Schneider elecrtic (ali enakovredno)</t>
  </si>
  <si>
    <t>Procesor: BMXP342020xx CPU,1024 DIG.,256 AN.I/O,MODBUS, ETHERNET, CanOpen  Proizvajalec: Schneider elecrtic (ali enakovredno)</t>
  </si>
  <si>
    <t>NAPAJALNIK 100...240VAC/3.3V, 24V 36WTIP:BMXCPS3500 Proizvajalec: Schneider elecrtic (ali enakovredno)</t>
  </si>
  <si>
    <t>DIG. IZH. MODUL, 16 X 2 A RELEJSKI TIP:BMXDRA1605 + BMXFTW501 Proizvajalec: Schneider elecrtic (ali enakovredno)</t>
  </si>
  <si>
    <t>DIG. VH. MODUL, 16 X 24 VDC, SINK TIP:BMXDDI1602 + BMXFTW501 Proizvajalec: Schneider elecrtic (ali enakovredno)</t>
  </si>
  <si>
    <t>ANA 8 U/I IN ISOLATED FAST TIP:BMXAMI0810 + BMXFTW308S Proizvajalec: Schneider elecrtic (ali enakovredno)</t>
  </si>
  <si>
    <t>Posluževalni panel, touch screen, barvni LCD, diagonala 15", ethernet 10/100, RS232, RS485, CANopen/Profibus DP, USB, Tip: HMIS5T Proizvajalec: Schneider elecrtic (ali enakovredno)</t>
  </si>
  <si>
    <t xml:space="preserve">Dodelava  tehnološkega modela objekta za vključitev v celotni sistem.  Sodelovanju s tehnologom </t>
  </si>
  <si>
    <t xml:space="preserve">Izdelava specifikacij in programske opreme za PLC krmilnik in operaterski panel skladno z zahtevami naročnika in tehnologa ter priprava podatkov za daljinski prenos signalov na CNS sistem, nalaganje programov na krmilnike;  nastavitev komunikacijskih adres krmilnika;  zagon in optimizacija parametrov delovanja. </t>
  </si>
  <si>
    <t>Izdelava aplikativnih slik objekta  s prikazom parametrov iz prostoprogramirnega sistema.  Izdelava vsaj pet aplikativnih slik v CNS</t>
  </si>
  <si>
    <t xml:space="preserve">Izvedba storitev na nivoju operaterskega terminala v obsegu: priprava aplikativnih slik  nalaganje terminala;  nastavitev komunikacijskih adres terminala;  zagon. </t>
  </si>
  <si>
    <t>Testiranje programske opreme in delovanja  na PLC-ju, na operaterskem panelu ter na CNS</t>
  </si>
  <si>
    <t>Dokumentiranje programske opreme PLC-ja, operaterskega panela in  CNS-ja</t>
  </si>
  <si>
    <t>Komunikacijska oprema</t>
  </si>
  <si>
    <t>Industrijski HSUPA InRouter z Wi-Fi AP</t>
  </si>
  <si>
    <t>• ethernet IEEE802; 10/100 Mbit/s; 5 portno stikalo (RJ45)</t>
  </si>
  <si>
    <t xml:space="preserve">• 1x RS232 ali RS485 </t>
  </si>
  <si>
    <t>Funkcionalnosti</t>
  </si>
  <si>
    <t>• WiFi dostopna točka (2.4GHz 802.11b/g/n)</t>
  </si>
  <si>
    <t>• integriran spletni strežnik</t>
  </si>
  <si>
    <t xml:space="preserve">• dvosmerna HSUPA komunikacija na 850/900/1900/2100 MHz  </t>
  </si>
  <si>
    <t>• integriran DHCP strežnik</t>
  </si>
  <si>
    <t>• DB9  port, SSH, Telnet, in Web konfiguracija</t>
  </si>
  <si>
    <t>• NTP sinhronizacija</t>
  </si>
  <si>
    <t>• nadzor podatkovnega prometa</t>
  </si>
  <si>
    <t>• vgrajen VPN-usmerjevalnik   (IPSec/SSL/GRE/L2TP/PPTP)</t>
  </si>
  <si>
    <t>• vgrajen datalogger požarnega zidu</t>
  </si>
  <si>
    <t>• vgrajen datalogger za shranjevanje podatkov (FTP posredovanje)</t>
  </si>
  <si>
    <t>• NAT</t>
  </si>
  <si>
    <t>• Virtual COM,Mobus RTU,Modbus TCP</t>
  </si>
  <si>
    <t>• možnost daljinske nadgradnje firmware preko interneta</t>
  </si>
  <si>
    <t>• IP40 zaščita</t>
  </si>
  <si>
    <t>• centralni management</t>
  </si>
  <si>
    <t>• delovna območje (-20 do + 70 °C)</t>
  </si>
  <si>
    <t>Optični pretvornik na ETH LevelOne</t>
  </si>
  <si>
    <t>Ethernet stikalo 8 portno Proizvajalec: Moxa (ali enakovredno)</t>
  </si>
  <si>
    <t>Ostali drobni in nespecificirani material</t>
  </si>
  <si>
    <t xml:space="preserve"> SKUPAJ: Krmilna in komunikacijska oprema</t>
  </si>
  <si>
    <t>1.4</t>
  </si>
  <si>
    <t>Merilna oprema</t>
  </si>
  <si>
    <t>1</t>
  </si>
  <si>
    <t xml:space="preserve">Plovno stikalo, ki  mora delovati v območju 5 - 15 cm. Dobavi se skupaj z originalnim kablom v dolžnimi 10 m. </t>
  </si>
  <si>
    <t>2</t>
  </si>
  <si>
    <t>Končno stikalo 10A IP 65 ( vstop)</t>
  </si>
  <si>
    <t>3</t>
  </si>
  <si>
    <t>SKUPAJ: Merina oprema</t>
  </si>
  <si>
    <t>1.5</t>
  </si>
  <si>
    <t>Izenačitev potencialov</t>
  </si>
  <si>
    <t>Finožični zaščitni vodnik H07V-K 6mm2</t>
  </si>
  <si>
    <t>Ozemljitvena bakrena zbiralka +GIP 25×5×500mm (vxgxd) za montažo na steno z nosilci in opremljena s pritrdilno opremo za kable (vijak, matica M8)</t>
  </si>
  <si>
    <t>Vezava tehnološke in ostale kovinske opreme  na ozemljitvene izvode skupaj z veznim materialom (vijačenje, varjenje)</t>
  </si>
  <si>
    <t>Meritev ozemljitvene upornosti</t>
  </si>
  <si>
    <t xml:space="preserve"> SKUPAJ: Izeančitev potencialov</t>
  </si>
  <si>
    <t>1.6</t>
  </si>
  <si>
    <t>Ostalo - elektro dela</t>
  </si>
  <si>
    <t>Izvedba instalacijskih meritev električne  ter izdaja merilnih protokolov.</t>
  </si>
  <si>
    <t>Izdelava tehnične dokumentacije v kompletu (PID): projekt izvedenega stanja ter navodila za obratovanje in vzdrževanje.</t>
  </si>
  <si>
    <t>Projektantski nadzor v času   gradnje el.  instalacij na objektu.</t>
  </si>
  <si>
    <t>Upravljalski nadzor v času   gradnje el.  instalacij na objektu.</t>
  </si>
  <si>
    <t>Spuščanje v pogon, test delovanja  in nastavitve parametrov. (v PLC-ju, zaščitnih naprav, frekvenčnih pretvornikov, loput, …)</t>
  </si>
  <si>
    <t>Testiranje komunikacijskega protokola za telemetrijsko povezavo s CNS sistemom. Povezava in prenos podatkov morata biti kompatibilna z obstoječo telemetrijsko rešitvijo centra vodenja v nadzornem centru HIDROTEHNIK NOVA GORICA</t>
  </si>
  <si>
    <t>Elektro izobraževanje vodenja objekta (izobraževanje za mim 3 osebe, komplet z izobraževalno dokomentacijo v natisnjeni obliki za slušatelje), predaja vseh nastavitvenih parametrov delovanja avtomatike, varnostnih kod,..., predaja odklenjenega programa avtomatike in druge opreme, predaja programskih opreme in potrebnih licenc….</t>
  </si>
  <si>
    <t>SKUPAJ: Ostalo-elektro dela</t>
  </si>
  <si>
    <t>REKAPITULACIJA UPRAVNI OBJEKT</t>
  </si>
  <si>
    <t>Splošne elektro inštalacije material in delo</t>
  </si>
  <si>
    <t>Izeančitev potencialov</t>
  </si>
  <si>
    <t>Ostalo-elektro dela</t>
  </si>
  <si>
    <t>SKUPAJ</t>
  </si>
  <si>
    <t>UPRAVNI OBJEKT</t>
  </si>
  <si>
    <t>5.6</t>
  </si>
  <si>
    <t>5.5</t>
  </si>
  <si>
    <t>5.4</t>
  </si>
  <si>
    <t>5.3</t>
  </si>
  <si>
    <t>5.2</t>
  </si>
  <si>
    <t>5.1</t>
  </si>
  <si>
    <t>REKAPITULACIJA ODVZEMNI OBJEKT</t>
  </si>
  <si>
    <t>Spuščanje v pogon, test delovanja  in nastavitve parametrov. (v PLC-ju, zaščitnih naprav, frekvenčnega  pretvornika (2x), loput, …)</t>
  </si>
  <si>
    <t xml:space="preserve"> SKUPAJ: Izenačitev potencialov</t>
  </si>
  <si>
    <t>11</t>
  </si>
  <si>
    <t xml:space="preserve">Izdelava zaslonskih slik s prikazom trenutnih vrednosti vremenske postaje in prikazom alarmov v alarmni vrstici. Vnos tegov v procesno bazo. 
</t>
  </si>
  <si>
    <t>9</t>
  </si>
  <si>
    <t>UTP patch kabel</t>
  </si>
  <si>
    <t>8</t>
  </si>
  <si>
    <t>Povezovalni napajalni kabel</t>
  </si>
  <si>
    <t xml:space="preserve">Profesionalna vremenska postaja z zaščitno prezračevalno konstrukcijo za meritve
temperature zraka, relativne vlažnosti, količine padavin, vrste padavin (sneg/dež), smeri vetra in hitrosti vetra.
Pritrdilni material. Komunikacijski pretvornik. Napajalnik.
</t>
  </si>
  <si>
    <t>Vremenska postaja-pregrada</t>
  </si>
  <si>
    <t>Radarski merilnik višine FMR50 (E+H ali enakovredno) , 0-8m/4-20mA
Nosilna ročica r/f dolžine 2m. Pritrdilni material.
Zaščitno ohišje za radarski merilnik.</t>
  </si>
  <si>
    <t>Merilnik temperature vode 0-50°C/4-20mA  Pritrdilni material. Proizvajlec: Siemens ali enakovredno.</t>
  </si>
  <si>
    <t>Merina oprema</t>
  </si>
  <si>
    <t>19</t>
  </si>
  <si>
    <t>18</t>
  </si>
  <si>
    <t>17</t>
  </si>
  <si>
    <t>16</t>
  </si>
  <si>
    <t>14</t>
  </si>
  <si>
    <t>13</t>
  </si>
  <si>
    <t>12</t>
  </si>
  <si>
    <t>10</t>
  </si>
  <si>
    <t>Dodelava  tehnološkega modela objekta za vključitev v celotni sistem.  Sodelovanju s tehnologom.</t>
  </si>
  <si>
    <t>DIG. VH. MODUL, 64 X 24 VDC, SINK TIP:BMXDDI6402K + 2 x BMXFCW503 Proizvajalec: Schneider elecrtic (ali enakovredno)</t>
  </si>
  <si>
    <t>ŠASIJA, 12 SLOTNA TIP:BMXXBP1200 Proizvajalec: Schneider elecrtic (ali enakovredno)</t>
  </si>
  <si>
    <t>28</t>
  </si>
  <si>
    <t>27</t>
  </si>
  <si>
    <t>26</t>
  </si>
  <si>
    <t>25</t>
  </si>
  <si>
    <t>24</t>
  </si>
  <si>
    <t>23</t>
  </si>
  <si>
    <t>22</t>
  </si>
  <si>
    <t>21</t>
  </si>
  <si>
    <t>20</t>
  </si>
  <si>
    <t>15</t>
  </si>
  <si>
    <t>Avtomatska varovalka Icu=15 kA, 3-polna 16 A, karakteristika "B" ,TIP: C60H , Proizvajalec: Schneider elecrtic   (ali enakovredno)</t>
  </si>
  <si>
    <t>Avtomatska varovalka Icu=15 kA, 3-polna 35 A, karakteristika "C" ,TIP: C60H , Proizvajalec: Schneider elecrtic   (ali enakovredno)</t>
  </si>
  <si>
    <t>Tripolni odklopnik,  za nazivno napetost 690 V in tok 100 A, z zaščitno napravo za zaščito pred kratkim stikom in preobremenitvijo, I&gt;... (0,7-1)*Ir , I&gt;&gt;...5-10*Ir, spomožnimi kontakti 1NOC signalizacije stanja odklopnika in z obešanko za zaklepanje v izklopljenem stanju, TIP: NS36N  + OF1, Proizvajalec: Schneider elecrtic  (ali enakovredno)</t>
  </si>
  <si>
    <t>Stikalni blok izdelan iz pločevine dimenzije 1500 x 2000 x 400 mm  na 100mm podstavku. Omara je z vrati, s ključavnico, z montažno ploščo in/ali nosilci opreme, s predalom za načrte, dno omare je zaprto.Stikalni blok je v zaščiti IP 55, barva RAL7032 za notranjo montažo.TIP: OLN , Proizvajalec: HIMEL  (ali enakovredno)</t>
  </si>
  <si>
    <t>Razdelilna omara R-5</t>
  </si>
  <si>
    <t xml:space="preserve">Priklop črpalke </t>
  </si>
  <si>
    <t>Priklop elektromotorne lopute AUMA Sa</t>
  </si>
  <si>
    <t>Priklop konzolnega ćerjava K2</t>
  </si>
  <si>
    <t>Priklop konzolnega ćerjava K1</t>
  </si>
  <si>
    <t>Priklop elektromotroneega vitla EV6</t>
  </si>
  <si>
    <t>Priklop elektromotroneega vitla EV5</t>
  </si>
  <si>
    <t>Priklop elektromotroneega vitla EV4</t>
  </si>
  <si>
    <t>Priklop elektromotroneega vitla EV3</t>
  </si>
  <si>
    <t>Priklop elektromotroneega vitla EV2</t>
  </si>
  <si>
    <t xml:space="preserve">Priklop elektromotroneega vitla EV1 </t>
  </si>
  <si>
    <t>Zaključitev optičnega kabla v električne razdelilniku objekta v kompletu z vsem potrebnim materialom (optična kaseta, konektorji, patch kabli in potrošni material).</t>
  </si>
  <si>
    <t xml:space="preserve">Optični kabel SINGL MODE 8 vlaken 9/125 125 μm. Kabel mora biti odporen na vodo in glodalce. </t>
  </si>
  <si>
    <t>Kabel Olfex 12x0,75mm2</t>
  </si>
  <si>
    <t>Energetski kabel NYY-J 5x6 mm2</t>
  </si>
  <si>
    <t>Energetski kabel NYY-J 5x4 mm2</t>
  </si>
  <si>
    <t>Energetski kabel NAYY-J 4x35mm2</t>
  </si>
  <si>
    <t xml:space="preserve">Dela izvajati v skladu z veljavnimi tehničnimi predpisi, normativi </t>
  </si>
  <si>
    <t>Objekt ima obstoječ razvod splošnega ozvočenja in centralno</t>
  </si>
  <si>
    <t>2.1</t>
  </si>
  <si>
    <t>2.2</t>
  </si>
  <si>
    <t>Stikalni blok izdelan iz pločevine dimenzije 800 x 2000 x 400 mm  na 100mm podstavku. Omara je z vrati, s ključavnico, z montažno ploščo in/ali nosilci opreme, s predalom za načrte, dno omare je zaprto.Stikalni blok je v zaščiti IP 55, barva RAL7032 za notranjo montažo.TIP: OLN , Proizvajalec: HIMEL  (ali enakovredno)</t>
  </si>
  <si>
    <t>Tripolni odklopnik,  za nazivno napetost 690 V in tok 40 A, z zaščitno napravo za zaščito pred kratkim stikom in preobremenitvijo, I&gt;... (0,7-1)*Ir , I&gt;&gt;...5-10*Ir, spomožnimi kontakti 1NOC signalizacije stanja odklopnika in z obešanko za zaklepanje v izklopljenem stanju, TIP: NS36N  + OF1, Proizvajalec: Schneider elecrtic  (ali enakovredno)</t>
  </si>
  <si>
    <t>2.3</t>
  </si>
  <si>
    <t>Izdelava aplikativnih slik objekta  s prikazom parametrov iz prostoprogramirnega sistema.  Izdelava vsaj pet aplikativnih slik v CNS (upravljavca sistema)</t>
  </si>
  <si>
    <t>Izvedba storitev na nivoju operaterskega terminala v obsegu: priprava aplikativnih slik  nalaganje terminala;  nastavitev komunikacijskih adres terminala;  zagon.</t>
  </si>
  <si>
    <t>Testiranje programske opreme in delovanja  na PLC-ju, na operaterskem panelu ter na CNS  (upravljavca sistema)</t>
  </si>
  <si>
    <t>Dokumentiranje programske opreme PLC-ja, operaterskega panela in  CNS-ja  (upravljavca sistema)</t>
  </si>
  <si>
    <t>2.4</t>
  </si>
  <si>
    <r>
      <rPr>
        <u/>
        <sz val="9"/>
        <rFont val="Arial"/>
        <family val="2"/>
        <charset val="238"/>
      </rPr>
      <t>OPOMBA:</t>
    </r>
    <r>
      <rPr>
        <b/>
        <sz val="9"/>
        <rFont val="Arial"/>
        <family val="2"/>
        <charset val="238"/>
      </rPr>
      <t xml:space="preserve">
</t>
    </r>
    <r>
      <rPr>
        <b/>
        <i/>
        <sz val="9"/>
        <rFont val="Arial"/>
        <family val="2"/>
        <charset val="238"/>
      </rPr>
      <t>Merilniki pretoka so zajeti v popisu gradbenega načrta</t>
    </r>
  </si>
  <si>
    <t>Radarski merilnik višine FMR50 (E+H ali enakovredno) , 0-8m/4-20mA
Nosilna ročica r/f dolžine 2m. Pritrdilni material.
Zaščitno ohišje za radarski merilnik.</t>
  </si>
  <si>
    <t>Zvezni merilnik nivoja 0-5m/4-20mA vključno z kablom z odzračevalno cevko dolžine 20m</t>
  </si>
  <si>
    <t>2.5</t>
  </si>
  <si>
    <t>Izenačitev potenccialov</t>
  </si>
  <si>
    <t>2.6</t>
  </si>
  <si>
    <t xml:space="preserve"> SKUPAJ: Ostalo-elektro dela</t>
  </si>
  <si>
    <t>REKAPITULACIJA IZTOČNI OBJEKT</t>
  </si>
  <si>
    <t>IZTOČNI OBJEKT</t>
  </si>
  <si>
    <t>6.1</t>
  </si>
  <si>
    <t>Merilna oprema - piezometer</t>
  </si>
  <si>
    <t>Dobava in montaža. Merilna sonda piezometra (nivo, temperatura in prevodnost) Registraror, komunikacijski vmesnik, programska oprema. Kabel  z odzračno cevko 15m, obešalo konektor,ključavnica IP68. Komunikacijski kabel 120m.
Vsi podatki iz registratorja se prenašajo, arhivirajo ter prikazujejo v CNS</t>
  </si>
  <si>
    <t>SKUPAJ Merina oprema - piezometri</t>
  </si>
  <si>
    <t>6.2</t>
  </si>
  <si>
    <t>Seizmološko opazovanje</t>
  </si>
  <si>
    <t xml:space="preserve">Dobava , montaža   akcelerometra. Zaščitni pokrov.
Pritrdilni material. Nastavitev parametrov.
(AC-7x DH)
</t>
  </si>
  <si>
    <t>Dobava in montaža krmilne omare - RACK sistem (Recorder (CR-6) UPS, prenapetostna zaščita, varovalke, napajalnik, mrežno stikalo, komunikacijski pretvornik )</t>
  </si>
  <si>
    <t>Dobava in montaža GPS (antena, kabel, konektorji)</t>
  </si>
  <si>
    <t>Dobava in montaža komunikacijskega kabla za AC-7x (PUR)</t>
  </si>
  <si>
    <t>Programska oprema:</t>
  </si>
  <si>
    <t>Parametriranje in programiranje komponent sistema:</t>
  </si>
  <si>
    <t xml:space="preserve">Parametriranje in nastavitve akcelerometra 
(Preddogodkovni pomnilnik, Podogodkovni pomnilnik, Vzorčenje, Filter,
Prag proženja (1. kanal),
Prag proženja (2. kanal),
Prag proženja (3. kanal),
Merilni doseg
</t>
  </si>
  <si>
    <t>Namestite komunikacijske programske opreme nPort za komunikacijo Geodas-recorder</t>
  </si>
  <si>
    <t>Konfiguracija komunkacijskih protokolov nPort-Geodas</t>
  </si>
  <si>
    <t>Vzpostavitev sistema seizmičnega opazovanja</t>
  </si>
  <si>
    <t xml:space="preserve">Vzpostavitev povezave z nadzornim centrom seizmološkega opazovalca in upravljalcem pregrade.
Priprava virtualnega okolja Windows na serverskem sistemu ESX
</t>
  </si>
  <si>
    <t>Test sistema</t>
  </si>
  <si>
    <t xml:space="preserve">Pregled  in test sistema s strani seizmološkega opazovalca.
Pooblaščen s  strani ARSO - Pravilnik o opazovanju seizmičnosti na območju velike pregrade (Uradni list RS, št. 92/99 in 44/03)
</t>
  </si>
  <si>
    <t>Dokumentacija</t>
  </si>
  <si>
    <t>Dokumentacija ( PZI, PID )</t>
  </si>
  <si>
    <t>Dokumentacija parametriranja sistema vključno z dokumentacijo komunikacijskih povezav</t>
  </si>
  <si>
    <t>Navodila za vzdrževanje in obratovanje</t>
  </si>
  <si>
    <t>Dokumentacija za preizkušanje vključno s poročili o preizkušanju</t>
  </si>
  <si>
    <t xml:space="preserve">Izdelava matične in kontrolne knjige </t>
  </si>
  <si>
    <t>Poročilo o el. meritvah, certifikati, izjave</t>
  </si>
  <si>
    <t>SKUPAJ Seizmološko opazovanje</t>
  </si>
  <si>
    <t>6.3</t>
  </si>
  <si>
    <t>Vremenska postaja v povirnem delu vodotoka</t>
  </si>
  <si>
    <t xml:space="preserve">Profesionalna vremenska postaja z zaščitno prezračevalno konstrukcijo za meritve
temperature zraka, relativne vlažnosti, količine padavin, vrste padavin (sneg/dež), smeri vetra in hitrosti vetra. Komunikacijski pretvornik. 
Pritrdilni material. 
</t>
  </si>
  <si>
    <t xml:space="preserve">Fotonapetostni modul (4x), solarni regulator, solarni akumolator (2x), pretvornik DC/ DC, nosilna konstrukacija, drog, sponke, prenapetostna zaščita, varovalka.
Krmilna omara IP65, uvodnice, kabli, PLC - zajem in prenos podatkov v nadzorni center, antena, drobni in vezni material.
Namestitev opreme v krmilno omaro, vezava opreme, kabelske povezave, montaža na terenu, test sistema.
PZI/PID dokumentacije
</t>
  </si>
  <si>
    <t xml:space="preserve">Izdelava zaslonskih slik s prikazom trenutnih vrednosti vremenske postaje in
prikazom alarmov v alarmni vrstici. Vnos tegov v procesno bazo. </t>
  </si>
  <si>
    <t>SKUPAJ Vremenska postaja</t>
  </si>
  <si>
    <t>6.4</t>
  </si>
  <si>
    <t>Vodomerna postaja Bezovljak</t>
  </si>
  <si>
    <t>Nivojski merilnik - meritev nizkega pretoka. Nosilec in ohišje.</t>
  </si>
  <si>
    <t>Zajem in prenos podatkov
Simatic RTU3010C, RTU3030C, wireless, wireless antena, konektorji, povezovalni kabli, programska licenčna oprema (Siemens ali enakovredno)</t>
  </si>
  <si>
    <t>Krmilna omara IP65, uvodnice, drobni in vezni material.
Namestitev opreme v krmilno omaro, vezava opreme, kabelske povezave, montaža na terenu, test sistema.
PZI/PID dokumentacije</t>
  </si>
  <si>
    <t>Izdelava specifikacij in programske opreme za PLC krmilnik skladno z zahtevami naročnika in tehnologa ter priprava podatkov za daljinski prenos signalov na CNS sistem, nalaganje programov na krmilnike;  nastavitev komunikacijskih naslovov krmilnika;  zagon in optimizacija parametrov delovanja.</t>
  </si>
  <si>
    <t>Izdelava aplikativnih slik objekta  s prikazom parametrov iz prostoprogramirnega sistema  (Izdelava vsaj dveh aplikativnih slik v CNS). Izdelava celovite nadzorne programske aplikacije (SCADA, SQL, SMS alarmiranje, TRENDI, zgodovina alarmov, izdelava poročil) in vključitev v obstoječ CNS sistem za daljinski nadzor.</t>
  </si>
  <si>
    <t>SKUPAJ Vodomerna postaja Bezovljak</t>
  </si>
  <si>
    <t>6.5</t>
  </si>
  <si>
    <t>Vodomerna postaja obstoječi jašek</t>
  </si>
  <si>
    <t>SKUPAJ Vodomerna postaja obstoječi jašek</t>
  </si>
  <si>
    <t>Merilna oprema - seizmološko opazovanje</t>
  </si>
  <si>
    <t>O P O M B A : V ceni je všteta dobava, prevoz, montaža, preizkus, vgradnja, zidarska pomoč, z veznim in pritrdilnim materialom</t>
  </si>
  <si>
    <t>Stabilni diesel električni agregat, v kontejnerskem zvočno izolirano ohišje za zunanjo montažo, odporno na vremenske vplive, prašno barvano, s štirimi vrati za lahek dostop do motorja in generatorja, s ključavnicami:</t>
  </si>
  <si>
    <r>
      <t xml:space="preserve">- diesel, kot npr.: </t>
    </r>
    <r>
      <rPr>
        <b/>
        <sz val="10"/>
        <rFont val="Arial CE"/>
        <family val="2"/>
        <charset val="238"/>
      </rPr>
      <t>PERKINS 1103A-33TG2</t>
    </r>
    <r>
      <rPr>
        <sz val="10"/>
        <rFont val="Arial CE"/>
        <family val="2"/>
        <charset val="238"/>
      </rPr>
      <t>, vodno hlajen, 3 valjni, cca. 3300 cm3, poraba ob 3/4 obremenitvi elektroagregata cca. 10,8l/h.</t>
    </r>
  </si>
  <si>
    <t>- sinhronski, avtoreguliran, samovzbujan (avtomatska kontrola napetosti vzbujanja), 4 polni, 1500 vrt/min, cos fi 0.8, razred izolacije H, zaščita IP23, odstopanje frekvence ± 1,5%, natančnost statične regulacije napetosti ±0,5%</t>
  </si>
  <si>
    <t>- podnožje: jeklena konstrukcija – monoblok izvedba, motor in generator sta z elastičnimi vložki pritrjena na nosilno ogrodje</t>
  </si>
  <si>
    <t xml:space="preserve">- trajna obremenitev DEA 60,0 kVA (48kW)               </t>
  </si>
  <si>
    <t xml:space="preserve">- maksimalna obremenitev DEA 66,0 kVA (52,8kW)          </t>
  </si>
  <si>
    <r>
      <t>- faktor moči cos</t>
    </r>
    <r>
      <rPr>
        <sz val="10"/>
        <rFont val="Symbol"/>
        <family val="1"/>
        <charset val="2"/>
      </rPr>
      <t>f</t>
    </r>
    <r>
      <rPr>
        <sz val="10"/>
        <rFont val="Arial"/>
        <family val="2"/>
      </rPr>
      <t xml:space="preserve"> = 0,8</t>
    </r>
  </si>
  <si>
    <t>- zaščitno generatorsko štiripolno magnetotermično stikalo montirano v ohišju DEA)</t>
  </si>
  <si>
    <t>- akumulatorji za start z avtomatskim polnilcem akumulatorjev</t>
  </si>
  <si>
    <t>- rezervoar kapacitete, ki zagotavlja 24 urno avtomnomijo pri polni obremenitvi z lovilno posodo</t>
  </si>
  <si>
    <t>- procentni prikaz nivoja goriva v rezervoarju</t>
  </si>
  <si>
    <t>- sistem črpalk z avtomatiko za avtomatsko prečrpavanje goriva</t>
  </si>
  <si>
    <t>- motorne žaluzije na odvodu in dovodu zraka</t>
  </si>
  <si>
    <t>- dimenzije DEA v d/š/v: 2150+300x1100x1800 mm</t>
  </si>
  <si>
    <t>- teža 1250 kg</t>
  </si>
  <si>
    <t>- izpušni sistemom za odvod dimnih plinov</t>
  </si>
  <si>
    <t>- Elektrokrmilno mikroprocesorsko omarico, ki omogoča :</t>
  </si>
  <si>
    <t>- komandna omara za avtomatski vklop z nastavljivim časom ob izpadu električnega omrežja in avtomatski izklop ob ponovni vzpostavitvi električnega omrežja s krmilnim in močnostnim delom, generatorsko magnetotermično stikalo, kontrolnik elektroagregata z digitalnim grafičnim zaslonom za prikazovanje merjenih veličin, alarmov in ostalih podatkov o elektroagregatu, kontrola mrežne nepetosti na vseh treh fazah (tudi na vsaki fazi posebej), digitalni multimeter (voltmeter, frekvencmeter, ampermeter), števec ur, vsi alarmi predvideni za varno uporabo elektroagregata (nizek pritisk olja, pregrevanje motorja, nizek nivo goriva, napaka pri zagonu, nizka napetost akumulatorja, previsoka frekvenca generatorja, preobremenitev generatorja, potrebno servisiranje,…), izhodom za morebitno povezavo javljanja stanja oz. napak na CNS, 4 načini delovanja komandne omare: OFF/ROČNO/AVTOMATSKO/TEST;</t>
  </si>
  <si>
    <t>Dobava, prevoz, montaža, postavitev na betonski temelj, elektromontažna dela, priklop, navezava na PLC, zagon do funkcionalnega delovanja, atesti, dokumentacija, certifikati, vzdrževanje (10 letno zagotavljanje originalnih rezervnih delov, servisiranje), pogoji vzdrževanja in garancijska izjava (garancijska doba 12 mesecev)</t>
  </si>
  <si>
    <t xml:space="preserve">Strojni izkop jame dimenzij 0,8 x 0,8 x 1,2 m za izdelavo jaška v terenu III. do IV. ktg., zasip jaška z utrjevanjem ter odvoz odvečnega materiala na deponijo s predajo evidenčnih listov pooblaščenega upraljavca deponije  (0,75 m3 x 4) </t>
  </si>
  <si>
    <t>Strojni in deloma ročni izkop kabelskega kanala  v terenu  III. do IV. ktg. dim.(šxv) 0,3x0,9m v dolžini 250m:</t>
  </si>
  <si>
    <t>-izdelava podlage iz peska granulacije 3-7mm v debelini 10cm, polaganje stigmaflex cevi premera 1xfi63 (vključno z distančniki, čepi, tesnili, koleni, ...)</t>
  </si>
  <si>
    <t>-zasutje s peskom granulacije 3-7mm, polaganje pocinkanega valjanca FeZn 25x4mm</t>
  </si>
  <si>
    <t>-zasip z izkopanim materialom ter nabijanje po slojih 20cm, polaganje PVC opozorilnega traku</t>
  </si>
  <si>
    <t>-odvoz odvečnega materiala na deponijo s predajo evidenčnih listov pooblaščenega upraljavca deponije</t>
  </si>
  <si>
    <t>Strojni in deloma ročni izkop kabelskega kanala  v terenu  III. do IV. ktg. dim.(šxv) 0,3x0,9m v dolžini 200m:</t>
  </si>
  <si>
    <t>-izdelava podlage iz peska granulacije 3-7mm v debelini 10cm, polaganje stigmaflex cevi premera 1xfi110 (vključno z distančniki, čepi, tesnili, koleni, ...)</t>
  </si>
  <si>
    <t>Strojni in deloma ročni izkop kabelskega kanala  v terenu  III. do IV. ktg. dim.(šxv) 0,3x0,9m v dolžini 300m:</t>
  </si>
  <si>
    <t>-izdelava podlage iz peska granulacije 3-7mm v debelini 10cm, polaganje stigmaflex cevi premera 1xfi63 + 2xfi110 (vključno z distančniki, čepi, tesnili, koleni, ...)</t>
  </si>
  <si>
    <t>-izdelava podlage iz peska granulacije 3-7mm v debelini 10cm, polaganje stigmaflex cevi premera 1xfi63+2xfi110+3xPEHD fi50 (vključno z distančniki, čepi, tesnili, koleni, ...)</t>
  </si>
  <si>
    <t>Strojni in deloma ročni izkop kabelskega kanala  v terenu  III. do IV. ktg. dim.(šxv) 0,3x1,0 m v dolžini 24m:</t>
  </si>
  <si>
    <t>-izdelava podlage iz suhega betona MB20 v debelini 10cm, polaganje stigmaflex cevi premera 1xfi63+2xfi110+3xPEHD fi50 (vključno z distančniki, čepi, tesnili, koleni, ...), obbetoniranje z betonom MB20, polaganje pocinkanega valjanca FeZn 25x4mm</t>
  </si>
  <si>
    <t>-zasip s tamponskim gramozom ter nabijanje po slojih 20cm, polaganje PVC opozorilnega traku</t>
  </si>
  <si>
    <t>Izdelava kabelskih jaškov z betonske cevi fi0,6 m, globine 1,0 m z enojnim LTŽ pokrovom nosilnosti 125kN in napisom ELEKTRIKA</t>
  </si>
  <si>
    <t>Izdelava kabelskih jaškov z betonske cevi fi1,0 m, globine 1,0 m z enojnim LTŽ pokrovom nosilnosti 400kN in napisom ELEKTRIKA</t>
  </si>
  <si>
    <t>Mikropremaknitve inštaliranih elementov, komplet z začasnimi prevezavami, priklopom ter preskusom do funkcionalnega delovanja</t>
  </si>
  <si>
    <t>Zidarska in mizarska pomoč (žlebičenje, preboji, sanacija) - ocena</t>
  </si>
  <si>
    <t>Demontaža obstoječih električnih inštalacij, razsvetljave in ostalih elementov, komplet z odvozom materiala na mesto razgradnje oz. trajno deponijo in pridobitvijo ustreznih papirjev.</t>
  </si>
  <si>
    <t>Posredovanje informacij (dopolnitve vezalnih shem, popravki tlorisov…) projektantu za potrebe izdelave PID</t>
  </si>
  <si>
    <t>DIESEL ELEKTRIČNI AGRAGAT</t>
  </si>
  <si>
    <t>OSTALO</t>
  </si>
  <si>
    <t>Zunanja, splošna in varnostna razsvetljava</t>
  </si>
  <si>
    <t>Videonadzor (VN)</t>
  </si>
  <si>
    <t>Protivlomno varovanje (vlom)</t>
  </si>
  <si>
    <t>Strelovod na novih objektih</t>
  </si>
  <si>
    <t>Posegi v nadzornem centru (CNS)</t>
  </si>
  <si>
    <t>Upravni objekt</t>
  </si>
  <si>
    <t>Iztočni objekt</t>
  </si>
  <si>
    <t>Diesel električni agregat</t>
  </si>
  <si>
    <t>Ostalo</t>
  </si>
  <si>
    <t>SEIZMIKA</t>
  </si>
  <si>
    <t>Seizmika</t>
  </si>
  <si>
    <t>Investitor:</t>
  </si>
  <si>
    <t>SANACIJA PREGRADE VOGRŠČEK S PRIPADAJOČIMI OBJEKTI</t>
  </si>
  <si>
    <t>ELEKTRIČNE INŠTALACIJE</t>
  </si>
  <si>
    <t>REKAPITULACIJA</t>
  </si>
  <si>
    <t>DIESEL ELEKTRIČNI AGREGAT</t>
  </si>
  <si>
    <t>4.4.3.14.2 POPIS DEL S PREDRAČUNOM</t>
  </si>
  <si>
    <t>Hidromehanska oprema</t>
  </si>
  <si>
    <t>Demontažna dela</t>
  </si>
  <si>
    <t>Izdelava, dobava in montaža hidromehanske opreme</t>
  </si>
  <si>
    <t>Popis tvori celoto skupaj z grafičnim in teksualnim delom načrta, zato ga je potrebno brati skupaj s celotnim načrtom (grafike, tehnična poročila).</t>
  </si>
  <si>
    <t>Proizvajalec hidromehanske opreme mora imeti certifikat o kontroli proizvodnje za izdelavo jeklene konstrukcije izvedbenih razredov do vključno EXC 4 skladno s SIST EN 1090-2:2008/A1:2012.</t>
  </si>
  <si>
    <t>Proizvajalec hidromehanske opreme mora imeti certifikat varjenja jeklenih konstrukcij skladno s standardom SIST EN 1090-2:2008+A1:2012.</t>
  </si>
  <si>
    <t>Proizvajalec hidromehanske opreme mora imeti certifikat za izpolnilo zahteve za kakovost varilskih del skladno s standardom SIST EN ISO 3834-2:2006 za izdelavo nosilnih varjenih jeklenih konstrukcij.</t>
  </si>
  <si>
    <t>Proizvajalec hidromehanske opreme mora imeti certifikat za sistem vodenja kakovosti za področje proizvodnje in prodaje strojev, procesnih sistemov in jeklenih konstrukcij po standardu ISO 9001:2015.</t>
  </si>
  <si>
    <t>Proizvajalec hidromehanske opreme mora imeti najmanj dva zaposlena diplomirana mednarodna varilna inženirja (IWE).</t>
  </si>
  <si>
    <t>Sestava opreme v tovarni in preizkusi opreme v tovarni moraju biti izvršeni ob prisotnosti naročnika. Noben del opreme ne sme biti odposlan iz tovarne dokler oprema ni pregledana in odobrena za prevoz s strani naročnika.</t>
  </si>
  <si>
    <t>Pred začetkom izvedbe del izvajalec del  mora pregledati kompletno tehnično dokumentacijo z vsemi načrti.</t>
  </si>
  <si>
    <t>Izvajalec del mora izdelati risbe z detajli, ki jih je potrebno izvesti za končanje posameznih del, tudi če niso podrobno navedeni in opisani v popisu in načrtih, so pa nujna za pravilno funkcioniranje posameznih sistemov in elementov. Potrditi jih mora odgovorni projektant načrta .</t>
  </si>
  <si>
    <t>Izvajalec del je dolžan o vsaki ugotovljeni neskladnosti med popisom in tehničnim poročilom/grafičnimi prikazi obvestiti odgovornega projektanta načrta in investitorja.</t>
  </si>
  <si>
    <t>Izvajalec del je dolžan izvesti vsa dela kvalitetno, v skladu s predpisi, standardi, projektom, tehničnimi pogoji in v skladu z dobro gradbeno prakso.</t>
  </si>
  <si>
    <t>V kolikor želi izvajalec del prilagoditi izvedbo svoji tehnologiji, mora izdelati ustrezno projektno dokumentacijo z detajli. Tehnološke risbe in projektno dokumentacijo z detajli mora pregledati in s podpisom potrditi odgovorni projektant načrta. Izvajanje na objektu se lahko prične, ko odgovorni projektant načrta potrdi risbe.</t>
  </si>
  <si>
    <t>Pred pričetkom izvajanja del je mora izvajalec del preveriti kvaliteto predhodno izvršenih del, ki bi lahko vplivali na kvaliteto, sigurnost in trajnost hidromehanske opreme.</t>
  </si>
  <si>
    <t>Izvajalec del je dolžan pri izvajanju del upoštevati vse grafične in tekstualne dele projekta (PZI).</t>
  </si>
  <si>
    <t>V primeru tiskarskih napak in neskladij v projektu je izvajalec del dolžan na to opozoriti odgovornega projektanta načrta.</t>
  </si>
  <si>
    <t>Izvajalec del  je dolžan upoštevati vse povezane stroške, ki so potrebni za tehnično pravilno izvedbo del, ki jih izvaja (kot npr. razni pritrdilni material, vezni in tesnilni material, podkonstrukcije in podobno).</t>
  </si>
  <si>
    <t>Pri izvedbi del se je treba držati načrtov in navodil oziroma tolmačenj projektanta. V primeru nejasnosti mora izvajalec del iskati ustrezna tolmačenja odgovornega projektanta načrta. V primeru, da izvajalec del opazi v načrtu oz. detajlu napako, mora nanjo opozoriti, delo pa izvesti strokovno pravilno.</t>
  </si>
  <si>
    <t>Izvajalec del je dolžan naročniku izročiti naslednjo dokumentacijo:</t>
  </si>
  <si>
    <t>- spisek projektne dokumentacije, ki jo bo izdelal, z upoštevanjem dokumentacije kot je zahtevana v posebnih tehniških pogojev posameznega sklopa opreme,</t>
  </si>
  <si>
    <t>- program dela (za izdelavo - preizkušanje - dobavo na gradbišče - montažo - vgradnjo - po logično zaključenih sklopnih naprav),</t>
  </si>
  <si>
    <t>- dodatne risbe, konstrukcijske podatke, vzorce, modele,</t>
  </si>
  <si>
    <t>- dokazilo o zanesljivosti objekta (skladno s pravilnikom) z vključenimi vsemi dokaznimi dokumenti kot so atesti, certifikati, izjave o skladnosti opreme, merilni listi z vso dokazno dokumentacijo dobavljene opreme</t>
  </si>
  <si>
    <t>- seznam kontrolnih postopkov,</t>
  </si>
  <si>
    <t>- poročila, elaborate, ateste,</t>
  </si>
  <si>
    <t>- potrdila o ekološko nespornem uničenju nevarnih odpadkov,</t>
  </si>
  <si>
    <t>- spremembe, ki so nastale med montažo, vnesene v komplet projekta za izvedbo,</t>
  </si>
  <si>
    <t>- ostalo dokumentacijopotrebno za izpolnitev vseh zahtev iz pogodbe,</t>
  </si>
  <si>
    <t>- gradbeni dnevnik,</t>
  </si>
  <si>
    <t>- program pregledov in prevzemov za pogodbena dela,</t>
  </si>
  <si>
    <t>- program preizkusov,</t>
  </si>
  <si>
    <t>- poročila  preizkusov z oceno njihovih rezultatov,</t>
  </si>
  <si>
    <t>- izjavo o sposobnosti opreme za obratovanje,</t>
  </si>
  <si>
    <t>- izjavo o končanju del (pred začetkom preizkusov), imenovanja odgovornih oseb za vodenje del, preizkusov,</t>
  </si>
  <si>
    <t>- izjavo o zanesljivosti objekta po gradbenem zakonu</t>
  </si>
  <si>
    <t>- dokumentacija potrebna za montažo opreme na mestu vgradnje mora obsegati vsa potrebna navodila, skice, risbe, sheme, dokumentacijo za zagotovitev kvalitete, spisek in postopke potrebnih preizkusov in podobne dokumente dobavljene opreme, ki so potrebni za njeno ustrezno montažo, namestitev, povezovanje, nastavitve in podobno ter spuščanje v pogon, za obratovanje in vzdrževanje.</t>
  </si>
  <si>
    <t xml:space="preserve">Vse ostale površine, ki jih bo izvajalec del potreboval za gradnjo in za organizacijo gradbišč, si bo moral priskbeti sam na svoje stroške.   </t>
  </si>
  <si>
    <t>Izvajalec del mora omogočati stalen, prost in vzdrževan dostop za potrebe intervencije oz. vzdrževanja.</t>
  </si>
  <si>
    <t>HIDROMEHANSKA OPREMA</t>
  </si>
  <si>
    <t>DEMONTAŽNA DELA</t>
  </si>
  <si>
    <t>IZDELAVA, DOBAVA IN MONTAŽA HIDROMEHANSKE OPREME</t>
  </si>
  <si>
    <t>5.1.1</t>
  </si>
  <si>
    <t>5.1.2</t>
  </si>
  <si>
    <t>Prelivni objekt</t>
  </si>
  <si>
    <t>5.2.1</t>
  </si>
  <si>
    <t>5.2.2</t>
  </si>
  <si>
    <t>5.2.3</t>
  </si>
  <si>
    <t>5.2.4</t>
  </si>
  <si>
    <t>Obstoječi del odvzemnega objekta</t>
  </si>
  <si>
    <t>Novopredvideni del odvzemnega objekta</t>
  </si>
  <si>
    <t>Iztočni objekt in podslapje</t>
  </si>
  <si>
    <t>Skupaj
EUR</t>
  </si>
  <si>
    <t>Demontaža in odstranitev obstoječe ograje in vstopnih vrat na objektu z odvozom na začasno deponijo</t>
  </si>
  <si>
    <t>Demontaža dvižnega mehanizma in zaklopke z odvozom v delavnico</t>
  </si>
  <si>
    <t>SKUPAJ DEMONTAŽA NA PRELIVNEM OBJEKTU</t>
  </si>
  <si>
    <t>5.1.1 PRELIVNI OBJEKT</t>
  </si>
  <si>
    <t>Začasna (eventuelna) demontaža in odstranitev obstoječe ograje na objektu in vstopnih vrat na dostopnem mostu z odvozom na začasno deponijo</t>
  </si>
  <si>
    <t>Demontaža in odstranitev obstoječih dvižnih pogonov - elektromotornih vitel skupaj z njihovimi nosilnimi konstrukcijami z odvozom na trajno deponijo</t>
  </si>
  <si>
    <t>Demontaža in odstranitev obstoječih prekritij odprtin s pripadajočimi vbetoniranimi deli z odvozom na trajno deponijo</t>
  </si>
  <si>
    <t>Demontaža in odstranitev vseh obstoječih finih izvlečnih rešetk (FR1, FR2 in FR3) na objektu z odvozom na trajno deponijo</t>
  </si>
  <si>
    <t>Demontaža in odstranitev vseh obstoječih drsnih zapornic (A1, A2, A3 in A4) na objektu z odvozom na trajno deponijo</t>
  </si>
  <si>
    <t>5.1.2 ODVZEMNI OBJEKT</t>
  </si>
  <si>
    <t>- obnova vseh strojnih elementov dvižnega mehanizma</t>
  </si>
  <si>
    <t>- zamenjava galove verige</t>
  </si>
  <si>
    <t>- namestitev novega tesnilnega okvirja</t>
  </si>
  <si>
    <t>- zamenjava kompletnega vijačnega materiala</t>
  </si>
  <si>
    <t>- nadgradnja za merjenje pozicije zapornice, kazanje položaja. Vgradnja končnih stikal.</t>
  </si>
  <si>
    <t>- na novo izvedena kompletna protikorozijska zaščita zaklopke, bočnih ščitov, vidnih površin vbetoniranih delov in ohišjadvižnega mehanizma</t>
  </si>
  <si>
    <t>- ponovna montaža in spuščanje v pogon</t>
  </si>
  <si>
    <t>5.2.1 PRELIVNI OBJEKT</t>
  </si>
  <si>
    <t>Izdelava, dobava in montaža grobih rešetk (GR1, GR2 in GR3)</t>
  </si>
  <si>
    <t>Izdelava, dobava in montaža finih rešetk (FR1, FR2 in FR3)</t>
  </si>
  <si>
    <t>Izdelava, dobava in montaža drsnih zapornic (A1, A2, A3 in A4)</t>
  </si>
  <si>
    <t>Protikorozijska zaščita vidnih površin vbetoniranih delov in sicer vodil finih rešetk in drsnih zapornic ter vbetonirane armature tesnilnih okvirjev</t>
  </si>
  <si>
    <t>Dobava in montaža tesnilnih okvirjev na vbetoniranih armaturah</t>
  </si>
  <si>
    <t>Izdelava, dobava in montaža prekritij odprtin na koti 102,00 m n.m s pripadajočimi vbetoniranimi deli</t>
  </si>
  <si>
    <t>Izdelava, dobava in montaža jeklenih podstavkov dvižnih mehanizmov skupaj z zaščitno ograjo in streho</t>
  </si>
  <si>
    <t>Dobava in montaža dvižnih mehanizmov - elektromotornih vitel (EV1, EV2, EV3 in EV4)</t>
  </si>
  <si>
    <t>Dobava in montaža vrtljivega konzolnega žerjava (K1) in delovne košare</t>
  </si>
  <si>
    <t>Izdelava, dobava in montaža zapahov</t>
  </si>
  <si>
    <t>Izdelava in dobava dvižnih kleš skupaj s podstavki</t>
  </si>
  <si>
    <t xml:space="preserve">SKUPAJ </t>
  </si>
  <si>
    <t>Izdelava, dobava in montaža grobih rešetk (GR4 in GR5)</t>
  </si>
  <si>
    <t>Izdelava, dobava in montaža finih rešetk (FR4 in FR5) s pripadajočimi vbetoniranimi deli</t>
  </si>
  <si>
    <t>Izdelava, dobava in montaža kotalne zapornice (B1) na temeljnem izpustu s pripadajočimi vbetoniranimi deli</t>
  </si>
  <si>
    <t>Izdelava, dobava in montaža drsne zapornice (A5) za odvzem vode s pripadajočimi vbetoniranimi deli</t>
  </si>
  <si>
    <t>Izdelava, dobava in vgradnja ploščic v primarnem betonu</t>
  </si>
  <si>
    <t>Dobava in montaža zasunov (C1, C2 in C3) na jeklenem cevovodu za talni odvzem in cevovodu za namakalni sistem</t>
  </si>
  <si>
    <t>Dobava in montaža dvižnih mehanizmov za zapornice - elektromotorna vitla (EV5 in EV6)</t>
  </si>
  <si>
    <t>Dobava in montaža mehanizmov za upravljanje z zasuni</t>
  </si>
  <si>
    <t>Dobava in montaža vrtljivega konzolnega žerjava (K2)</t>
  </si>
  <si>
    <t>Dobava in montaža mehanizmov za upravljanje s stožičastimi zasuni</t>
  </si>
  <si>
    <t>5.2.2 OBSTOJEČI DEL ODVZEMNEGA OBJEKTA</t>
  </si>
  <si>
    <t>5.2.3 NOVOPREDVIDENI DEL ODVZEMNEGA OBJEKTA</t>
  </si>
  <si>
    <t>5.2.4 IZTOČNI OBJEKT IN PODSLAPJE</t>
  </si>
  <si>
    <t>Stroški gradbišča</t>
  </si>
  <si>
    <t>Dodatne geološko-geomehanske raziskave</t>
  </si>
  <si>
    <t>Zaščita brežine obstoječega odvzemnega objekta</t>
  </si>
  <si>
    <t>X.</t>
  </si>
  <si>
    <t>XI.</t>
  </si>
  <si>
    <t>XII.</t>
  </si>
  <si>
    <t>7. Zaščita brežine obstoječega odvzemnega objekta</t>
  </si>
  <si>
    <t>2. Izkop in primarna podgradnja predora</t>
  </si>
  <si>
    <t>2.3.1.3 Čelo izkopa</t>
  </si>
  <si>
    <t>Nacrt primarne podgradnje predora - PZI</t>
  </si>
  <si>
    <t>Nacrt notranje obloge predora in portalnih konstrukcij - PZI</t>
  </si>
  <si>
    <t>Odstranitev zarasti na brežinah akumulacije med koto 92,00 in 98,80 m n.v.</t>
  </si>
  <si>
    <r>
      <t xml:space="preserve">Za zasipanje gradbene jame se mora uporabiti izbran čisti material, dobljen pri izkopu gradbene jame, ali pa če ta ne ustreza, dobaviti novega. </t>
    </r>
    <r>
      <rPr>
        <sz val="9"/>
        <color indexed="8"/>
        <rFont val="Arial"/>
        <family val="2"/>
        <charset val="238"/>
      </rPr>
      <t>Zasipanje je potrebno izvajati v slojih, z utrjevanjem vsakega sloja posebej tako, da se sesedanje zemeljskega materiala zmanjša na minimum.</t>
    </r>
  </si>
  <si>
    <t>SKUPAJ STROŠKI GRADBIŠČA</t>
  </si>
  <si>
    <t>SKUPAJ DODATNE GEOLOŠKO-GEOMEHANSKE RAZISKAVE</t>
  </si>
  <si>
    <t>SKUPAJ ZAŠČITNI NASIP ZA VTOČNO GRADBENO JAMO</t>
  </si>
  <si>
    <t>SKUPAJ INJEKCIJSKA ZAVESA</t>
  </si>
  <si>
    <t>SKUPAJ TESNILNA ZAVESA</t>
  </si>
  <si>
    <t>SKUPAJ GRADBENA JAMA ZA IZVEDBO NOVEGA ODVZEMNEGA OBJEKTA</t>
  </si>
  <si>
    <t>SKUPAJ ZAŠČITA BREŽINE OBSTOJEČEGA ODVZEMNEGA OBJEKTA</t>
  </si>
  <si>
    <t>SKUPAJ ZAČASNI PORTAL</t>
  </si>
  <si>
    <t>SKUPAJ ODSTRANITEV ZAŠČITNEGA NASIPA</t>
  </si>
  <si>
    <t>SKUPAJ DOVODNI JAREK</t>
  </si>
  <si>
    <t>SKUPAJ ZASIP ODVZEMNEGA OBJEKTA</t>
  </si>
  <si>
    <t>SKUPAJ IZVEDBA GRADBENE JAME PORTALA</t>
  </si>
  <si>
    <t>SKUPAJ TUJE STORITVE IN OSTALO</t>
  </si>
  <si>
    <t>SKUPAJ IZKOP IN PRIMARNA PODGRADNJA PREDORA</t>
  </si>
  <si>
    <t>SKUPAJ GEOTEHNIČNI MONITORING</t>
  </si>
  <si>
    <t>SKUPAJ NOTRANJA OBLOGA</t>
  </si>
  <si>
    <t>SKUPAJ PORTALNA KONSTRUKCIJA</t>
  </si>
  <si>
    <t xml:space="preserve"> 9.1</t>
  </si>
  <si>
    <t xml:space="preserve"> 9.2</t>
  </si>
  <si>
    <t xml:space="preserve"> 9.3</t>
  </si>
  <si>
    <t xml:space="preserve"> 9.4</t>
  </si>
  <si>
    <t xml:space="preserve"> 9.5</t>
  </si>
  <si>
    <t xml:space="preserve"> 9.6</t>
  </si>
  <si>
    <t xml:space="preserve"> 9.7</t>
  </si>
  <si>
    <t xml:space="preserve"> 9.8</t>
  </si>
  <si>
    <t>Skupaj časovno odvisni stroški gradbišča</t>
  </si>
  <si>
    <t>Skupaj časi ustavitve del</t>
  </si>
  <si>
    <t xml:space="preserve"> 4.7</t>
  </si>
  <si>
    <t xml:space="preserve"> 4.9</t>
  </si>
  <si>
    <t>SKUPAJ brez DDV</t>
  </si>
  <si>
    <t>DDV 22%</t>
  </si>
  <si>
    <t>Odstranitev starih kanalet, vključno z vsemi notranjimi prenosi in prevozi, nakladanjem na prevozno sredstvo, transportom na ustrezno deponijo, stroški deponije in z vsemi evidenčnimi listi</t>
  </si>
  <si>
    <t>Odstranitev obstoječih stopnic, vključno z vsemi notranjimi prenosi in prevozi, nakladanjem na prevozno sredstvo, transportom na ustrezno deponijo, stroški deponije in z vsemi evidenčnimi listi</t>
  </si>
  <si>
    <t>€</t>
  </si>
  <si>
    <t>Odstranitev zaščitne ograje in stebričkov z nakladanjem na prevozno sredstvo, transportom na ustrezno deponijo vključno s stroški deponije in z vsemi evidenčnimi listi.</t>
  </si>
  <si>
    <t>Rušenje in odstranitev obstoječe strešne opečne kritine in sekundarne kritine z nakladanjem na prevozno sredstvo, transportom na ustrezno deponijo vključno s stroški deponije in z vsemi evidenčnimi listi.</t>
  </si>
  <si>
    <t>Demontaža obstoječih žlebov, čelnih obrob, odtočnih cevi, dimniških obrob, kljuk, objemk, strelovoda (vsa kleparska dela na strehi) z nakladanjem na prevozno sredstvo, transportom na ustrezno deponijo vključno s stroški deponije in z vsemi evidenčnimi listi</t>
  </si>
  <si>
    <t>Odstranitev vseh oken in vrat z nakladanjem na prevozno sredstvo, transportom na ustrezno deponijo vključno s stroški deponije in z vsemi evidenčnimi listi</t>
  </si>
  <si>
    <t>Rušenje in odstranitev talne keramike, estriha in izolacije po celotnem objektu kompletno do nosilne podlage v predvideni debelini cca. 10 cm, nakladanje na prevozno sredstvo, transport na ustrezno deponijo vključno s stroški deponije in z vsemi evidenčnimi listi</t>
  </si>
  <si>
    <t>Odstranitev stenske keramike z nakladanjem na prevozno sredstvo, transportom na ustrezno deponijo vključno s stroški deponije in z vsemi evidenčnimi listi</t>
  </si>
  <si>
    <t>Odstranitev pločnika iz pranih plošč z nakladanjem na prevozno sredstvo, transportom na ustrezno deponijo vključno s stroški deponije in z vsemi evidenčnimi listi</t>
  </si>
  <si>
    <t>Odstranitev pranih plošč iz stopnic z nakladanjem na prevozno sredstvo, transportom na ustrezno deponijo vključno s stroški deponije in z vsemi evidenčnimi listi</t>
  </si>
  <si>
    <t>Odstranitev ometa iz sten (cokla) na opečni ali betonski podlagi z nakladanjem na prevozno sredstvo, transportom na ustrezno deponijo vključno s stroški deponije in z vsemi evidenčnimi listi</t>
  </si>
  <si>
    <t>Delno strojni, delno ročni izkop za pločnik v terenu III. do IV. ktg  z nakladanjem na prevozno sredstvo, transportom na ustrezno deponijo vključno s stroški deponije in z vsemi evidenčnimi listi</t>
  </si>
  <si>
    <t>Programska oprema Data Communication Software 
Programska oprema  Data Analysis Package
Namestite in konfiguracija licenčne  programske opreme</t>
  </si>
  <si>
    <t>Fotonapetostni modul (4x), solarni regulator, solarni akumolator (2x), pretvornik DC/ DC, nosilna konstrukacija, drog, sponke, prenapetostna zaščita, varovalka.
Namestitev opreme v krmilno omaro, vezava opreme, kabelske povezave, montaža na terenu, test sistema.</t>
  </si>
  <si>
    <t xml:space="preserve">    IZGRADNJO VTOČNEGA KANALA</t>
  </si>
  <si>
    <t xml:space="preserve">     V DNU AKUMULACIJE</t>
  </si>
  <si>
    <t>III. IZDELAVA IN ODSTRANITEV ZAČASNEGA ZAŠČITNEGA NASIPA</t>
  </si>
  <si>
    <t xml:space="preserve">IV. IZDELAVA, ODSTRANITEV IN OBNOVA DOSTOPNIH </t>
  </si>
  <si>
    <t xml:space="preserve">     GRADBIŠČNIH CEST NA ZRAČNI STRANI PREGRADE</t>
  </si>
  <si>
    <t>V. IZDELAVA IN ODSTRANITEV ZAČASNE PREMOSTITVE ČEZ</t>
  </si>
  <si>
    <t xml:space="preserve">    VODOTOK</t>
  </si>
  <si>
    <t>VI. OBNOVA DOSTOPNE GRADBIŠČNE CESTE PO KRONI</t>
  </si>
  <si>
    <t xml:space="preserve">     PREGRADE</t>
  </si>
  <si>
    <t xml:space="preserve">I. IZDELAVA DOSTOPNE GRADBIŠČNE CESTE ZA IZGRADNJO </t>
  </si>
  <si>
    <t xml:space="preserve">   ZAŠČITNEGA NASIPA VTOČNE GRADBENE JAME</t>
  </si>
  <si>
    <t>II. IZDELAVA IN ODSTRANITEV DOSTOPNE GRADBIŠČNE CESTE ZA</t>
  </si>
  <si>
    <t xml:space="preserve">Cena na enoto [€] </t>
  </si>
  <si>
    <t>PONUDBENI PREDRAČUN DEL</t>
  </si>
  <si>
    <t>UVOD</t>
  </si>
  <si>
    <r>
      <t xml:space="preserve">Dobava kritine in pokrivanje strehe </t>
    </r>
    <r>
      <rPr>
        <sz val="9"/>
        <rFont val="Arial"/>
        <family val="2"/>
        <charset val="238"/>
      </rPr>
      <t>s pločevinastimi profiliranimi strešnimi paneli s protikondenzacijskim obrizgom, vijačeno na podkonstrukcijo (po detajlu proizvajalca), montaža v skladu z detajli in navodili dobavitelja. Vključno s vsem pritdilnim in spojnim materialom, vsemi dodatnimi deli in prenosi, obračun m2;</t>
    </r>
  </si>
  <si>
    <t xml:space="preserve"> 
           NA ZRAČNI STRANI PREGRADE</t>
  </si>
  <si>
    <t xml:space="preserve">SKUPNA REKAPITULACIJA ZA SANACIJO KANALET  </t>
  </si>
  <si>
    <t xml:space="preserve">SKUPNA REKAPITULACIJA ZA SANACIJO STOPNIC </t>
  </si>
  <si>
    <t xml:space="preserve">        OB LEVEM BOKU PREGRADE</t>
  </si>
  <si>
    <t>Izdelava, dobava in montaža cevi Ø1219x12 s prirobnicami</t>
  </si>
  <si>
    <t>Izdelava, dobava in montaža cevi Ø1016x12 s prirobnicami</t>
  </si>
  <si>
    <t>Izdelava, dobava in montaža cevi Ø168,3x6 s prirobnicami</t>
  </si>
  <si>
    <t>Izdelava, dobava in montaža stožčastih zasunov Ø1200</t>
  </si>
  <si>
    <t>Izdelava, dobava in montaža usmerjevalcev vodnega toka Ø3200</t>
  </si>
  <si>
    <t>SKUPNA REKAPITULACIJA</t>
  </si>
  <si>
    <t>REKAPITULACIJA SEIZMIKA</t>
  </si>
  <si>
    <t>REPUBLIKA SLOVENIJA
MINISTRSTVO ZA OKOLJE IN PROSTOR
DIREKCIJA REPUBLIKE SLOVENIJE ZA VODE
Hajdrihova ulica 28c, 1000 Ljubljana</t>
  </si>
  <si>
    <t>3.5.2 IZPUSTNI OBJEKT</t>
  </si>
  <si>
    <t>STEBROV TER VZPOSTAVITVE STABILNE GEODETSKE MREŽE</t>
  </si>
  <si>
    <t>SKUPNA REKAPITULACIJA ZA SANACIJO STABILNOSTI OSNOVNIH</t>
  </si>
  <si>
    <t>BREŽINAH AKUMULACIJE MED KOTO 92,00 IN 98,80 m.n.v.</t>
  </si>
  <si>
    <t>SKUPNA REKAPITULACIJA ZA ODSTRANITEV ZARASTI NA</t>
  </si>
  <si>
    <t xml:space="preserve">Določitev in preverjanje položajev, višin in smeri pri gradnji objekta s površino nad 500 m2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</si>
</sst>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0\ &quot;€&quot;"/>
    <numFmt numFmtId="165" formatCode="#,##0.00;;"/>
    <numFmt numFmtId="166" formatCode="#,##0.00\ [$€-407]"/>
    <numFmt numFmtId="167" formatCode="###\ ###\ ##0"/>
    <numFmt numFmtId="168" formatCode="0.0000"/>
    <numFmt numFmtId="169" formatCode="#,##0.00\ [$€-1]"/>
    <numFmt numFmtId="170" formatCode="_-* #,##0.00\ _S_I_T_-;\-* #,##0.00\ _S_I_T_-;_-* &quot;-&quot;??\ _S_I_T_-;_-@_-"/>
    <numFmt numFmtId="171" formatCode="#,##0;\-"/>
    <numFmt numFmtId="172" formatCode="#,##0.0"/>
  </numFmts>
  <fonts count="10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sz val="11"/>
      <name val="Calibri"/>
      <family val="2"/>
      <charset val="238"/>
      <scheme val="minor"/>
    </font>
    <font>
      <b/>
      <sz val="14"/>
      <name val="Arial"/>
      <family val="2"/>
    </font>
    <font>
      <i/>
      <sz val="10"/>
      <name val="Arial"/>
      <family val="2"/>
    </font>
    <font>
      <b/>
      <i/>
      <sz val="10"/>
      <name val="Arial"/>
      <family val="2"/>
    </font>
    <font>
      <b/>
      <i/>
      <sz val="10"/>
      <name val="Arial"/>
      <family val="2"/>
      <charset val="238"/>
    </font>
    <font>
      <b/>
      <sz val="10"/>
      <name val="Arial"/>
      <family val="2"/>
      <charset val="238"/>
    </font>
    <font>
      <sz val="10"/>
      <name val="Arial"/>
      <family val="2"/>
      <charset val="238"/>
    </font>
    <font>
      <i/>
      <sz val="10"/>
      <name val="Arial"/>
      <family val="2"/>
      <charset val="238"/>
    </font>
    <font>
      <sz val="9"/>
      <name val="Arial"/>
      <family val="2"/>
    </font>
    <font>
      <sz val="10"/>
      <name val="Arial"/>
      <family val="2"/>
    </font>
    <font>
      <b/>
      <sz val="10"/>
      <name val="Arial"/>
      <family val="2"/>
    </font>
    <font>
      <b/>
      <sz val="9"/>
      <name val="Arial"/>
      <family val="2"/>
    </font>
    <font>
      <sz val="9"/>
      <name val="Arial"/>
      <family val="2"/>
      <charset val="238"/>
    </font>
    <font>
      <b/>
      <sz val="9"/>
      <name val="Arial"/>
      <family val="2"/>
      <charset val="238"/>
    </font>
    <font>
      <sz val="9"/>
      <color theme="1"/>
      <name val="Arial"/>
      <family val="2"/>
      <charset val="238"/>
    </font>
    <font>
      <sz val="12"/>
      <name val="Times New Roman"/>
      <family val="1"/>
      <charset val="238"/>
    </font>
    <font>
      <i/>
      <sz val="9"/>
      <name val="Arial"/>
      <family val="2"/>
      <charset val="238"/>
    </font>
    <font>
      <vertAlign val="subscript"/>
      <sz val="9"/>
      <color theme="1"/>
      <name val="Arial"/>
      <family val="2"/>
      <charset val="238"/>
    </font>
    <font>
      <b/>
      <i/>
      <sz val="12"/>
      <name val="Arial"/>
      <family val="2"/>
      <charset val="238"/>
    </font>
    <font>
      <i/>
      <sz val="10"/>
      <name val="Arial CE"/>
      <family val="2"/>
      <charset val="238"/>
    </font>
    <font>
      <b/>
      <i/>
      <sz val="10"/>
      <name val="Arial CE"/>
      <family val="2"/>
      <charset val="238"/>
    </font>
    <font>
      <b/>
      <sz val="9"/>
      <color theme="1"/>
      <name val="Arial"/>
      <family val="2"/>
      <charset val="238"/>
    </font>
    <font>
      <i/>
      <sz val="9"/>
      <name val="Arial"/>
      <family val="2"/>
    </font>
    <font>
      <b/>
      <sz val="12"/>
      <name val="Arial"/>
      <family val="2"/>
    </font>
    <font>
      <b/>
      <i/>
      <sz val="9"/>
      <name val="Arial"/>
      <family val="2"/>
    </font>
    <font>
      <sz val="14"/>
      <name val="Arial"/>
      <family val="2"/>
      <charset val="238"/>
    </font>
    <font>
      <b/>
      <sz val="14"/>
      <name val="Arial"/>
      <family val="2"/>
      <charset val="238"/>
    </font>
    <font>
      <b/>
      <sz val="8"/>
      <color indexed="8"/>
      <name val="Arial"/>
      <family val="2"/>
      <charset val="238"/>
    </font>
    <font>
      <sz val="8"/>
      <color indexed="8"/>
      <name val="Arial"/>
      <family val="2"/>
      <charset val="238"/>
    </font>
    <font>
      <sz val="10"/>
      <color theme="4"/>
      <name val="Arial"/>
      <family val="2"/>
      <charset val="238"/>
    </font>
    <font>
      <sz val="9"/>
      <name val="Calibri"/>
      <family val="2"/>
      <charset val="238"/>
    </font>
    <font>
      <sz val="9"/>
      <color rgb="FFFF0000"/>
      <name val="Arial"/>
      <family val="2"/>
      <charset val="238"/>
    </font>
    <font>
      <b/>
      <sz val="13"/>
      <name val="Arial"/>
      <family val="2"/>
      <charset val="238"/>
    </font>
    <font>
      <sz val="10"/>
      <name val="Arial"/>
      <family val="2"/>
      <charset val="238"/>
    </font>
    <font>
      <sz val="10"/>
      <color rgb="FFFF0000"/>
      <name val="Arial"/>
      <family val="2"/>
      <charset val="238"/>
    </font>
    <font>
      <sz val="10"/>
      <name val="Arial CE"/>
      <family val="2"/>
      <charset val="238"/>
    </font>
    <font>
      <b/>
      <sz val="10"/>
      <name val="Arial CE"/>
      <family val="2"/>
      <charset val="238"/>
    </font>
    <font>
      <i/>
      <sz val="14"/>
      <name val="Arial"/>
      <family val="2"/>
    </font>
    <font>
      <b/>
      <sz val="12"/>
      <name val="Arial"/>
      <family val="2"/>
      <charset val="238"/>
    </font>
    <font>
      <sz val="9"/>
      <color indexed="9"/>
      <name val="Arial"/>
      <family val="2"/>
    </font>
    <font>
      <sz val="9"/>
      <name val="Arial CE"/>
      <family val="2"/>
      <charset val="238"/>
    </font>
    <font>
      <b/>
      <sz val="9"/>
      <color rgb="FFFF0000"/>
      <name val="Arial"/>
      <family val="2"/>
    </font>
    <font>
      <b/>
      <i/>
      <sz val="9"/>
      <color rgb="FFFF0000"/>
      <name val="Arial"/>
      <family val="2"/>
    </font>
    <font>
      <i/>
      <sz val="9"/>
      <color rgb="FFFF0000"/>
      <name val="Arial"/>
      <family val="2"/>
    </font>
    <font>
      <i/>
      <sz val="14"/>
      <name val="Arial"/>
      <family val="2"/>
      <charset val="238"/>
    </font>
    <font>
      <sz val="9"/>
      <name val="Arial CE"/>
      <charset val="238"/>
    </font>
    <font>
      <b/>
      <sz val="9"/>
      <name val="Arial CE"/>
      <family val="2"/>
      <charset val="238"/>
    </font>
    <font>
      <b/>
      <i/>
      <sz val="8"/>
      <name val="Arial"/>
      <family val="2"/>
    </font>
    <font>
      <sz val="10"/>
      <name val="Arial CE"/>
      <charset val="238"/>
    </font>
    <font>
      <b/>
      <sz val="9"/>
      <name val="Arial CE"/>
      <charset val="238"/>
    </font>
    <font>
      <sz val="10"/>
      <name val="Helv"/>
    </font>
    <font>
      <vertAlign val="superscript"/>
      <sz val="9"/>
      <name val="Arial"/>
      <family val="2"/>
      <charset val="238"/>
    </font>
    <font>
      <b/>
      <i/>
      <sz val="14"/>
      <name val="Arial"/>
      <family val="2"/>
    </font>
    <font>
      <b/>
      <i/>
      <sz val="9"/>
      <name val="Arial"/>
      <family val="2"/>
      <charset val="238"/>
    </font>
    <font>
      <i/>
      <sz val="9"/>
      <name val="Arial CE"/>
      <family val="2"/>
      <charset val="238"/>
    </font>
    <font>
      <i/>
      <sz val="9"/>
      <color indexed="9"/>
      <name val="Arial"/>
      <family val="2"/>
    </font>
    <font>
      <b/>
      <u/>
      <sz val="10"/>
      <name val="Arial"/>
      <family val="2"/>
      <charset val="238"/>
    </font>
    <font>
      <b/>
      <i/>
      <sz val="11"/>
      <name val="Arial"/>
      <family val="2"/>
      <charset val="238"/>
    </font>
    <font>
      <b/>
      <i/>
      <sz val="14"/>
      <name val="Arial"/>
      <family val="2"/>
      <charset val="238"/>
    </font>
    <font>
      <b/>
      <i/>
      <sz val="10"/>
      <name val="Arial CE"/>
      <charset val="238"/>
    </font>
    <font>
      <i/>
      <sz val="10"/>
      <color indexed="9"/>
      <name val="Arial"/>
      <family val="2"/>
    </font>
    <font>
      <sz val="11"/>
      <name val="Arial"/>
      <family val="2"/>
      <charset val="238"/>
    </font>
    <font>
      <b/>
      <sz val="11"/>
      <name val="Arial"/>
      <family val="2"/>
      <charset val="238"/>
    </font>
    <font>
      <sz val="11"/>
      <name val="Calibri"/>
      <family val="2"/>
      <charset val="238"/>
    </font>
    <font>
      <u/>
      <sz val="11"/>
      <name val="Arial"/>
      <family val="2"/>
      <charset val="238"/>
    </font>
    <font>
      <b/>
      <sz val="12"/>
      <name val="Arial CE"/>
      <family val="2"/>
      <charset val="238"/>
    </font>
    <font>
      <sz val="10"/>
      <name val="MS Sans Serif"/>
      <family val="2"/>
      <charset val="238"/>
    </font>
    <font>
      <b/>
      <sz val="11"/>
      <color indexed="12"/>
      <name val="Arial"/>
      <family val="2"/>
      <charset val="238"/>
    </font>
    <font>
      <sz val="11"/>
      <color indexed="8"/>
      <name val="Arial"/>
      <family val="2"/>
      <charset val="238"/>
    </font>
    <font>
      <b/>
      <sz val="11"/>
      <name val="Arial CE"/>
      <family val="2"/>
      <charset val="238"/>
    </font>
    <font>
      <sz val="11"/>
      <color indexed="56"/>
      <name val="Arial"/>
      <family val="2"/>
      <charset val="238"/>
    </font>
    <font>
      <sz val="12"/>
      <name val="Courier New"/>
      <family val="3"/>
      <charset val="238"/>
    </font>
    <font>
      <b/>
      <sz val="11"/>
      <color indexed="8"/>
      <name val="Arial"/>
      <family val="2"/>
      <charset val="238"/>
    </font>
    <font>
      <b/>
      <u/>
      <sz val="10"/>
      <name val="Arial"/>
      <family val="2"/>
    </font>
    <font>
      <b/>
      <u/>
      <sz val="9"/>
      <name val="Arial"/>
      <family val="2"/>
    </font>
    <font>
      <u/>
      <sz val="9"/>
      <name val="Arial"/>
      <family val="2"/>
      <charset val="238"/>
    </font>
    <font>
      <b/>
      <sz val="11"/>
      <color rgb="FF000000"/>
      <name val="Arial"/>
      <family val="2"/>
      <charset val="238"/>
    </font>
    <font>
      <sz val="10"/>
      <name val="Symbol"/>
      <family val="1"/>
      <charset val="2"/>
    </font>
    <font>
      <sz val="12"/>
      <name val="Arial"/>
      <family val="2"/>
      <charset val="238"/>
    </font>
    <font>
      <b/>
      <sz val="11"/>
      <name val="Arial CE"/>
      <family val="2"/>
    </font>
    <font>
      <sz val="9"/>
      <name val="Arial CE"/>
      <family val="2"/>
    </font>
    <font>
      <sz val="12"/>
      <name val="Arial CE"/>
      <family val="2"/>
    </font>
    <font>
      <b/>
      <sz val="10"/>
      <name val="Arial CE"/>
      <family val="2"/>
    </font>
    <font>
      <b/>
      <sz val="9"/>
      <name val="Arial CE"/>
      <family val="2"/>
    </font>
    <font>
      <b/>
      <sz val="12"/>
      <name val="Arial CE"/>
      <family val="2"/>
    </font>
    <font>
      <sz val="10"/>
      <name val="Arial CE"/>
      <family val="2"/>
    </font>
    <font>
      <sz val="9"/>
      <color indexed="8"/>
      <name val="Arial"/>
      <family val="2"/>
      <charset val="238"/>
    </font>
    <font>
      <i/>
      <sz val="12"/>
      <name val="Arial"/>
      <family val="2"/>
      <charset val="238"/>
    </font>
    <font>
      <b/>
      <sz val="11"/>
      <color theme="0"/>
      <name val="Arial"/>
      <family val="2"/>
      <charset val="238"/>
    </font>
    <font>
      <sz val="11"/>
      <color theme="1"/>
      <name val="Arial"/>
      <family val="2"/>
      <charset val="238"/>
    </font>
    <font>
      <b/>
      <sz val="11"/>
      <color rgb="FF006100"/>
      <name val="Arial"/>
      <family val="2"/>
      <charset val="238"/>
    </font>
    <font>
      <b/>
      <sz val="11"/>
      <color theme="1"/>
      <name val="Arial"/>
      <family val="2"/>
      <charset val="238"/>
    </font>
    <font>
      <i/>
      <sz val="11"/>
      <color theme="1"/>
      <name val="Arial"/>
      <family val="2"/>
      <charset val="238"/>
    </font>
    <font>
      <sz val="10"/>
      <name val="Arial"/>
      <family val="2"/>
      <charset val="238"/>
    </font>
    <font>
      <sz val="10"/>
      <name val="Arial"/>
    </font>
    <font>
      <b/>
      <i/>
      <sz val="7"/>
      <name val="Arial"/>
      <family val="2"/>
    </font>
    <font>
      <sz val="7"/>
      <name val="Arial"/>
      <family val="2"/>
    </font>
    <font>
      <sz val="11"/>
      <name val="Arial"/>
      <family val="2"/>
    </font>
    <font>
      <b/>
      <sz val="11"/>
      <name val="Arial"/>
      <family val="2"/>
    </font>
    <font>
      <b/>
      <i/>
      <sz val="12"/>
      <name val="Arial"/>
      <family val="2"/>
    </font>
    <font>
      <sz val="11"/>
      <name val="Calibri"/>
      <family val="2"/>
      <scheme val="minor"/>
    </font>
    <font>
      <sz val="12"/>
      <name val="Arial"/>
      <family val="2"/>
    </font>
  </fonts>
  <fills count="20">
    <fill>
      <patternFill patternType="none"/>
    </fill>
    <fill>
      <patternFill patternType="gray125"/>
    </fill>
    <fill>
      <patternFill patternType="solid">
        <fgColor rgb="FFC6EFCE"/>
      </patternFill>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indexed="15"/>
        <bgColor indexed="64"/>
      </patternFill>
    </fill>
    <fill>
      <patternFill patternType="solid">
        <fgColor indexed="22"/>
        <bgColor indexed="27"/>
      </patternFill>
    </fill>
    <fill>
      <patternFill patternType="solid">
        <fgColor indexed="2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C0C0C0"/>
        <bgColor indexed="27"/>
      </patternFill>
    </fill>
    <fill>
      <patternFill patternType="solid">
        <fgColor rgb="FFC0C0C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right/>
      <top style="thin">
        <color auto="1"/>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double">
        <color auto="1"/>
      </top>
      <bottom/>
      <diagonal/>
    </border>
    <border>
      <left/>
      <right/>
      <top style="double">
        <color auto="1"/>
      </top>
      <bottom style="thin">
        <color indexed="64"/>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right/>
      <top style="medium">
        <color indexed="64"/>
      </top>
      <bottom style="double">
        <color indexed="64"/>
      </bottom>
      <diagonal/>
    </border>
    <border>
      <left/>
      <right style="medium">
        <color indexed="64"/>
      </right>
      <top/>
      <bottom style="double">
        <color indexed="64"/>
      </bottom>
      <diagonal/>
    </border>
    <border>
      <left style="medium">
        <color indexed="64"/>
      </left>
      <right/>
      <top style="medium">
        <color indexed="64"/>
      </top>
      <bottom style="double">
        <color indexed="64"/>
      </bottom>
      <diagonal/>
    </border>
    <border>
      <left style="medium">
        <color indexed="64"/>
      </left>
      <right/>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double">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s>
  <cellStyleXfs count="29">
    <xf numFmtId="0" fontId="0" fillId="0" borderId="0"/>
    <xf numFmtId="0" fontId="4" fillId="2" borderId="0" applyNumberFormat="0" applyBorder="0" applyAlignment="0" applyProtection="0"/>
    <xf numFmtId="0" fontId="20" fillId="0" borderId="0"/>
    <xf numFmtId="0" fontId="3" fillId="0" borderId="0"/>
    <xf numFmtId="0" fontId="3" fillId="0" borderId="0"/>
    <xf numFmtId="0" fontId="11" fillId="0" borderId="0"/>
    <xf numFmtId="0" fontId="38" fillId="0" borderId="0"/>
    <xf numFmtId="0" fontId="11" fillId="0" borderId="0"/>
    <xf numFmtId="0" fontId="40" fillId="0" borderId="0"/>
    <xf numFmtId="9" fontId="40" fillId="0" borderId="0" applyFill="0" applyBorder="0" applyAlignment="0" applyProtection="0"/>
    <xf numFmtId="0" fontId="53" fillId="0" borderId="0"/>
    <xf numFmtId="0" fontId="53" fillId="0" borderId="0"/>
    <xf numFmtId="0" fontId="55" fillId="0" borderId="0">
      <protection locked="0"/>
    </xf>
    <xf numFmtId="0" fontId="2" fillId="0" borderId="0"/>
    <xf numFmtId="0" fontId="2" fillId="0" borderId="0"/>
    <xf numFmtId="0" fontId="53" fillId="0" borderId="0"/>
    <xf numFmtId="0" fontId="70" fillId="0" borderId="0">
      <alignment horizontal="left" vertical="top" wrapText="1" readingOrder="1"/>
    </xf>
    <xf numFmtId="0" fontId="71" fillId="0" borderId="0" applyNumberFormat="0" applyFont="0" applyFill="0" applyBorder="0" applyAlignment="0" applyProtection="0">
      <alignment vertical="top"/>
    </xf>
    <xf numFmtId="170" fontId="11" fillId="0" borderId="0" applyFill="0" applyBorder="0" applyAlignment="0" applyProtection="0"/>
    <xf numFmtId="0" fontId="11" fillId="0" borderId="0"/>
    <xf numFmtId="0" fontId="74" fillId="0" borderId="0">
      <alignment horizontal="left" vertical="top" wrapText="1" readingOrder="1"/>
    </xf>
    <xf numFmtId="0" fontId="76" fillId="0" borderId="0"/>
    <xf numFmtId="0" fontId="53" fillId="0" borderId="0"/>
    <xf numFmtId="0" fontId="40" fillId="0" borderId="0"/>
    <xf numFmtId="0" fontId="53" fillId="0" borderId="0"/>
    <xf numFmtId="0" fontId="11" fillId="0" borderId="0"/>
    <xf numFmtId="0" fontId="98" fillId="0" borderId="0"/>
    <xf numFmtId="170" fontId="99" fillId="0" borderId="0" applyFill="0" applyBorder="0" applyAlignment="0" applyProtection="0"/>
    <xf numFmtId="0" fontId="1" fillId="0" borderId="0"/>
  </cellStyleXfs>
  <cellXfs count="2051">
    <xf numFmtId="0" fontId="0" fillId="0" borderId="0" xfId="0"/>
    <xf numFmtId="0" fontId="17" fillId="0" borderId="0" xfId="2" applyFont="1" applyFill="1" applyBorder="1" applyAlignment="1">
      <alignment horizontal="right"/>
    </xf>
    <xf numFmtId="4" fontId="17" fillId="0" borderId="0" xfId="2" applyNumberFormat="1" applyFont="1" applyFill="1" applyBorder="1" applyAlignment="1">
      <alignment wrapText="1"/>
    </xf>
    <xf numFmtId="0" fontId="17" fillId="0" borderId="3" xfId="2" applyFont="1" applyFill="1" applyBorder="1" applyAlignment="1">
      <alignment horizontal="justify" vertical="top" wrapText="1"/>
    </xf>
    <xf numFmtId="0" fontId="17" fillId="0" borderId="0" xfId="2" applyFont="1" applyFill="1" applyBorder="1" applyAlignment="1">
      <alignment horizontal="left" vertical="top" wrapText="1"/>
    </xf>
    <xf numFmtId="0" fontId="17" fillId="0" borderId="0" xfId="2" applyFont="1" applyFill="1" applyBorder="1" applyAlignment="1">
      <alignment horizontal="justify" vertical="center" wrapText="1"/>
    </xf>
    <xf numFmtId="0" fontId="13" fillId="0" borderId="0" xfId="3" applyNumberFormat="1" applyFont="1" applyFill="1" applyBorder="1" applyAlignment="1">
      <alignment vertical="top"/>
    </xf>
    <xf numFmtId="49" fontId="14" fillId="0" borderId="0" xfId="3" applyNumberFormat="1" applyFont="1" applyFill="1" applyBorder="1" applyAlignment="1">
      <alignment horizontal="left" vertical="top"/>
    </xf>
    <xf numFmtId="0" fontId="15" fillId="0" borderId="0" xfId="3" applyFont="1" applyFill="1" applyBorder="1" applyAlignment="1">
      <alignment vertical="top"/>
    </xf>
    <xf numFmtId="3" fontId="15" fillId="0" borderId="0" xfId="3" applyNumberFormat="1" applyFont="1" applyFill="1" applyBorder="1" applyAlignment="1">
      <alignment horizontal="center" vertical="top"/>
    </xf>
    <xf numFmtId="0" fontId="14" fillId="0" borderId="0" xfId="3" applyNumberFormat="1" applyFont="1" applyFill="1" applyBorder="1" applyAlignment="1">
      <alignment vertical="top"/>
    </xf>
    <xf numFmtId="0" fontId="5" fillId="0" borderId="0" xfId="3" applyFont="1" applyFill="1"/>
    <xf numFmtId="0" fontId="7" fillId="0" borderId="0" xfId="3" applyFont="1" applyFill="1" applyAlignment="1">
      <alignment vertical="top"/>
    </xf>
    <xf numFmtId="0" fontId="7" fillId="0" borderId="0" xfId="3" applyNumberFormat="1" applyFont="1" applyFill="1" applyAlignment="1">
      <alignment vertical="top"/>
    </xf>
    <xf numFmtId="49" fontId="7" fillId="0" borderId="0" xfId="3" applyNumberFormat="1" applyFont="1" applyFill="1" applyAlignment="1">
      <alignment horizontal="left" vertical="top" wrapText="1"/>
    </xf>
    <xf numFmtId="0" fontId="8" fillId="0" borderId="0" xfId="3" applyFont="1" applyFill="1" applyAlignment="1">
      <alignment vertical="top"/>
    </xf>
    <xf numFmtId="3" fontId="8" fillId="0" borderId="0" xfId="3" applyNumberFormat="1" applyFont="1" applyFill="1" applyAlignment="1">
      <alignment horizontal="center" vertical="top"/>
    </xf>
    <xf numFmtId="49" fontId="9" fillId="0" borderId="0" xfId="3" applyNumberFormat="1" applyFont="1" applyFill="1" applyBorder="1" applyAlignment="1">
      <alignment vertical="top"/>
    </xf>
    <xf numFmtId="0" fontId="9" fillId="0" borderId="0" xfId="3" applyNumberFormat="1" applyFont="1" applyFill="1" applyBorder="1" applyAlignment="1">
      <alignment vertical="top"/>
    </xf>
    <xf numFmtId="0" fontId="9" fillId="0" borderId="0" xfId="3" applyNumberFormat="1" applyFont="1" applyFill="1" applyBorder="1" applyAlignment="1">
      <alignment horizontal="left" vertical="top" wrapText="1"/>
    </xf>
    <xf numFmtId="0" fontId="9" fillId="0" borderId="0" xfId="3" applyFont="1" applyFill="1" applyBorder="1" applyAlignment="1">
      <alignment vertical="top"/>
    </xf>
    <xf numFmtId="3" fontId="9" fillId="0" borderId="0" xfId="3" applyNumberFormat="1" applyFont="1" applyFill="1" applyBorder="1" applyAlignment="1">
      <alignment horizontal="right" vertical="top"/>
    </xf>
    <xf numFmtId="164" fontId="9" fillId="0" borderId="0" xfId="3" applyNumberFormat="1" applyFont="1" applyFill="1" applyBorder="1" applyAlignment="1">
      <alignment horizontal="center" vertical="top"/>
    </xf>
    <xf numFmtId="4" fontId="5" fillId="0" borderId="0" xfId="3" applyNumberFormat="1" applyFont="1" applyFill="1" applyAlignment="1">
      <alignment vertical="top"/>
    </xf>
    <xf numFmtId="0" fontId="5" fillId="0" borderId="0" xfId="3" applyFont="1" applyFill="1" applyAlignment="1">
      <alignment vertical="top"/>
    </xf>
    <xf numFmtId="0" fontId="10" fillId="0" borderId="0" xfId="3" applyNumberFormat="1" applyFont="1" applyFill="1" applyBorder="1" applyAlignment="1">
      <alignment vertical="top"/>
    </xf>
    <xf numFmtId="0" fontId="10" fillId="0" borderId="0" xfId="3" applyNumberFormat="1" applyFont="1" applyFill="1" applyBorder="1" applyAlignment="1">
      <alignment horizontal="left" vertical="top" wrapText="1"/>
    </xf>
    <xf numFmtId="0" fontId="11" fillId="0" borderId="0" xfId="3" applyFont="1" applyFill="1" applyBorder="1" applyAlignment="1">
      <alignment vertical="top"/>
    </xf>
    <xf numFmtId="3" fontId="11" fillId="0" borderId="0" xfId="3" applyNumberFormat="1" applyFont="1" applyFill="1" applyBorder="1" applyAlignment="1">
      <alignment horizontal="right" vertical="top"/>
    </xf>
    <xf numFmtId="0" fontId="12" fillId="0" borderId="0" xfId="3" applyNumberFormat="1" applyFont="1" applyFill="1" applyBorder="1" applyAlignment="1">
      <alignment horizontal="right" vertical="top" wrapText="1"/>
    </xf>
    <xf numFmtId="0" fontId="12" fillId="0" borderId="0" xfId="3" applyFont="1" applyFill="1" applyBorder="1" applyAlignment="1">
      <alignment vertical="top"/>
    </xf>
    <xf numFmtId="3" fontId="12" fillId="0" borderId="0" xfId="3" applyNumberFormat="1" applyFont="1" applyFill="1" applyBorder="1" applyAlignment="1">
      <alignment horizontal="right" vertical="top"/>
    </xf>
    <xf numFmtId="0" fontId="7" fillId="0" borderId="0" xfId="3" applyFont="1" applyFill="1" applyBorder="1" applyAlignment="1">
      <alignment vertical="top"/>
    </xf>
    <xf numFmtId="0" fontId="8" fillId="0" borderId="0" xfId="3" applyNumberFormat="1" applyFont="1" applyFill="1" applyBorder="1" applyAlignment="1">
      <alignment vertical="top"/>
    </xf>
    <xf numFmtId="0" fontId="8" fillId="0" borderId="2" xfId="3" applyFont="1" applyFill="1" applyBorder="1" applyAlignment="1">
      <alignment horizontal="left" vertical="top" wrapText="1"/>
    </xf>
    <xf numFmtId="0" fontId="8" fillId="0" borderId="2" xfId="3" applyFont="1" applyFill="1" applyBorder="1" applyAlignment="1">
      <alignment horizontal="right" vertical="top"/>
    </xf>
    <xf numFmtId="3" fontId="8" fillId="0" borderId="2" xfId="3" applyNumberFormat="1" applyFont="1" applyFill="1" applyBorder="1" applyAlignment="1">
      <alignment horizontal="right" vertical="top"/>
    </xf>
    <xf numFmtId="0" fontId="8" fillId="0" borderId="2" xfId="3" applyFont="1" applyFill="1" applyBorder="1" applyAlignment="1">
      <alignment vertical="top"/>
    </xf>
    <xf numFmtId="4" fontId="5" fillId="0" borderId="0" xfId="3" applyNumberFormat="1" applyFont="1" applyFill="1"/>
    <xf numFmtId="49" fontId="7" fillId="0" borderId="0" xfId="3" applyNumberFormat="1" applyFont="1" applyFill="1" applyBorder="1" applyAlignment="1">
      <alignment vertical="top"/>
    </xf>
    <xf numFmtId="0" fontId="7" fillId="0" borderId="0" xfId="3" applyNumberFormat="1" applyFont="1" applyFill="1" applyBorder="1" applyAlignment="1">
      <alignment vertical="top"/>
    </xf>
    <xf numFmtId="49" fontId="7" fillId="0" borderId="0" xfId="3" applyNumberFormat="1" applyFont="1" applyFill="1" applyBorder="1" applyAlignment="1">
      <alignment horizontal="left" vertical="top" wrapText="1"/>
    </xf>
    <xf numFmtId="0" fontId="8" fillId="0" borderId="0" xfId="3" applyFont="1" applyFill="1" applyBorder="1" applyAlignment="1">
      <alignment vertical="top"/>
    </xf>
    <xf numFmtId="3" fontId="8" fillId="0" borderId="0" xfId="3" applyNumberFormat="1" applyFont="1" applyFill="1" applyBorder="1" applyAlignment="1">
      <alignment horizontal="center" vertical="top"/>
    </xf>
    <xf numFmtId="164" fontId="7" fillId="0" borderId="0" xfId="3" applyNumberFormat="1" applyFont="1" applyFill="1" applyBorder="1" applyAlignment="1">
      <alignment horizontal="right" vertical="top"/>
    </xf>
    <xf numFmtId="0" fontId="14" fillId="0" borderId="0" xfId="3" applyFont="1" applyFill="1" applyBorder="1" applyAlignment="1">
      <alignment vertical="top"/>
    </xf>
    <xf numFmtId="0" fontId="16" fillId="0" borderId="0" xfId="3" applyNumberFormat="1" applyFont="1" applyFill="1" applyBorder="1" applyAlignment="1">
      <alignment vertical="top"/>
    </xf>
    <xf numFmtId="3" fontId="16" fillId="0" borderId="0" xfId="3" applyNumberFormat="1" applyFont="1" applyFill="1" applyBorder="1" applyAlignment="1">
      <alignment vertical="top"/>
    </xf>
    <xf numFmtId="0" fontId="21" fillId="0" borderId="0" xfId="3" applyNumberFormat="1" applyFont="1" applyFill="1" applyBorder="1" applyAlignment="1">
      <alignment vertical="top"/>
    </xf>
    <xf numFmtId="0" fontId="14" fillId="0" borderId="5" xfId="3" applyFont="1" applyFill="1" applyBorder="1" applyAlignment="1">
      <alignment vertical="top"/>
    </xf>
    <xf numFmtId="0" fontId="13" fillId="0" borderId="5" xfId="3" applyNumberFormat="1" applyFont="1" applyFill="1" applyBorder="1" applyAlignment="1">
      <alignment vertical="top"/>
    </xf>
    <xf numFmtId="0" fontId="21" fillId="0" borderId="5" xfId="3" applyNumberFormat="1" applyFont="1" applyFill="1" applyBorder="1" applyAlignment="1">
      <alignment vertical="top"/>
    </xf>
    <xf numFmtId="0" fontId="16" fillId="0" borderId="5" xfId="3" applyNumberFormat="1" applyFont="1" applyFill="1" applyBorder="1" applyAlignment="1">
      <alignment vertical="top"/>
    </xf>
    <xf numFmtId="3" fontId="16" fillId="0" borderId="5" xfId="3" applyNumberFormat="1" applyFont="1" applyFill="1" applyBorder="1" applyAlignment="1">
      <alignment vertical="top"/>
    </xf>
    <xf numFmtId="0" fontId="15" fillId="0" borderId="3" xfId="3" applyFont="1" applyFill="1" applyBorder="1" applyAlignment="1">
      <alignment vertical="top"/>
    </xf>
    <xf numFmtId="49" fontId="15" fillId="0" borderId="3" xfId="3" applyNumberFormat="1" applyFont="1" applyFill="1" applyBorder="1" applyAlignment="1">
      <alignment horizontal="left" vertical="top" wrapText="1"/>
    </xf>
    <xf numFmtId="3" fontId="15" fillId="0" borderId="3" xfId="3" applyNumberFormat="1" applyFont="1" applyFill="1" applyBorder="1" applyAlignment="1">
      <alignment horizontal="center" vertical="top"/>
    </xf>
    <xf numFmtId="0" fontId="15" fillId="0" borderId="3" xfId="3" applyNumberFormat="1" applyFont="1" applyFill="1" applyBorder="1" applyAlignment="1">
      <alignment horizontal="center" vertical="top"/>
    </xf>
    <xf numFmtId="49" fontId="15" fillId="0" borderId="0" xfId="3" applyNumberFormat="1" applyFont="1" applyFill="1" applyBorder="1" applyAlignment="1">
      <alignment horizontal="left" vertical="top" wrapText="1"/>
    </xf>
    <xf numFmtId="0" fontId="15" fillId="0" borderId="0" xfId="3" applyNumberFormat="1" applyFont="1" applyFill="1" applyBorder="1" applyAlignment="1">
      <alignment horizontal="center" vertical="top"/>
    </xf>
    <xf numFmtId="49" fontId="17" fillId="0" borderId="0" xfId="3" applyNumberFormat="1" applyFont="1" applyFill="1" applyBorder="1" applyAlignment="1">
      <alignment horizontal="right" vertical="top"/>
    </xf>
    <xf numFmtId="0" fontId="18" fillId="0" borderId="0" xfId="3" applyFont="1" applyFill="1" applyBorder="1" applyAlignment="1">
      <alignment horizontal="left" vertical="center"/>
    </xf>
    <xf numFmtId="0" fontId="18" fillId="0" borderId="0" xfId="3" applyFont="1" applyFill="1" applyBorder="1" applyAlignment="1">
      <alignment vertical="center"/>
    </xf>
    <xf numFmtId="0" fontId="17" fillId="0" borderId="0" xfId="3" applyFont="1" applyFill="1" applyBorder="1" applyAlignment="1">
      <alignment horizontal="center"/>
    </xf>
    <xf numFmtId="4" fontId="17" fillId="0" borderId="0" xfId="3" applyNumberFormat="1" applyFont="1" applyFill="1" applyBorder="1"/>
    <xf numFmtId="0" fontId="17" fillId="0" borderId="0" xfId="3" applyFont="1" applyFill="1" applyBorder="1" applyAlignment="1">
      <alignment horizontal="left" vertical="top"/>
    </xf>
    <xf numFmtId="0" fontId="18" fillId="0" borderId="0" xfId="3" applyFont="1" applyFill="1" applyBorder="1" applyAlignment="1">
      <alignment vertical="top"/>
    </xf>
    <xf numFmtId="49" fontId="13" fillId="0" borderId="0" xfId="3" applyNumberFormat="1" applyFont="1" applyBorder="1" applyAlignment="1">
      <alignment horizontal="right" vertical="top"/>
    </xf>
    <xf numFmtId="0" fontId="19" fillId="0" borderId="0" xfId="3" applyFont="1" applyBorder="1" applyAlignment="1">
      <alignment horizontal="left" vertical="top"/>
    </xf>
    <xf numFmtId="0" fontId="19" fillId="0" borderId="0" xfId="3" applyFont="1" applyBorder="1" applyAlignment="1">
      <alignment vertical="top" wrapText="1"/>
    </xf>
    <xf numFmtId="0" fontId="19" fillId="0" borderId="0" xfId="3" applyFont="1" applyBorder="1" applyAlignment="1">
      <alignment horizontal="center"/>
    </xf>
    <xf numFmtId="4" fontId="19" fillId="0" borderId="0" xfId="3" applyNumberFormat="1" applyFont="1" applyBorder="1"/>
    <xf numFmtId="0" fontId="3" fillId="0" borderId="0" xfId="3"/>
    <xf numFmtId="0" fontId="13" fillId="0" borderId="0" xfId="3" applyFont="1" applyBorder="1" applyAlignment="1">
      <alignment horizontal="right" vertical="top"/>
    </xf>
    <xf numFmtId="4" fontId="17" fillId="0" borderId="0" xfId="3" applyNumberFormat="1" applyFont="1" applyBorder="1"/>
    <xf numFmtId="4" fontId="19" fillId="0" borderId="0" xfId="3" applyNumberFormat="1" applyFont="1" applyBorder="1" applyAlignment="1">
      <alignment vertical="top" wrapText="1"/>
    </xf>
    <xf numFmtId="0" fontId="19" fillId="0" borderId="0" xfId="3" applyFont="1" applyBorder="1" applyAlignment="1">
      <alignment vertical="top"/>
    </xf>
    <xf numFmtId="0" fontId="17" fillId="0" borderId="0" xfId="3" applyFont="1" applyFill="1" applyBorder="1" applyAlignment="1">
      <alignment vertical="top" wrapText="1"/>
    </xf>
    <xf numFmtId="0" fontId="17" fillId="0" borderId="0" xfId="3" applyFont="1" applyFill="1" applyBorder="1" applyAlignment="1">
      <alignment vertical="top"/>
    </xf>
    <xf numFmtId="49" fontId="13" fillId="0" borderId="0" xfId="3" applyNumberFormat="1" applyFont="1" applyFill="1" applyBorder="1" applyAlignment="1">
      <alignment horizontal="right" vertical="top"/>
    </xf>
    <xf numFmtId="0" fontId="17" fillId="0" borderId="0" xfId="3" applyFont="1" applyFill="1" applyBorder="1" applyAlignment="1">
      <alignment horizontal="left"/>
    </xf>
    <xf numFmtId="0" fontId="17" fillId="0" borderId="3" xfId="3" applyFont="1" applyFill="1" applyBorder="1" applyAlignment="1">
      <alignment vertical="top"/>
    </xf>
    <xf numFmtId="0" fontId="17" fillId="0" borderId="3" xfId="3" applyFont="1" applyFill="1" applyBorder="1" applyAlignment="1">
      <alignment horizontal="center"/>
    </xf>
    <xf numFmtId="4" fontId="17" fillId="0" borderId="3" xfId="3" applyNumberFormat="1" applyFont="1" applyFill="1" applyBorder="1"/>
    <xf numFmtId="165" fontId="17" fillId="0" borderId="0" xfId="3" applyNumberFormat="1" applyFont="1" applyFill="1" applyBorder="1"/>
    <xf numFmtId="0" fontId="17" fillId="0" borderId="0" xfId="3" applyFont="1" applyFill="1" applyBorder="1" applyAlignment="1">
      <alignment horizontal="left" vertical="center" wrapText="1"/>
    </xf>
    <xf numFmtId="0" fontId="17" fillId="0" borderId="0" xfId="3" applyFont="1" applyFill="1" applyBorder="1" applyAlignment="1">
      <alignment horizontal="right"/>
    </xf>
    <xf numFmtId="4" fontId="17" fillId="0" borderId="0" xfId="3" applyNumberFormat="1" applyFont="1" applyFill="1" applyBorder="1" applyAlignment="1">
      <alignment wrapText="1"/>
    </xf>
    <xf numFmtId="0" fontId="19" fillId="0" borderId="0" xfId="3" applyFont="1" applyFill="1" applyBorder="1" applyAlignment="1">
      <alignment vertical="top"/>
    </xf>
    <xf numFmtId="0" fontId="19" fillId="0" borderId="0" xfId="3" applyFont="1" applyFill="1" applyBorder="1" applyAlignment="1">
      <alignment horizontal="center"/>
    </xf>
    <xf numFmtId="4" fontId="19" fillId="0" borderId="0" xfId="3" applyNumberFormat="1" applyFont="1" applyFill="1" applyBorder="1"/>
    <xf numFmtId="0" fontId="19" fillId="0" borderId="0" xfId="3" applyFont="1" applyFill="1" applyBorder="1" applyAlignment="1">
      <alignment vertical="top" wrapText="1"/>
    </xf>
    <xf numFmtId="0" fontId="19" fillId="0" borderId="0" xfId="3" applyFont="1" applyFill="1" applyBorder="1" applyAlignment="1">
      <alignment horizontal="left" vertical="top"/>
    </xf>
    <xf numFmtId="0" fontId="17" fillId="0" borderId="0" xfId="3" applyFont="1" applyBorder="1" applyAlignment="1">
      <alignment vertical="top" wrapText="1"/>
    </xf>
    <xf numFmtId="0" fontId="19" fillId="0" borderId="0" xfId="3" applyFont="1" applyBorder="1"/>
    <xf numFmtId="0" fontId="17" fillId="0" borderId="0" xfId="3" applyFont="1" applyBorder="1"/>
    <xf numFmtId="0" fontId="17" fillId="0" borderId="0" xfId="2" applyFont="1" applyFill="1" applyBorder="1" applyAlignment="1">
      <alignment horizontal="left" vertical="center" wrapText="1"/>
    </xf>
    <xf numFmtId="4" fontId="17" fillId="0" borderId="0" xfId="3" applyNumberFormat="1" applyFont="1" applyFill="1" applyBorder="1" applyAlignment="1"/>
    <xf numFmtId="0" fontId="26" fillId="0" borderId="0" xfId="3" applyFont="1" applyFill="1" applyBorder="1" applyAlignment="1">
      <alignment vertical="top"/>
    </xf>
    <xf numFmtId="0" fontId="17" fillId="0" borderId="0" xfId="2" applyFont="1" applyFill="1" applyBorder="1" applyAlignment="1">
      <alignment horizontal="center"/>
    </xf>
    <xf numFmtId="0" fontId="17" fillId="0" borderId="0" xfId="2" applyFont="1" applyFill="1" applyBorder="1" applyAlignment="1">
      <alignment horizontal="left" vertical="top"/>
    </xf>
    <xf numFmtId="4" fontId="17" fillId="0" borderId="0" xfId="2" applyNumberFormat="1" applyFont="1" applyFill="1" applyBorder="1" applyAlignment="1">
      <alignment horizontal="right" wrapText="1"/>
    </xf>
    <xf numFmtId="0" fontId="17" fillId="0" borderId="0" xfId="2" applyFont="1" applyFill="1" applyBorder="1" applyAlignment="1">
      <alignment horizontal="justify" vertical="top" wrapText="1"/>
    </xf>
    <xf numFmtId="0" fontId="17" fillId="0" borderId="0" xfId="2" applyFont="1" applyFill="1" applyBorder="1" applyAlignment="1">
      <alignment horizontal="justify" wrapText="1"/>
    </xf>
    <xf numFmtId="0" fontId="18" fillId="0" borderId="0" xfId="3" applyFont="1" applyFill="1" applyBorder="1" applyAlignment="1">
      <alignment vertical="center" wrapText="1"/>
    </xf>
    <xf numFmtId="0" fontId="18" fillId="0" borderId="0" xfId="3" applyFont="1" applyFill="1" applyBorder="1" applyAlignment="1">
      <alignment vertical="top" wrapText="1"/>
    </xf>
    <xf numFmtId="0" fontId="17" fillId="0" borderId="0" xfId="2" applyFont="1" applyFill="1" applyBorder="1" applyAlignment="1">
      <alignment vertical="top" wrapText="1"/>
    </xf>
    <xf numFmtId="0" fontId="18" fillId="0" borderId="0" xfId="2" applyFont="1" applyFill="1" applyBorder="1" applyAlignment="1">
      <alignment horizontal="justify" vertical="top" wrapText="1"/>
    </xf>
    <xf numFmtId="4" fontId="18" fillId="0" borderId="0" xfId="3" applyNumberFormat="1" applyFont="1" applyFill="1" applyBorder="1"/>
    <xf numFmtId="0" fontId="17" fillId="0" borderId="0" xfId="2" applyFont="1" applyFill="1" applyBorder="1" applyAlignment="1">
      <alignment horizontal="left" wrapText="1"/>
    </xf>
    <xf numFmtId="0" fontId="19" fillId="0" borderId="0" xfId="3" applyFont="1" applyFill="1" applyAlignment="1" applyProtection="1">
      <alignment horizontal="left" vertical="top" wrapText="1"/>
    </xf>
    <xf numFmtId="0" fontId="17" fillId="0" borderId="0" xfId="2" applyFont="1" applyFill="1" applyBorder="1" applyAlignment="1">
      <alignment vertical="center" wrapText="1"/>
    </xf>
    <xf numFmtId="0" fontId="8" fillId="0" borderId="0" xfId="3" applyNumberFormat="1" applyFont="1" applyFill="1" applyBorder="1" applyAlignment="1">
      <alignment horizontal="left" vertical="top"/>
    </xf>
    <xf numFmtId="0" fontId="8" fillId="0" borderId="0" xfId="3" applyFont="1" applyFill="1" applyBorder="1" applyAlignment="1">
      <alignment horizontal="right" vertical="top"/>
    </xf>
    <xf numFmtId="3" fontId="8" fillId="0" borderId="0" xfId="3" applyNumberFormat="1" applyFont="1" applyFill="1" applyBorder="1" applyAlignment="1">
      <alignment horizontal="right" vertical="top"/>
    </xf>
    <xf numFmtId="0" fontId="27" fillId="0" borderId="0" xfId="3" applyNumberFormat="1" applyFont="1" applyFill="1" applyBorder="1" applyAlignment="1">
      <alignment vertical="top"/>
    </xf>
    <xf numFmtId="0" fontId="13" fillId="0" borderId="0" xfId="3" applyNumberFormat="1" applyFont="1" applyBorder="1" applyAlignment="1">
      <alignment horizontal="right" vertical="top"/>
    </xf>
    <xf numFmtId="0" fontId="28" fillId="0" borderId="0" xfId="3" applyNumberFormat="1" applyFont="1" applyBorder="1" applyAlignment="1">
      <alignment horizontal="left" vertical="top"/>
    </xf>
    <xf numFmtId="0" fontId="13" fillId="0" borderId="0" xfId="3" applyNumberFormat="1" applyFont="1" applyBorder="1" applyAlignment="1">
      <alignment horizontal="left" vertical="top" wrapText="1"/>
    </xf>
    <xf numFmtId="0" fontId="29" fillId="0" borderId="0" xfId="3" applyFont="1" applyBorder="1" applyAlignment="1">
      <alignment vertical="top"/>
    </xf>
    <xf numFmtId="3" fontId="29" fillId="0" borderId="0" xfId="3" applyNumberFormat="1" applyFont="1" applyBorder="1" applyAlignment="1">
      <alignment horizontal="center" vertical="top"/>
    </xf>
    <xf numFmtId="4" fontId="27" fillId="0" borderId="0" xfId="3" applyNumberFormat="1" applyFont="1" applyBorder="1" applyAlignment="1">
      <alignment horizontal="center" vertical="top"/>
    </xf>
    <xf numFmtId="4" fontId="10" fillId="0" borderId="9" xfId="5" applyNumberFormat="1" applyFont="1" applyBorder="1"/>
    <xf numFmtId="167" fontId="10" fillId="0" borderId="4" xfId="5" applyNumberFormat="1" applyFont="1" applyBorder="1"/>
    <xf numFmtId="0" fontId="10" fillId="0" borderId="4" xfId="5" applyFont="1" applyBorder="1"/>
    <xf numFmtId="4" fontId="10" fillId="0" borderId="12" xfId="5" applyNumberFormat="1" applyFont="1" applyBorder="1"/>
    <xf numFmtId="0" fontId="10" fillId="0" borderId="5" xfId="5" applyFont="1" applyBorder="1"/>
    <xf numFmtId="0" fontId="11" fillId="0" borderId="0" xfId="5" applyFont="1"/>
    <xf numFmtId="0" fontId="30" fillId="0" borderId="0" xfId="5" applyFont="1"/>
    <xf numFmtId="0" fontId="31" fillId="0" borderId="0" xfId="5" applyFont="1"/>
    <xf numFmtId="0" fontId="17" fillId="0" borderId="18" xfId="5" applyFont="1" applyFill="1" applyBorder="1" applyAlignment="1">
      <alignment horizontal="center"/>
    </xf>
    <xf numFmtId="0" fontId="17" fillId="0" borderId="19" xfId="5" applyFont="1" applyFill="1" applyBorder="1" applyAlignment="1">
      <alignment horizontal="center"/>
    </xf>
    <xf numFmtId="167" fontId="17" fillId="0" borderId="20" xfId="5" applyNumberFormat="1" applyFont="1" applyFill="1" applyBorder="1" applyAlignment="1">
      <alignment horizontal="center"/>
    </xf>
    <xf numFmtId="0" fontId="11" fillId="0" borderId="0" xfId="5" applyFont="1" applyFill="1"/>
    <xf numFmtId="0" fontId="18" fillId="0" borderId="17" xfId="5" applyFont="1" applyFill="1" applyBorder="1" applyAlignment="1"/>
    <xf numFmtId="0" fontId="17" fillId="0" borderId="16" xfId="5" applyFont="1" applyFill="1" applyBorder="1" applyAlignment="1"/>
    <xf numFmtId="0" fontId="17" fillId="0" borderId="15" xfId="5" applyFont="1" applyFill="1" applyBorder="1" applyAlignment="1"/>
    <xf numFmtId="0" fontId="17" fillId="0" borderId="21" xfId="5" applyFont="1" applyFill="1" applyBorder="1" applyAlignment="1">
      <alignment horizontal="center" vertical="center"/>
    </xf>
    <xf numFmtId="0" fontId="17" fillId="0" borderId="22" xfId="5" applyFont="1" applyFill="1" applyBorder="1" applyAlignment="1">
      <alignment horizontal="center" vertical="center"/>
    </xf>
    <xf numFmtId="2" fontId="17" fillId="0" borderId="22" xfId="5" applyNumberFormat="1" applyFont="1" applyFill="1" applyBorder="1" applyAlignment="1">
      <alignment horizontal="center" vertical="center"/>
    </xf>
    <xf numFmtId="2" fontId="17" fillId="0" borderId="23" xfId="5" applyNumberFormat="1" applyFont="1" applyFill="1" applyBorder="1" applyAlignment="1">
      <alignment horizontal="center" vertical="center"/>
    </xf>
    <xf numFmtId="0" fontId="17" fillId="0" borderId="24" xfId="5" applyFont="1" applyFill="1" applyBorder="1" applyAlignment="1">
      <alignment horizontal="center" vertical="center"/>
    </xf>
    <xf numFmtId="0" fontId="17" fillId="0" borderId="1" xfId="5" applyFont="1" applyFill="1" applyBorder="1" applyAlignment="1">
      <alignment horizontal="center" vertical="center"/>
    </xf>
    <xf numFmtId="2" fontId="17" fillId="0" borderId="1" xfId="5" applyNumberFormat="1" applyFont="1" applyFill="1" applyBorder="1" applyAlignment="1">
      <alignment horizontal="center" vertical="center"/>
    </xf>
    <xf numFmtId="2" fontId="17" fillId="0" borderId="25" xfId="5" applyNumberFormat="1" applyFont="1" applyFill="1" applyBorder="1" applyAlignment="1">
      <alignment horizontal="center" vertical="center"/>
    </xf>
    <xf numFmtId="0" fontId="18" fillId="0" borderId="11" xfId="5" applyFont="1" applyFill="1" applyBorder="1" applyAlignment="1"/>
    <xf numFmtId="0" fontId="17" fillId="0" borderId="0" xfId="5" applyFont="1" applyFill="1" applyBorder="1" applyAlignment="1"/>
    <xf numFmtId="0" fontId="11" fillId="0" borderId="0" xfId="5" applyFill="1" applyAlignment="1">
      <alignment horizontal="left" wrapText="1"/>
    </xf>
    <xf numFmtId="0" fontId="17" fillId="0" borderId="26" xfId="5" applyFont="1" applyFill="1" applyBorder="1" applyAlignment="1">
      <alignment horizontal="center" vertical="center"/>
    </xf>
    <xf numFmtId="0" fontId="17" fillId="0" borderId="27" xfId="5" applyFont="1" applyFill="1" applyBorder="1" applyAlignment="1">
      <alignment horizontal="center" vertical="center"/>
    </xf>
    <xf numFmtId="2" fontId="17" fillId="0" borderId="27" xfId="5" applyNumberFormat="1" applyFont="1" applyFill="1" applyBorder="1" applyAlignment="1">
      <alignment horizontal="center" vertical="center"/>
    </xf>
    <xf numFmtId="2" fontId="11" fillId="0" borderId="0" xfId="5" applyNumberFormat="1" applyFont="1" applyFill="1"/>
    <xf numFmtId="0" fontId="11" fillId="0" borderId="0" xfId="5" applyFill="1"/>
    <xf numFmtId="16" fontId="17" fillId="0" borderId="24" xfId="5" quotePrefix="1" applyNumberFormat="1" applyFont="1" applyFill="1" applyBorder="1" applyAlignment="1">
      <alignment horizontal="center" vertical="center"/>
    </xf>
    <xf numFmtId="4" fontId="11" fillId="0" borderId="0" xfId="5" applyNumberFormat="1" applyFill="1"/>
    <xf numFmtId="0" fontId="17" fillId="0" borderId="24" xfId="5" quotePrefix="1" applyFont="1" applyFill="1" applyBorder="1" applyAlignment="1">
      <alignment horizontal="center" vertical="center"/>
    </xf>
    <xf numFmtId="0" fontId="17" fillId="0" borderId="26" xfId="5" quotePrefix="1" applyFont="1" applyFill="1" applyBorder="1" applyAlignment="1">
      <alignment horizontal="center" vertical="center"/>
    </xf>
    <xf numFmtId="0" fontId="17" fillId="0" borderId="29" xfId="5" applyFont="1" applyFill="1" applyBorder="1" applyAlignment="1">
      <alignment horizontal="center" vertical="center"/>
    </xf>
    <xf numFmtId="0" fontId="17" fillId="0" borderId="30" xfId="5" applyFont="1" applyFill="1" applyBorder="1" applyAlignment="1">
      <alignment horizontal="center" vertical="center"/>
    </xf>
    <xf numFmtId="2" fontId="17" fillId="0" borderId="30" xfId="5" applyNumberFormat="1" applyFont="1" applyFill="1" applyBorder="1" applyAlignment="1">
      <alignment horizontal="center" vertical="center"/>
    </xf>
    <xf numFmtId="0" fontId="17" fillId="0" borderId="24" xfId="5" applyFont="1" applyFill="1" applyBorder="1" applyAlignment="1">
      <alignment horizontal="center" vertical="center" wrapText="1"/>
    </xf>
    <xf numFmtId="0" fontId="17" fillId="0" borderId="1" xfId="5" applyFont="1" applyFill="1" applyBorder="1" applyAlignment="1">
      <alignment horizontal="center" vertical="center" wrapText="1"/>
    </xf>
    <xf numFmtId="4" fontId="17" fillId="0" borderId="1" xfId="5" applyNumberFormat="1" applyFont="1" applyFill="1" applyBorder="1" applyAlignment="1">
      <alignment horizontal="center" vertical="center" wrapText="1"/>
    </xf>
    <xf numFmtId="2" fontId="17" fillId="0" borderId="1" xfId="5" applyNumberFormat="1" applyFont="1" applyFill="1" applyBorder="1" applyAlignment="1">
      <alignment horizontal="center" vertical="center" wrapText="1"/>
    </xf>
    <xf numFmtId="4" fontId="11" fillId="0" borderId="0" xfId="5" applyNumberFormat="1" applyFont="1" applyFill="1"/>
    <xf numFmtId="0" fontId="34" fillId="0" borderId="0" xfId="5" applyFont="1" applyFill="1"/>
    <xf numFmtId="0" fontId="17" fillId="0" borderId="26" xfId="5" applyFont="1" applyFill="1" applyBorder="1" applyAlignment="1">
      <alignment horizontal="center" vertical="center" wrapText="1"/>
    </xf>
    <xf numFmtId="0" fontId="17" fillId="0" borderId="27" xfId="5" applyFont="1" applyFill="1" applyBorder="1" applyAlignment="1">
      <alignment horizontal="center" vertical="center" wrapText="1"/>
    </xf>
    <xf numFmtId="4" fontId="17" fillId="0" borderId="27" xfId="5" applyNumberFormat="1" applyFont="1" applyFill="1" applyBorder="1" applyAlignment="1">
      <alignment horizontal="center" vertical="center" wrapText="1"/>
    </xf>
    <xf numFmtId="4" fontId="17" fillId="0" borderId="1" xfId="5" applyNumberFormat="1" applyFont="1" applyFill="1" applyBorder="1" applyAlignment="1">
      <alignment horizontal="center" vertical="center"/>
    </xf>
    <xf numFmtId="0" fontId="17" fillId="0" borderId="21" xfId="5" applyFont="1" applyFill="1" applyBorder="1" applyAlignment="1">
      <alignment horizontal="center" vertical="center" wrapText="1"/>
    </xf>
    <xf numFmtId="49" fontId="17" fillId="0" borderId="22" xfId="5" applyNumberFormat="1" applyFont="1" applyFill="1" applyBorder="1" applyAlignment="1">
      <alignment horizontal="center" vertical="center" wrapText="1"/>
    </xf>
    <xf numFmtId="4" fontId="17" fillId="0" borderId="22" xfId="5" applyNumberFormat="1" applyFont="1" applyFill="1" applyBorder="1" applyAlignment="1">
      <alignment horizontal="center" vertical="center" wrapText="1"/>
    </xf>
    <xf numFmtId="49" fontId="17" fillId="0" borderId="1" xfId="5" applyNumberFormat="1" applyFont="1" applyFill="1" applyBorder="1" applyAlignment="1">
      <alignment horizontal="center" vertical="center" wrapText="1"/>
    </xf>
    <xf numFmtId="0" fontId="17" fillId="0" borderId="24" xfId="5" applyNumberFormat="1" applyFont="1" applyFill="1" applyBorder="1" applyAlignment="1">
      <alignment horizontal="center" vertical="center" wrapText="1"/>
    </xf>
    <xf numFmtId="0" fontId="17" fillId="0" borderId="32" xfId="5" applyFont="1" applyFill="1" applyBorder="1" applyAlignment="1">
      <alignment horizontal="center" vertical="center"/>
    </xf>
    <xf numFmtId="0" fontId="17" fillId="0" borderId="33" xfId="5" applyFont="1" applyFill="1" applyBorder="1" applyAlignment="1">
      <alignment horizontal="center" vertical="center"/>
    </xf>
    <xf numFmtId="2" fontId="17" fillId="0" borderId="33" xfId="5" applyNumberFormat="1" applyFont="1" applyFill="1" applyBorder="1" applyAlignment="1">
      <alignment horizontal="center" vertical="center"/>
    </xf>
    <xf numFmtId="0" fontId="17" fillId="0" borderId="22" xfId="5" applyFont="1" applyFill="1" applyBorder="1" applyAlignment="1"/>
    <xf numFmtId="0" fontId="18" fillId="0" borderId="16" xfId="5" applyFont="1" applyFill="1" applyBorder="1" applyAlignment="1"/>
    <xf numFmtId="0" fontId="17" fillId="0" borderId="11" xfId="5" applyFont="1" applyFill="1" applyBorder="1" applyAlignment="1">
      <alignment horizontal="center" vertical="center" wrapText="1"/>
    </xf>
    <xf numFmtId="49" fontId="17" fillId="0" borderId="0" xfId="5" applyNumberFormat="1" applyFont="1" applyFill="1" applyBorder="1" applyAlignment="1">
      <alignment horizontal="center" vertical="center" wrapText="1"/>
    </xf>
    <xf numFmtId="2" fontId="36" fillId="0" borderId="0" xfId="5" applyNumberFormat="1" applyFont="1" applyFill="1" applyBorder="1" applyAlignment="1">
      <alignment horizontal="center" vertical="center" wrapText="1"/>
    </xf>
    <xf numFmtId="2" fontId="18" fillId="0" borderId="19" xfId="5" applyNumberFormat="1" applyFont="1" applyFill="1" applyBorder="1" applyAlignment="1">
      <alignment horizontal="center"/>
    </xf>
    <xf numFmtId="0" fontId="31" fillId="0" borderId="0" xfId="3" applyFont="1" applyFill="1" applyBorder="1" applyAlignment="1">
      <alignment horizontal="left" vertical="top"/>
    </xf>
    <xf numFmtId="0" fontId="31" fillId="0" borderId="0" xfId="3" applyNumberFormat="1" applyFont="1" applyFill="1" applyBorder="1" applyAlignment="1">
      <alignment vertical="top"/>
    </xf>
    <xf numFmtId="0" fontId="31" fillId="0" borderId="0" xfId="3" applyFont="1" applyFill="1" applyBorder="1" applyAlignment="1">
      <alignment vertical="top"/>
    </xf>
    <xf numFmtId="3" fontId="31" fillId="0" borderId="0" xfId="3" applyNumberFormat="1" applyFont="1" applyFill="1" applyBorder="1" applyAlignment="1">
      <alignment horizontal="center" vertical="top"/>
    </xf>
    <xf numFmtId="0" fontId="31" fillId="0" borderId="0" xfId="3" applyNumberFormat="1" applyFont="1" applyFill="1" applyBorder="1" applyAlignment="1">
      <alignment horizontal="left" vertical="top"/>
    </xf>
    <xf numFmtId="49" fontId="37" fillId="0" borderId="0" xfId="3" applyNumberFormat="1" applyFont="1" applyFill="1" applyBorder="1" applyAlignment="1">
      <alignment horizontal="left" vertical="top"/>
    </xf>
    <xf numFmtId="0" fontId="37" fillId="0" borderId="0" xfId="3" applyNumberFormat="1" applyFont="1" applyFill="1" applyBorder="1" applyAlignment="1">
      <alignment vertical="top"/>
    </xf>
    <xf numFmtId="0" fontId="37" fillId="0" borderId="0" xfId="3" applyFont="1" applyFill="1" applyBorder="1" applyAlignment="1">
      <alignment horizontal="left" vertical="top"/>
    </xf>
    <xf numFmtId="0" fontId="6" fillId="0" borderId="6" xfId="3" applyFont="1" applyFill="1" applyBorder="1" applyAlignment="1">
      <alignment horizontal="left" vertical="top"/>
    </xf>
    <xf numFmtId="0" fontId="6" fillId="0" borderId="6" xfId="3" applyNumberFormat="1" applyFont="1" applyFill="1" applyBorder="1" applyAlignment="1">
      <alignment horizontal="left" vertical="top"/>
    </xf>
    <xf numFmtId="0" fontId="6" fillId="0" borderId="6" xfId="3" applyFont="1" applyFill="1" applyBorder="1" applyAlignment="1">
      <alignment vertical="top" wrapText="1"/>
    </xf>
    <xf numFmtId="0" fontId="6" fillId="0" borderId="6" xfId="3" applyFont="1" applyFill="1" applyBorder="1" applyAlignment="1">
      <alignment vertical="top"/>
    </xf>
    <xf numFmtId="3" fontId="6" fillId="0" borderId="6" xfId="3" applyNumberFormat="1" applyFont="1" applyFill="1" applyBorder="1" applyAlignment="1">
      <alignment horizontal="center" vertical="top"/>
    </xf>
    <xf numFmtId="0" fontId="6" fillId="0" borderId="6" xfId="3" applyNumberFormat="1" applyFont="1" applyFill="1" applyBorder="1" applyAlignment="1">
      <alignment vertical="top"/>
    </xf>
    <xf numFmtId="0" fontId="8" fillId="0" borderId="0" xfId="3" applyFont="1" applyFill="1" applyBorder="1" applyAlignment="1">
      <alignment horizontal="right" vertical="top" wrapText="1"/>
    </xf>
    <xf numFmtId="0" fontId="23" fillId="0" borderId="0" xfId="3" applyNumberFormat="1" applyFont="1" applyFill="1" applyAlignment="1">
      <alignment vertical="top"/>
    </xf>
    <xf numFmtId="49" fontId="8" fillId="0" borderId="0" xfId="3" applyNumberFormat="1" applyFont="1" applyFill="1" applyBorder="1" applyAlignment="1">
      <alignment horizontal="left" vertical="top"/>
    </xf>
    <xf numFmtId="49" fontId="8" fillId="0" borderId="0" xfId="3" applyNumberFormat="1" applyFont="1" applyFill="1" applyBorder="1" applyAlignment="1">
      <alignment horizontal="left" vertical="top" wrapText="1"/>
    </xf>
    <xf numFmtId="0" fontId="8" fillId="0" borderId="0" xfId="3" applyNumberFormat="1" applyFont="1" applyFill="1" applyBorder="1" applyAlignment="1">
      <alignment horizontal="center" vertical="top"/>
    </xf>
    <xf numFmtId="0" fontId="12" fillId="0" borderId="0" xfId="3" applyNumberFormat="1" applyFont="1" applyFill="1" applyBorder="1" applyAlignment="1">
      <alignment horizontal="left" vertical="top" wrapText="1"/>
    </xf>
    <xf numFmtId="0" fontId="12" fillId="0" borderId="0" xfId="3" applyFont="1" applyFill="1" applyBorder="1" applyAlignment="1">
      <alignment horizontal="right" vertical="top"/>
    </xf>
    <xf numFmtId="0" fontId="5" fillId="4" borderId="0" xfId="3" applyFont="1" applyFill="1"/>
    <xf numFmtId="167" fontId="10" fillId="0" borderId="18" xfId="5" applyNumberFormat="1" applyFont="1" applyBorder="1"/>
    <xf numFmtId="167" fontId="10" fillId="0" borderId="19" xfId="5" applyNumberFormat="1" applyFont="1" applyBorder="1"/>
    <xf numFmtId="4" fontId="10" fillId="0" borderId="20" xfId="5" applyNumberFormat="1" applyFont="1" applyBorder="1"/>
    <xf numFmtId="49" fontId="31" fillId="0" borderId="0" xfId="5" applyNumberFormat="1" applyFont="1"/>
    <xf numFmtId="168" fontId="11" fillId="0" borderId="0" xfId="7" applyNumberFormat="1" applyAlignment="1">
      <alignment horizontal="right"/>
    </xf>
    <xf numFmtId="0" fontId="0" fillId="5" borderId="0" xfId="0" applyFill="1"/>
    <xf numFmtId="0" fontId="6" fillId="0" borderId="0" xfId="8" applyFont="1" applyBorder="1" applyAlignment="1">
      <alignment horizontal="left" vertical="top"/>
    </xf>
    <xf numFmtId="0" fontId="6" fillId="0" borderId="0" xfId="8" applyFont="1" applyFill="1" applyBorder="1" applyAlignment="1">
      <alignment vertical="top"/>
    </xf>
    <xf numFmtId="0" fontId="6" fillId="6" borderId="0" xfId="8" applyNumberFormat="1" applyFont="1" applyFill="1" applyBorder="1" applyAlignment="1"/>
    <xf numFmtId="9" fontId="41" fillId="6" borderId="0" xfId="9" applyFont="1" applyFill="1" applyBorder="1" applyAlignment="1">
      <alignment horizontal="center"/>
    </xf>
    <xf numFmtId="1" fontId="42" fillId="6" borderId="0" xfId="8" applyNumberFormat="1" applyFont="1" applyFill="1" applyBorder="1" applyAlignment="1">
      <alignment horizontal="center" vertical="top"/>
    </xf>
    <xf numFmtId="0" fontId="6" fillId="0" borderId="0" xfId="8" applyFont="1" applyAlignment="1">
      <alignment vertical="top"/>
    </xf>
    <xf numFmtId="0" fontId="13" fillId="0" borderId="0" xfId="8" applyNumberFormat="1" applyFont="1" applyBorder="1" applyAlignment="1">
      <alignment vertical="top"/>
    </xf>
    <xf numFmtId="0" fontId="13" fillId="0" borderId="0" xfId="8" applyNumberFormat="1" applyFont="1" applyBorder="1" applyAlignment="1">
      <alignment vertical="top" wrapText="1"/>
    </xf>
    <xf numFmtId="0" fontId="15" fillId="6" borderId="0" xfId="8" applyNumberFormat="1" applyFont="1" applyFill="1" applyBorder="1" applyAlignment="1"/>
    <xf numFmtId="1" fontId="7" fillId="6" borderId="0" xfId="8" applyNumberFormat="1" applyFont="1" applyFill="1" applyBorder="1" applyAlignment="1">
      <alignment horizontal="center" vertical="top"/>
    </xf>
    <xf numFmtId="0" fontId="13" fillId="0" borderId="0" xfId="8" applyFont="1" applyBorder="1" applyAlignment="1">
      <alignment horizontal="center" vertical="top" wrapText="1"/>
    </xf>
    <xf numFmtId="0" fontId="13" fillId="0" borderId="0" xfId="8" applyFont="1" applyAlignment="1">
      <alignment vertical="top"/>
    </xf>
    <xf numFmtId="0" fontId="14" fillId="0" borderId="0" xfId="8" applyFont="1" applyFill="1" applyBorder="1" applyAlignment="1">
      <alignment vertical="top"/>
    </xf>
    <xf numFmtId="0" fontId="15" fillId="7" borderId="0" xfId="8" applyFont="1" applyFill="1" applyBorder="1" applyAlignment="1">
      <alignment vertical="top"/>
    </xf>
    <xf numFmtId="49" fontId="15" fillId="7" borderId="0" xfId="8" applyNumberFormat="1" applyFont="1" applyFill="1" applyBorder="1" applyAlignment="1">
      <alignment horizontal="left" vertical="top" wrapText="1"/>
    </xf>
    <xf numFmtId="0" fontId="15" fillId="8" borderId="0" xfId="8" applyNumberFormat="1" applyFont="1" applyFill="1" applyBorder="1" applyAlignment="1"/>
    <xf numFmtId="9" fontId="41" fillId="8" borderId="0" xfId="9" applyFont="1" applyFill="1" applyBorder="1" applyAlignment="1">
      <alignment horizontal="center"/>
    </xf>
    <xf numFmtId="1" fontId="7" fillId="8" borderId="0" xfId="8" applyNumberFormat="1" applyFont="1" applyFill="1" applyBorder="1" applyAlignment="1">
      <alignment horizontal="center" vertical="top"/>
    </xf>
    <xf numFmtId="0" fontId="15" fillId="0" borderId="0" xfId="8" applyFont="1" applyFill="1" applyBorder="1" applyAlignment="1">
      <alignment vertical="top"/>
    </xf>
    <xf numFmtId="0" fontId="15" fillId="0" borderId="0" xfId="8" applyNumberFormat="1" applyFont="1" applyFill="1" applyBorder="1" applyAlignment="1">
      <alignment horizontal="center" vertical="top"/>
    </xf>
    <xf numFmtId="0" fontId="14" fillId="0" borderId="0" xfId="8" applyFont="1" applyBorder="1" applyAlignment="1">
      <alignment vertical="top"/>
    </xf>
    <xf numFmtId="49" fontId="14" fillId="0" borderId="0" xfId="8" applyNumberFormat="1" applyFont="1" applyBorder="1" applyAlignment="1">
      <alignment horizontal="left" vertical="top" wrapText="1"/>
    </xf>
    <xf numFmtId="0" fontId="43" fillId="0" borderId="6" xfId="8" applyFont="1" applyBorder="1" applyAlignment="1">
      <alignment horizontal="left" vertical="top"/>
    </xf>
    <xf numFmtId="0" fontId="11" fillId="0" borderId="6" xfId="8" applyFont="1" applyFill="1" applyBorder="1" applyAlignment="1">
      <alignment vertical="top"/>
    </xf>
    <xf numFmtId="0" fontId="43" fillId="0" borderId="6" xfId="8" applyFont="1" applyBorder="1" applyAlignment="1">
      <alignment vertical="top" wrapText="1"/>
    </xf>
    <xf numFmtId="0" fontId="10" fillId="6" borderId="0" xfId="8" applyNumberFormat="1" applyFont="1" applyFill="1" applyBorder="1" applyAlignment="1"/>
    <xf numFmtId="1" fontId="12" fillId="6" borderId="0" xfId="8" applyNumberFormat="1" applyFont="1" applyFill="1" applyBorder="1" applyAlignment="1">
      <alignment horizontal="center" vertical="top"/>
    </xf>
    <xf numFmtId="0" fontId="11" fillId="0" borderId="0" xfId="8" applyFont="1" applyFill="1" applyBorder="1" applyAlignment="1">
      <alignment vertical="top"/>
    </xf>
    <xf numFmtId="0" fontId="14" fillId="0" borderId="0" xfId="8" applyFont="1" applyBorder="1" applyAlignment="1">
      <alignment horizontal="right" vertical="top"/>
    </xf>
    <xf numFmtId="0" fontId="14" fillId="0" borderId="0" xfId="8" applyFont="1" applyBorder="1" applyAlignment="1">
      <alignment horizontal="center" vertical="top"/>
    </xf>
    <xf numFmtId="0" fontId="13" fillId="0" borderId="0" xfId="8" applyFont="1" applyBorder="1" applyAlignment="1">
      <alignment horizontal="center" vertical="top"/>
    </xf>
    <xf numFmtId="0" fontId="13" fillId="0" borderId="0" xfId="8" applyFont="1" applyAlignment="1">
      <alignment horizontal="left" wrapText="1"/>
    </xf>
    <xf numFmtId="49" fontId="13" fillId="0" borderId="0" xfId="8" applyNumberFormat="1" applyFont="1" applyBorder="1" applyAlignment="1">
      <alignment vertical="top" wrapText="1"/>
    </xf>
    <xf numFmtId="0" fontId="13" fillId="0" borderId="0" xfId="8" applyFont="1" applyBorder="1" applyAlignment="1">
      <alignment horizontal="right" vertical="top"/>
    </xf>
    <xf numFmtId="0" fontId="13" fillId="0" borderId="0" xfId="8" applyFont="1" applyFill="1" applyBorder="1" applyAlignment="1">
      <alignment vertical="top"/>
    </xf>
    <xf numFmtId="0" fontId="14" fillId="0" borderId="0" xfId="8" applyFont="1" applyFill="1" applyBorder="1" applyAlignment="1"/>
    <xf numFmtId="0" fontId="29" fillId="0" borderId="0" xfId="8" applyFont="1" applyFill="1" applyBorder="1" applyAlignment="1">
      <alignment horizontal="center" vertical="top"/>
    </xf>
    <xf numFmtId="0" fontId="16" fillId="0" borderId="0" xfId="8" applyFont="1" applyFill="1" applyBorder="1" applyAlignment="1">
      <alignment horizontal="center" vertical="top"/>
    </xf>
    <xf numFmtId="2" fontId="7" fillId="0" borderId="0" xfId="8" applyNumberFormat="1" applyFont="1" applyFill="1" applyBorder="1" applyAlignment="1">
      <alignment horizontal="center"/>
    </xf>
    <xf numFmtId="3" fontId="44" fillId="0" borderId="0" xfId="8" applyNumberFormat="1" applyFont="1" applyFill="1" applyBorder="1" applyAlignment="1">
      <alignment vertical="top"/>
    </xf>
    <xf numFmtId="4" fontId="41" fillId="6" borderId="0" xfId="8" applyNumberFormat="1" applyFont="1" applyFill="1" applyBorder="1" applyAlignment="1"/>
    <xf numFmtId="1" fontId="24" fillId="6" borderId="0" xfId="8" applyNumberFormat="1" applyFont="1" applyFill="1" applyBorder="1" applyAlignment="1">
      <alignment horizontal="center" vertical="top"/>
    </xf>
    <xf numFmtId="0" fontId="27" fillId="0" borderId="0" xfId="8" applyFont="1" applyBorder="1" applyAlignment="1">
      <alignment horizontal="right" vertical="top"/>
    </xf>
    <xf numFmtId="4" fontId="29" fillId="0" borderId="0" xfId="8" applyNumberFormat="1" applyFont="1" applyBorder="1" applyAlignment="1"/>
    <xf numFmtId="9" fontId="41" fillId="0" borderId="0" xfId="9" applyFont="1" applyBorder="1" applyAlignment="1">
      <alignment horizontal="center"/>
    </xf>
    <xf numFmtId="1" fontId="27" fillId="0" borderId="0" xfId="8" applyNumberFormat="1" applyFont="1" applyBorder="1" applyAlignment="1">
      <alignment horizontal="center" vertical="top"/>
    </xf>
    <xf numFmtId="0" fontId="8" fillId="0" borderId="0" xfId="8" applyNumberFormat="1" applyFont="1" applyFill="1" applyBorder="1" applyAlignment="1">
      <alignment horizontal="center"/>
    </xf>
    <xf numFmtId="0" fontId="29" fillId="0" borderId="0" xfId="8" applyFont="1" applyFill="1" applyBorder="1" applyAlignment="1">
      <alignment horizontal="center"/>
    </xf>
    <xf numFmtId="0" fontId="27" fillId="0" borderId="0" xfId="8" applyFont="1" applyFill="1" applyBorder="1" applyAlignment="1">
      <alignment vertical="top"/>
    </xf>
    <xf numFmtId="0" fontId="13" fillId="0" borderId="0" xfId="8" applyFont="1" applyBorder="1" applyAlignment="1">
      <alignment vertical="top"/>
    </xf>
    <xf numFmtId="0" fontId="16" fillId="6" borderId="0" xfId="8" applyNumberFormat="1" applyFont="1" applyFill="1" applyBorder="1" applyAlignment="1"/>
    <xf numFmtId="1" fontId="27" fillId="6" borderId="0" xfId="8" applyNumberFormat="1" applyFont="1" applyFill="1" applyBorder="1" applyAlignment="1">
      <alignment horizontal="center" vertical="top"/>
    </xf>
    <xf numFmtId="0" fontId="13" fillId="0" borderId="0" xfId="8" applyFont="1" applyFill="1" applyBorder="1" applyAlignment="1">
      <alignment vertical="top" wrapText="1"/>
    </xf>
    <xf numFmtId="0" fontId="27" fillId="0" borderId="0" xfId="8" applyNumberFormat="1" applyFont="1" applyFill="1" applyAlignment="1">
      <alignment horizontal="center" vertical="center" wrapText="1"/>
    </xf>
    <xf numFmtId="0" fontId="18" fillId="0" borderId="0" xfId="8" applyFont="1" applyAlignment="1">
      <alignment horizontal="left" wrapText="1"/>
    </xf>
    <xf numFmtId="0" fontId="27" fillId="0" borderId="0" xfId="8" applyNumberFormat="1" applyFont="1" applyFill="1" applyAlignment="1">
      <alignment horizontal="center" vertical="top" wrapText="1"/>
    </xf>
    <xf numFmtId="49" fontId="13" fillId="0" borderId="0" xfId="8" applyNumberFormat="1" applyFont="1" applyBorder="1" applyAlignment="1">
      <alignment horizontal="left" vertical="top"/>
    </xf>
    <xf numFmtId="49" fontId="14" fillId="0" borderId="0" xfId="8" applyNumberFormat="1" applyFont="1" applyBorder="1" applyAlignment="1">
      <alignment horizontal="left" vertical="top"/>
    </xf>
    <xf numFmtId="1" fontId="31" fillId="0" borderId="0" xfId="0" applyNumberFormat="1" applyFont="1" applyBorder="1" applyAlignment="1">
      <alignment horizontal="left" vertical="top"/>
    </xf>
    <xf numFmtId="0" fontId="31" fillId="0" borderId="0" xfId="0" applyFont="1" applyBorder="1" applyAlignment="1">
      <alignment horizontal="right" vertical="top"/>
    </xf>
    <xf numFmtId="0" fontId="31" fillId="0" borderId="0" xfId="0" applyFont="1" applyBorder="1" applyAlignment="1">
      <alignment horizontal="left" vertical="top"/>
    </xf>
    <xf numFmtId="4" fontId="31" fillId="0" borderId="0" xfId="0" applyNumberFormat="1" applyFont="1" applyBorder="1" applyAlignment="1">
      <alignment horizontal="center"/>
    </xf>
    <xf numFmtId="0" fontId="13" fillId="0" borderId="0" xfId="0" applyNumberFormat="1" applyFont="1" applyBorder="1" applyAlignment="1">
      <alignment vertical="top"/>
    </xf>
    <xf numFmtId="49" fontId="14" fillId="0" borderId="0" xfId="0" applyNumberFormat="1" applyFont="1" applyBorder="1" applyAlignment="1">
      <alignment horizontal="left" vertical="top"/>
    </xf>
    <xf numFmtId="0" fontId="14" fillId="0" borderId="0" xfId="0" applyFont="1" applyBorder="1" applyAlignment="1"/>
    <xf numFmtId="4" fontId="14" fillId="0" borderId="0" xfId="0" applyNumberFormat="1" applyFont="1" applyBorder="1" applyAlignment="1">
      <alignment horizontal="center"/>
    </xf>
    <xf numFmtId="0" fontId="14" fillId="0" borderId="0" xfId="0" applyNumberFormat="1" applyFont="1" applyBorder="1" applyAlignment="1"/>
    <xf numFmtId="0" fontId="14" fillId="0" borderId="0" xfId="0" applyFont="1" applyBorder="1" applyAlignment="1">
      <alignment vertical="top"/>
    </xf>
    <xf numFmtId="0" fontId="45" fillId="0" borderId="0" xfId="0" applyFont="1" applyFill="1" applyBorder="1" applyAlignment="1">
      <alignment vertical="top" wrapText="1"/>
    </xf>
    <xf numFmtId="0" fontId="13" fillId="0" borderId="0" xfId="0" applyNumberFormat="1" applyFont="1" applyBorder="1" applyAlignment="1"/>
    <xf numFmtId="4" fontId="13" fillId="0" borderId="0" xfId="0" applyNumberFormat="1" applyFont="1" applyBorder="1" applyAlignment="1"/>
    <xf numFmtId="0" fontId="13" fillId="0" borderId="0" xfId="0" applyNumberFormat="1" applyFont="1" applyBorder="1" applyAlignment="1">
      <alignment vertical="top" wrapText="1"/>
    </xf>
    <xf numFmtId="0" fontId="15" fillId="7" borderId="0" xfId="0" applyFont="1" applyFill="1" applyBorder="1" applyAlignment="1">
      <alignment vertical="top"/>
    </xf>
    <xf numFmtId="49" fontId="15" fillId="7" borderId="0" xfId="0" applyNumberFormat="1" applyFont="1" applyFill="1" applyBorder="1" applyAlignment="1">
      <alignment horizontal="left" vertical="top" wrapText="1"/>
    </xf>
    <xf numFmtId="0" fontId="15" fillId="7" borderId="0" xfId="0" applyFont="1" applyFill="1" applyBorder="1" applyAlignment="1"/>
    <xf numFmtId="4" fontId="15" fillId="7" borderId="0" xfId="0" applyNumberFormat="1" applyFont="1" applyFill="1" applyBorder="1" applyAlignment="1">
      <alignment horizontal="center"/>
    </xf>
    <xf numFmtId="0" fontId="15" fillId="7" borderId="0" xfId="0" applyNumberFormat="1" applyFont="1" applyFill="1" applyBorder="1" applyAlignment="1">
      <alignment horizontal="center"/>
    </xf>
    <xf numFmtId="49" fontId="14" fillId="0" borderId="0" xfId="0" applyNumberFormat="1" applyFont="1" applyBorder="1" applyAlignment="1">
      <alignment horizontal="left" vertical="top" wrapText="1"/>
    </xf>
    <xf numFmtId="0" fontId="14" fillId="0" borderId="0" xfId="0" applyNumberFormat="1" applyFont="1" applyBorder="1" applyAlignment="1">
      <alignment horizontal="center"/>
    </xf>
    <xf numFmtId="49" fontId="43" fillId="0" borderId="6" xfId="0" applyNumberFormat="1" applyFont="1" applyBorder="1" applyAlignment="1">
      <alignment horizontal="right" vertical="top"/>
    </xf>
    <xf numFmtId="49" fontId="43" fillId="0" borderId="6" xfId="0" applyNumberFormat="1" applyFont="1" applyBorder="1" applyAlignment="1">
      <alignment vertical="top"/>
    </xf>
    <xf numFmtId="0" fontId="11" fillId="0" borderId="6" xfId="0" applyFont="1" applyBorder="1" applyAlignment="1"/>
    <xf numFmtId="4" fontId="11" fillId="0" borderId="6" xfId="0" applyNumberFormat="1" applyFont="1" applyBorder="1" applyAlignment="1">
      <alignment horizontal="center"/>
    </xf>
    <xf numFmtId="0" fontId="11" fillId="0" borderId="6" xfId="0" applyNumberFormat="1" applyFont="1" applyBorder="1" applyAlignment="1">
      <alignment horizontal="center"/>
    </xf>
    <xf numFmtId="0" fontId="14" fillId="0" borderId="0" xfId="0" applyFont="1" applyBorder="1" applyAlignment="1">
      <alignment horizontal="right" vertical="top"/>
    </xf>
    <xf numFmtId="0" fontId="14" fillId="0" borderId="0" xfId="0" applyFont="1" applyBorder="1" applyAlignment="1">
      <alignment horizontal="center" vertical="top"/>
    </xf>
    <xf numFmtId="0" fontId="13" fillId="0" borderId="0" xfId="0" applyFont="1" applyBorder="1" applyAlignment="1">
      <alignment horizontal="right" vertical="top"/>
    </xf>
    <xf numFmtId="0" fontId="13" fillId="0" borderId="0" xfId="0" applyFont="1" applyBorder="1" applyAlignment="1">
      <alignment horizontal="left" vertical="top"/>
    </xf>
    <xf numFmtId="0" fontId="16" fillId="0" borderId="0" xfId="0" applyFont="1" applyFill="1" applyBorder="1" applyAlignment="1">
      <alignment vertical="top" wrapText="1"/>
    </xf>
    <xf numFmtId="1" fontId="29" fillId="0" borderId="0" xfId="0" applyNumberFormat="1" applyFont="1" applyBorder="1" applyAlignment="1">
      <alignment horizontal="center"/>
    </xf>
    <xf numFmtId="4" fontId="29" fillId="0" borderId="0" xfId="0" applyNumberFormat="1" applyFont="1" applyBorder="1" applyAlignment="1">
      <alignment horizontal="center"/>
    </xf>
    <xf numFmtId="4" fontId="27" fillId="0" borderId="0" xfId="0" applyNumberFormat="1" applyFont="1" applyBorder="1" applyAlignment="1">
      <alignment horizontal="center"/>
    </xf>
    <xf numFmtId="0" fontId="17" fillId="0" borderId="0" xfId="0" applyFont="1" applyBorder="1" applyAlignment="1">
      <alignment horizontal="right" vertical="top"/>
    </xf>
    <xf numFmtId="0" fontId="27" fillId="0" borderId="0" xfId="0" applyFont="1" applyBorder="1" applyAlignment="1">
      <alignment horizontal="right" vertical="top"/>
    </xf>
    <xf numFmtId="0" fontId="27" fillId="0" borderId="0" xfId="0" applyFont="1" applyBorder="1" applyAlignment="1">
      <alignment horizontal="left" vertical="top"/>
    </xf>
    <xf numFmtId="0" fontId="17" fillId="0" borderId="0" xfId="0" applyFont="1" applyFill="1" applyBorder="1" applyAlignment="1">
      <alignment vertical="top" wrapText="1"/>
    </xf>
    <xf numFmtId="0" fontId="17" fillId="0" borderId="0" xfId="0" applyFont="1" applyFill="1" applyBorder="1" applyAlignment="1">
      <alignment horizontal="center"/>
    </xf>
    <xf numFmtId="49" fontId="8" fillId="0" borderId="6" xfId="0" applyNumberFormat="1" applyFont="1" applyBorder="1" applyAlignment="1">
      <alignment horizontal="right" vertical="top"/>
    </xf>
    <xf numFmtId="49" fontId="8" fillId="0" borderId="6" xfId="0" applyNumberFormat="1" applyFont="1" applyBorder="1" applyAlignment="1">
      <alignment horizontal="left" vertical="top"/>
    </xf>
    <xf numFmtId="0" fontId="8" fillId="0" borderId="6" xfId="0" applyFont="1" applyFill="1" applyBorder="1" applyAlignment="1">
      <alignment vertical="top"/>
    </xf>
    <xf numFmtId="0" fontId="8" fillId="0" borderId="6" xfId="0" applyFont="1" applyFill="1" applyBorder="1" applyAlignment="1">
      <alignment horizontal="right"/>
    </xf>
    <xf numFmtId="0" fontId="8" fillId="0" borderId="6" xfId="0" applyFont="1" applyFill="1" applyBorder="1" applyAlignment="1">
      <alignment horizontal="right" vertical="top"/>
    </xf>
    <xf numFmtId="4" fontId="8" fillId="0" borderId="6" xfId="0" applyNumberFormat="1" applyFont="1" applyBorder="1" applyAlignment="1">
      <alignment horizontal="center"/>
    </xf>
    <xf numFmtId="0" fontId="6" fillId="0" borderId="0" xfId="8" applyFont="1" applyBorder="1" applyAlignment="1"/>
    <xf numFmtId="4" fontId="6" fillId="0" borderId="0" xfId="8" applyNumberFormat="1" applyFont="1" applyBorder="1" applyAlignment="1">
      <alignment horizontal="center"/>
    </xf>
    <xf numFmtId="0" fontId="6" fillId="0" borderId="0" xfId="8" applyNumberFormat="1" applyFont="1" applyBorder="1" applyAlignment="1"/>
    <xf numFmtId="0" fontId="6" fillId="0" borderId="0" xfId="8" applyFont="1" applyBorder="1" applyAlignment="1">
      <alignment horizontal="right" vertical="top"/>
    </xf>
    <xf numFmtId="0" fontId="16" fillId="0" borderId="0" xfId="8" applyFont="1" applyBorder="1" applyAlignment="1">
      <alignment vertical="top"/>
    </xf>
    <xf numFmtId="1" fontId="31" fillId="0" borderId="0" xfId="8" applyNumberFormat="1" applyFont="1" applyBorder="1" applyAlignment="1">
      <alignment horizontal="left" vertical="top"/>
    </xf>
    <xf numFmtId="0" fontId="31" fillId="0" borderId="0" xfId="8" applyFont="1" applyBorder="1" applyAlignment="1">
      <alignment horizontal="right" vertical="top"/>
    </xf>
    <xf numFmtId="0" fontId="31" fillId="0" borderId="0" xfId="8" applyFont="1" applyBorder="1" applyAlignment="1">
      <alignment horizontal="left" vertical="top"/>
    </xf>
    <xf numFmtId="0" fontId="31" fillId="0" borderId="0" xfId="8" applyFont="1" applyBorder="1" applyAlignment="1"/>
    <xf numFmtId="4" fontId="31" fillId="0" borderId="0" xfId="8" applyNumberFormat="1" applyFont="1" applyBorder="1" applyAlignment="1">
      <alignment horizontal="center"/>
    </xf>
    <xf numFmtId="0" fontId="31" fillId="0" borderId="0" xfId="8" applyNumberFormat="1" applyFont="1" applyBorder="1" applyAlignment="1"/>
    <xf numFmtId="0" fontId="31" fillId="6" borderId="0" xfId="8" applyNumberFormat="1" applyFont="1" applyFill="1" applyBorder="1" applyAlignment="1"/>
    <xf numFmtId="1" fontId="49" fillId="6" borderId="0" xfId="8" applyNumberFormat="1" applyFont="1" applyFill="1" applyBorder="1" applyAlignment="1">
      <alignment horizontal="center" vertical="top"/>
    </xf>
    <xf numFmtId="0" fontId="18" fillId="0" borderId="0" xfId="8" applyFont="1" applyBorder="1" applyAlignment="1">
      <alignment vertical="top"/>
    </xf>
    <xf numFmtId="0" fontId="31" fillId="0" borderId="0" xfId="8" applyFont="1" applyAlignment="1">
      <alignment vertical="top"/>
    </xf>
    <xf numFmtId="0" fontId="31" fillId="0" borderId="0" xfId="8" applyFont="1" applyFill="1" applyBorder="1" applyAlignment="1">
      <alignment vertical="top"/>
    </xf>
    <xf numFmtId="0" fontId="14" fillId="0" borderId="0" xfId="8" applyFont="1" applyBorder="1" applyAlignment="1"/>
    <xf numFmtId="4" fontId="14" fillId="0" borderId="0" xfId="8" applyNumberFormat="1" applyFont="1" applyBorder="1" applyAlignment="1">
      <alignment horizontal="center"/>
    </xf>
    <xf numFmtId="0" fontId="14" fillId="0" borderId="0" xfId="8" applyNumberFormat="1" applyFont="1" applyBorder="1" applyAlignment="1"/>
    <xf numFmtId="0" fontId="13" fillId="0" borderId="0" xfId="8" applyFont="1" applyAlignment="1">
      <alignment horizontal="left" vertical="top" wrapText="1"/>
    </xf>
    <xf numFmtId="0" fontId="45" fillId="0" borderId="0" xfId="8" applyFont="1" applyFill="1" applyBorder="1" applyAlignment="1">
      <alignment vertical="top" wrapText="1"/>
    </xf>
    <xf numFmtId="0" fontId="13" fillId="0" borderId="0" xfId="8" applyNumberFormat="1" applyFont="1" applyBorder="1" applyAlignment="1"/>
    <xf numFmtId="4" fontId="13" fillId="0" borderId="0" xfId="8" applyNumberFormat="1" applyFont="1" applyBorder="1" applyAlignment="1"/>
    <xf numFmtId="0" fontId="15" fillId="7" borderId="0" xfId="8" applyFont="1" applyFill="1" applyBorder="1" applyAlignment="1"/>
    <xf numFmtId="4" fontId="15" fillId="7" borderId="0" xfId="8" applyNumberFormat="1" applyFont="1" applyFill="1" applyBorder="1" applyAlignment="1">
      <alignment horizontal="center"/>
    </xf>
    <xf numFmtId="0" fontId="15" fillId="7" borderId="0" xfId="8" applyNumberFormat="1" applyFont="1" applyFill="1" applyBorder="1" applyAlignment="1">
      <alignment horizontal="center"/>
    </xf>
    <xf numFmtId="0" fontId="14" fillId="0" borderId="0" xfId="8" applyNumberFormat="1" applyFont="1" applyBorder="1" applyAlignment="1">
      <alignment horizontal="center"/>
    </xf>
    <xf numFmtId="49" fontId="43" fillId="0" borderId="6" xfId="8" applyNumberFormat="1" applyFont="1" applyBorder="1" applyAlignment="1">
      <alignment horizontal="right" vertical="top"/>
    </xf>
    <xf numFmtId="49" fontId="43" fillId="0" borderId="6" xfId="8" applyNumberFormat="1" applyFont="1" applyBorder="1" applyAlignment="1">
      <alignment vertical="top"/>
    </xf>
    <xf numFmtId="0" fontId="43" fillId="0" borderId="6" xfId="8" applyFont="1" applyBorder="1" applyAlignment="1">
      <alignment vertical="top"/>
    </xf>
    <xf numFmtId="0" fontId="11" fillId="0" borderId="6" xfId="8" applyFont="1" applyBorder="1" applyAlignment="1"/>
    <xf numFmtId="4" fontId="11" fillId="0" borderId="6" xfId="8" applyNumberFormat="1" applyFont="1" applyBorder="1" applyAlignment="1">
      <alignment horizontal="center"/>
    </xf>
    <xf numFmtId="0" fontId="11" fillId="0" borderId="6" xfId="8" applyNumberFormat="1" applyFont="1" applyBorder="1" applyAlignment="1">
      <alignment horizontal="center"/>
    </xf>
    <xf numFmtId="0" fontId="13" fillId="0" borderId="0" xfId="8" applyFont="1" applyBorder="1" applyAlignment="1">
      <alignment horizontal="left" vertical="top"/>
    </xf>
    <xf numFmtId="0" fontId="16" fillId="0" borderId="0" xfId="8" applyFont="1" applyFill="1" applyBorder="1" applyAlignment="1">
      <alignment vertical="top" wrapText="1"/>
    </xf>
    <xf numFmtId="1" fontId="29" fillId="0" borderId="0" xfId="8" applyNumberFormat="1" applyFont="1" applyBorder="1" applyAlignment="1">
      <alignment horizontal="center"/>
    </xf>
    <xf numFmtId="4" fontId="29" fillId="0" borderId="0" xfId="8" applyNumberFormat="1" applyFont="1" applyBorder="1" applyAlignment="1">
      <alignment horizontal="center"/>
    </xf>
    <xf numFmtId="4" fontId="27" fillId="0" borderId="0" xfId="8" applyNumberFormat="1" applyFont="1" applyBorder="1" applyAlignment="1">
      <alignment horizontal="center"/>
    </xf>
    <xf numFmtId="0" fontId="46" fillId="0" borderId="0" xfId="8" applyFont="1" applyFill="1" applyBorder="1" applyAlignment="1">
      <alignment vertical="top" wrapText="1"/>
    </xf>
    <xf numFmtId="1" fontId="47" fillId="0" borderId="0" xfId="8" applyNumberFormat="1" applyFont="1" applyBorder="1" applyAlignment="1">
      <alignment horizontal="center"/>
    </xf>
    <xf numFmtId="4" fontId="47" fillId="0" borderId="0" xfId="8" applyNumberFormat="1" applyFont="1" applyBorder="1" applyAlignment="1">
      <alignment horizontal="center"/>
    </xf>
    <xf numFmtId="4" fontId="48" fillId="0" borderId="0" xfId="8" applyNumberFormat="1" applyFont="1" applyBorder="1" applyAlignment="1">
      <alignment horizontal="center"/>
    </xf>
    <xf numFmtId="0" fontId="17" fillId="0" borderId="0" xfId="8" applyFont="1" applyBorder="1" applyAlignment="1">
      <alignment horizontal="right" vertical="top"/>
    </xf>
    <xf numFmtId="0" fontId="27" fillId="0" borderId="0" xfId="8" applyFont="1" applyBorder="1" applyAlignment="1">
      <alignment horizontal="left" vertical="top"/>
    </xf>
    <xf numFmtId="0" fontId="17" fillId="0" borderId="0" xfId="8" applyFont="1" applyFill="1" applyBorder="1" applyAlignment="1">
      <alignment vertical="top" wrapText="1"/>
    </xf>
    <xf numFmtId="0" fontId="17" fillId="0" borderId="0" xfId="8" applyFont="1" applyFill="1" applyBorder="1" applyAlignment="1">
      <alignment horizontal="center"/>
    </xf>
    <xf numFmtId="4" fontId="45" fillId="0" borderId="0" xfId="8" applyNumberFormat="1" applyFont="1" applyFill="1"/>
    <xf numFmtId="49" fontId="8" fillId="0" borderId="6" xfId="8" applyNumberFormat="1" applyFont="1" applyBorder="1" applyAlignment="1">
      <alignment horizontal="right" vertical="top"/>
    </xf>
    <xf numFmtId="49" fontId="8" fillId="0" borderId="6" xfId="8" applyNumberFormat="1" applyFont="1" applyBorder="1" applyAlignment="1">
      <alignment horizontal="left" vertical="top"/>
    </xf>
    <xf numFmtId="0" fontId="8" fillId="0" borderId="6" xfId="8" applyFont="1" applyFill="1" applyBorder="1" applyAlignment="1">
      <alignment vertical="top"/>
    </xf>
    <xf numFmtId="0" fontId="8" fillId="0" borderId="6" xfId="8" applyFont="1" applyFill="1" applyBorder="1" applyAlignment="1">
      <alignment horizontal="right"/>
    </xf>
    <xf numFmtId="0" fontId="8" fillId="0" borderId="6" xfId="8" applyFont="1" applyFill="1" applyBorder="1" applyAlignment="1">
      <alignment horizontal="right" vertical="top"/>
    </xf>
    <xf numFmtId="4" fontId="8" fillId="0" borderId="6" xfId="8" applyNumberFormat="1" applyFont="1" applyBorder="1" applyAlignment="1">
      <alignment horizontal="center"/>
    </xf>
    <xf numFmtId="9" fontId="41" fillId="0" borderId="0" xfId="9" applyFont="1" applyFill="1" applyBorder="1" applyAlignment="1">
      <alignment horizontal="center"/>
    </xf>
    <xf numFmtId="0" fontId="8" fillId="0" borderId="0" xfId="8" applyFont="1" applyFill="1" applyBorder="1" applyAlignment="1">
      <alignment vertical="top"/>
    </xf>
    <xf numFmtId="49" fontId="9" fillId="0" borderId="0" xfId="8" applyNumberFormat="1" applyFont="1" applyBorder="1" applyAlignment="1">
      <alignment vertical="top"/>
    </xf>
    <xf numFmtId="0" fontId="9" fillId="0" borderId="0" xfId="8" applyNumberFormat="1" applyFont="1" applyFill="1" applyBorder="1" applyAlignment="1">
      <alignment horizontal="left" vertical="top" wrapText="1"/>
    </xf>
    <xf numFmtId="0" fontId="9" fillId="0" borderId="0" xfId="8" applyFont="1" applyBorder="1" applyAlignment="1"/>
    <xf numFmtId="4" fontId="9" fillId="0" borderId="0" xfId="8" applyNumberFormat="1" applyFont="1" applyFill="1" applyBorder="1" applyAlignment="1">
      <alignment horizontal="right"/>
    </xf>
    <xf numFmtId="4" fontId="9" fillId="0" borderId="0" xfId="8" applyNumberFormat="1" applyFont="1" applyBorder="1" applyAlignment="1">
      <alignment horizontal="center"/>
    </xf>
    <xf numFmtId="0" fontId="9" fillId="0" borderId="0" xfId="8" applyFont="1" applyFill="1" applyBorder="1" applyAlignment="1">
      <alignment vertical="top"/>
    </xf>
    <xf numFmtId="0" fontId="43" fillId="0" borderId="6" xfId="0" applyFont="1" applyBorder="1" applyAlignment="1">
      <alignment vertical="top" wrapText="1"/>
    </xf>
    <xf numFmtId="0" fontId="18" fillId="0" borderId="0" xfId="0" applyFont="1" applyFill="1" applyBorder="1" applyAlignment="1">
      <alignment vertical="top" wrapText="1"/>
    </xf>
    <xf numFmtId="0" fontId="17" fillId="0" borderId="0" xfId="0" applyNumberFormat="1" applyFont="1" applyFill="1" applyBorder="1" applyAlignment="1">
      <alignment vertical="top" wrapText="1"/>
    </xf>
    <xf numFmtId="4" fontId="52" fillId="0" borderId="0" xfId="0" applyNumberFormat="1" applyFont="1" applyBorder="1" applyAlignment="1">
      <alignment horizontal="center"/>
    </xf>
    <xf numFmtId="49" fontId="13" fillId="0" borderId="0" xfId="0" applyNumberFormat="1" applyFont="1" applyBorder="1" applyAlignment="1">
      <alignment horizontal="right" vertical="top"/>
    </xf>
    <xf numFmtId="49" fontId="13" fillId="0" borderId="0" xfId="0" applyNumberFormat="1" applyFont="1" applyBorder="1" applyAlignment="1">
      <alignment horizontal="left" vertical="top"/>
    </xf>
    <xf numFmtId="4" fontId="31" fillId="0" borderId="0" xfId="0" applyNumberFormat="1" applyFont="1" applyBorder="1" applyAlignment="1"/>
    <xf numFmtId="0" fontId="14" fillId="0" borderId="0" xfId="0" applyFont="1" applyFill="1" applyBorder="1" applyAlignment="1">
      <alignment vertical="top"/>
    </xf>
    <xf numFmtId="4" fontId="14" fillId="0" borderId="0" xfId="0" applyNumberFormat="1" applyFont="1" applyBorder="1" applyAlignment="1"/>
    <xf numFmtId="4" fontId="51" fillId="0" borderId="0" xfId="0" applyNumberFormat="1" applyFont="1" applyBorder="1" applyAlignment="1">
      <alignment horizontal="center" vertical="top" wrapText="1"/>
    </xf>
    <xf numFmtId="0" fontId="45" fillId="0" borderId="0" xfId="10" applyFont="1" applyFill="1" applyAlignment="1">
      <alignment vertical="top" wrapText="1"/>
    </xf>
    <xf numFmtId="4" fontId="15" fillId="7" borderId="0" xfId="0" applyNumberFormat="1" applyFont="1" applyFill="1" applyBorder="1" applyAlignment="1"/>
    <xf numFmtId="4" fontId="11" fillId="0" borderId="6" xfId="0" applyNumberFormat="1" applyFont="1" applyBorder="1" applyAlignment="1"/>
    <xf numFmtId="49" fontId="29" fillId="0" borderId="0" xfId="0" applyNumberFormat="1" applyFont="1" applyBorder="1" applyAlignment="1">
      <alignment horizontal="left" vertical="top" wrapText="1"/>
    </xf>
    <xf numFmtId="4" fontId="27" fillId="0" borderId="0" xfId="0" applyNumberFormat="1" applyFont="1" applyBorder="1" applyAlignment="1"/>
    <xf numFmtId="0" fontId="13" fillId="0" borderId="6" xfId="0" applyFont="1" applyBorder="1" applyAlignment="1">
      <alignment horizontal="right" vertical="top"/>
    </xf>
    <xf numFmtId="0" fontId="13" fillId="0" borderId="6" xfId="0" applyFont="1" applyBorder="1" applyAlignment="1">
      <alignment horizontal="left" vertical="top"/>
    </xf>
    <xf numFmtId="0" fontId="13" fillId="0" borderId="6" xfId="0" applyFont="1" applyFill="1" applyBorder="1" applyAlignment="1">
      <alignment vertical="top"/>
    </xf>
    <xf numFmtId="4" fontId="8" fillId="0" borderId="6" xfId="0" applyNumberFormat="1" applyFont="1" applyFill="1" applyBorder="1" applyAlignment="1">
      <alignment horizontal="right"/>
    </xf>
    <xf numFmtId="2" fontId="16" fillId="0" borderId="0" xfId="8" applyNumberFormat="1" applyFont="1" applyFill="1" applyBorder="1" applyAlignment="1">
      <alignment horizontal="left" vertical="top" wrapText="1"/>
    </xf>
    <xf numFmtId="0" fontId="17" fillId="0" borderId="0" xfId="8" applyNumberFormat="1" applyFont="1" applyBorder="1" applyAlignment="1">
      <alignment horizontal="left" vertical="top" wrapText="1"/>
    </xf>
    <xf numFmtId="49" fontId="16" fillId="0" borderId="0" xfId="8" applyNumberFormat="1" applyFont="1" applyFill="1" applyBorder="1" applyAlignment="1">
      <alignment vertical="top" wrapText="1"/>
    </xf>
    <xf numFmtId="0" fontId="16" fillId="0" borderId="0" xfId="8" applyNumberFormat="1" applyFont="1" applyBorder="1" applyAlignment="1">
      <alignment horizontal="left" vertical="top" wrapText="1"/>
    </xf>
    <xf numFmtId="2" fontId="18" fillId="0" borderId="0" xfId="8" applyNumberFormat="1" applyFont="1" applyFill="1" applyBorder="1" applyAlignment="1">
      <alignment horizontal="left" vertical="top" wrapText="1"/>
    </xf>
    <xf numFmtId="0" fontId="40" fillId="0" borderId="0" xfId="8" applyAlignment="1">
      <alignment wrapText="1"/>
    </xf>
    <xf numFmtId="0" fontId="18" fillId="0" borderId="0" xfId="0" applyFont="1" applyBorder="1" applyAlignment="1">
      <alignment vertical="top" wrapText="1"/>
    </xf>
    <xf numFmtId="0" fontId="13" fillId="0" borderId="0" xfId="0" applyFont="1" applyFill="1" applyBorder="1" applyAlignment="1">
      <alignment vertical="top" wrapText="1"/>
    </xf>
    <xf numFmtId="0" fontId="16" fillId="0" borderId="0" xfId="0" applyFont="1" applyAlignment="1">
      <alignment vertical="top" wrapText="1"/>
    </xf>
    <xf numFmtId="0" fontId="16" fillId="0" borderId="0" xfId="0" applyFont="1" applyAlignment="1">
      <alignment horizontal="left" vertical="top" wrapText="1"/>
    </xf>
    <xf numFmtId="2" fontId="13" fillId="0" borderId="0" xfId="0" applyNumberFormat="1" applyFont="1" applyBorder="1" applyAlignment="1">
      <alignment horizontal="right" vertical="top"/>
    </xf>
    <xf numFmtId="49" fontId="8" fillId="0" borderId="0" xfId="0" applyNumberFormat="1" applyFont="1" applyBorder="1" applyAlignment="1">
      <alignment horizontal="right" vertical="top"/>
    </xf>
    <xf numFmtId="49" fontId="8" fillId="0" borderId="0" xfId="0" applyNumberFormat="1" applyFont="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horizontal="right"/>
    </xf>
    <xf numFmtId="0" fontId="8" fillId="0" borderId="0" xfId="0" applyFont="1" applyFill="1" applyBorder="1" applyAlignment="1">
      <alignment horizontal="right" vertical="top"/>
    </xf>
    <xf numFmtId="4" fontId="8" fillId="0" borderId="0" xfId="0" applyNumberFormat="1" applyFont="1" applyBorder="1" applyAlignment="1">
      <alignment horizontal="center"/>
    </xf>
    <xf numFmtId="0" fontId="13" fillId="0" borderId="0" xfId="0" applyFont="1" applyAlignment="1">
      <alignment horizontal="left" vertical="top" wrapText="1"/>
    </xf>
    <xf numFmtId="0" fontId="18" fillId="0" borderId="0" xfId="0" applyFont="1" applyBorder="1" applyAlignment="1">
      <alignment horizontal="left" vertical="top" wrapText="1"/>
    </xf>
    <xf numFmtId="0" fontId="13" fillId="0" borderId="0" xfId="0" applyFont="1" applyFill="1" applyBorder="1" applyAlignment="1">
      <alignment vertical="top"/>
    </xf>
    <xf numFmtId="0" fontId="18" fillId="0" borderId="0" xfId="0" applyFont="1" applyAlignment="1">
      <alignment vertical="top" wrapText="1"/>
    </xf>
    <xf numFmtId="0" fontId="54" fillId="0" borderId="0" xfId="0" applyFont="1" applyFill="1" applyAlignment="1">
      <alignment vertical="top" wrapText="1"/>
    </xf>
    <xf numFmtId="0" fontId="50" fillId="0" borderId="0" xfId="0" applyFont="1" applyFill="1" applyAlignment="1">
      <alignment vertical="center"/>
    </xf>
    <xf numFmtId="2" fontId="17" fillId="0" borderId="0" xfId="0" applyNumberFormat="1" applyFont="1" applyBorder="1" applyAlignment="1">
      <alignment vertical="top" wrapText="1"/>
    </xf>
    <xf numFmtId="2" fontId="16" fillId="0" borderId="0" xfId="11" applyNumberFormat="1" applyFont="1" applyBorder="1" applyAlignment="1" applyProtection="1">
      <alignment vertical="top" wrapText="1"/>
    </xf>
    <xf numFmtId="2" fontId="18" fillId="0" borderId="0" xfId="11" applyNumberFormat="1" applyFont="1" applyBorder="1" applyAlignment="1" applyProtection="1">
      <alignment vertical="top" wrapText="1"/>
    </xf>
    <xf numFmtId="2" fontId="13" fillId="0" borderId="0" xfId="11" applyNumberFormat="1" applyFont="1" applyFill="1" applyBorder="1" applyAlignment="1" applyProtection="1">
      <alignment vertical="top" wrapText="1"/>
    </xf>
    <xf numFmtId="4" fontId="50" fillId="0" borderId="0" xfId="0" applyNumberFormat="1" applyFont="1" applyBorder="1" applyAlignment="1">
      <alignment horizontal="left" vertical="center" wrapText="1"/>
    </xf>
    <xf numFmtId="0" fontId="45" fillId="0" borderId="0" xfId="0" applyFont="1" applyBorder="1" applyAlignment="1">
      <alignment vertical="top" wrapText="1"/>
    </xf>
    <xf numFmtId="2" fontId="17" fillId="0" borderId="0" xfId="11" applyNumberFormat="1" applyFont="1" applyBorder="1" applyAlignment="1" applyProtection="1">
      <alignment vertical="top" wrapText="1"/>
    </xf>
    <xf numFmtId="0" fontId="7" fillId="0" borderId="6" xfId="0" applyFont="1" applyFill="1" applyBorder="1" applyAlignment="1">
      <alignment vertical="top"/>
    </xf>
    <xf numFmtId="0" fontId="16" fillId="0" borderId="0" xfId="0" applyNumberFormat="1" applyFont="1" applyAlignment="1">
      <alignment vertical="top" wrapText="1"/>
    </xf>
    <xf numFmtId="49" fontId="9" fillId="0" borderId="40" xfId="3" applyNumberFormat="1" applyFont="1" applyFill="1" applyBorder="1" applyAlignment="1">
      <alignment vertical="top"/>
    </xf>
    <xf numFmtId="0" fontId="5" fillId="0" borderId="40" xfId="3" applyFont="1" applyFill="1" applyBorder="1"/>
    <xf numFmtId="0" fontId="9" fillId="0" borderId="40" xfId="3" applyFont="1" applyFill="1" applyBorder="1" applyAlignment="1">
      <alignment vertical="top"/>
    </xf>
    <xf numFmtId="3" fontId="9" fillId="0" borderId="40" xfId="3" applyNumberFormat="1" applyFont="1" applyFill="1" applyBorder="1" applyAlignment="1">
      <alignment horizontal="right" vertical="top"/>
    </xf>
    <xf numFmtId="0" fontId="9" fillId="0" borderId="40" xfId="3" applyNumberFormat="1" applyFont="1" applyFill="1" applyBorder="1" applyAlignment="1">
      <alignment horizontal="left" vertical="top" wrapText="1"/>
    </xf>
    <xf numFmtId="49" fontId="8" fillId="0" borderId="40" xfId="3" applyNumberFormat="1" applyFont="1" applyFill="1" applyBorder="1" applyAlignment="1">
      <alignment vertical="top"/>
    </xf>
    <xf numFmtId="0" fontId="24" fillId="0" borderId="40" xfId="3" applyNumberFormat="1" applyFont="1" applyFill="1" applyBorder="1" applyAlignment="1">
      <alignment vertical="top"/>
    </xf>
    <xf numFmtId="49" fontId="24" fillId="0" borderId="41" xfId="3" applyNumberFormat="1" applyFont="1" applyFill="1" applyBorder="1" applyAlignment="1">
      <alignment vertical="top" wrapText="1"/>
    </xf>
    <xf numFmtId="0" fontId="25" fillId="0" borderId="41" xfId="3" applyFont="1" applyFill="1" applyBorder="1" applyAlignment="1">
      <alignment vertical="top"/>
    </xf>
    <xf numFmtId="3" fontId="25" fillId="0" borderId="41" xfId="3" applyNumberFormat="1" applyFont="1" applyFill="1" applyBorder="1" applyAlignment="1">
      <alignment vertical="top"/>
    </xf>
    <xf numFmtId="4" fontId="24" fillId="0" borderId="41" xfId="3" applyNumberFormat="1" applyFont="1" applyFill="1" applyBorder="1" applyAlignment="1">
      <alignment vertical="top"/>
    </xf>
    <xf numFmtId="0" fontId="15" fillId="6" borderId="0" xfId="0" applyNumberFormat="1" applyFont="1" applyFill="1" applyBorder="1" applyAlignment="1"/>
    <xf numFmtId="1" fontId="7" fillId="6" borderId="0" xfId="0" applyNumberFormat="1" applyFont="1" applyFill="1" applyBorder="1" applyAlignment="1">
      <alignment horizontal="center" vertical="top"/>
    </xf>
    <xf numFmtId="4" fontId="14" fillId="0" borderId="0" xfId="0" applyNumberFormat="1" applyFont="1" applyFill="1" applyBorder="1" applyAlignment="1">
      <alignment vertical="top"/>
    </xf>
    <xf numFmtId="0" fontId="13" fillId="0" borderId="0" xfId="0" applyFont="1" applyAlignment="1">
      <alignment vertical="top"/>
    </xf>
    <xf numFmtId="0" fontId="15" fillId="8" borderId="0" xfId="0" applyNumberFormat="1" applyFont="1" applyFill="1" applyBorder="1" applyAlignment="1"/>
    <xf numFmtId="1" fontId="7" fillId="8" borderId="0" xfId="0" applyNumberFormat="1" applyFont="1" applyFill="1" applyBorder="1" applyAlignment="1">
      <alignment horizontal="center" vertical="top"/>
    </xf>
    <xf numFmtId="0" fontId="15" fillId="0" borderId="0" xfId="0" applyFont="1" applyFill="1" applyBorder="1" applyAlignment="1">
      <alignment vertical="top"/>
    </xf>
    <xf numFmtId="4" fontId="15" fillId="0" borderId="0" xfId="0" applyNumberFormat="1" applyFont="1" applyFill="1" applyBorder="1" applyAlignment="1">
      <alignment horizontal="center" vertical="top"/>
    </xf>
    <xf numFmtId="0" fontId="15" fillId="0" borderId="0" xfId="0" applyNumberFormat="1" applyFont="1" applyFill="1" applyBorder="1" applyAlignment="1">
      <alignment horizontal="center" vertical="top"/>
    </xf>
    <xf numFmtId="0" fontId="11" fillId="0" borderId="0" xfId="0" applyFont="1" applyFill="1" applyBorder="1" applyAlignment="1">
      <alignment vertical="top"/>
    </xf>
    <xf numFmtId="4" fontId="11" fillId="0" borderId="0" xfId="0" applyNumberFormat="1" applyFont="1" applyFill="1" applyBorder="1" applyAlignment="1">
      <alignment vertical="top"/>
    </xf>
    <xf numFmtId="4" fontId="8" fillId="0" borderId="0" xfId="0" applyNumberFormat="1" applyFont="1" applyFill="1" applyBorder="1" applyAlignment="1"/>
    <xf numFmtId="1" fontId="7" fillId="0" borderId="0" xfId="0" applyNumberFormat="1" applyFont="1" applyFill="1" applyBorder="1" applyAlignment="1">
      <alignment horizontal="center" vertical="top"/>
    </xf>
    <xf numFmtId="4" fontId="8" fillId="0" borderId="0" xfId="0" applyNumberFormat="1" applyFont="1" applyFill="1" applyBorder="1" applyAlignment="1">
      <alignment vertical="top"/>
    </xf>
    <xf numFmtId="0" fontId="0" fillId="0" borderId="0" xfId="0"/>
    <xf numFmtId="0" fontId="51" fillId="0" borderId="0" xfId="12" applyFont="1" applyBorder="1" applyAlignment="1">
      <alignment horizontal="left" vertical="top" wrapText="1"/>
      <protection locked="0"/>
    </xf>
    <xf numFmtId="4" fontId="15" fillId="6" borderId="0" xfId="0" applyNumberFormat="1" applyFont="1" applyFill="1" applyBorder="1" applyAlignment="1"/>
    <xf numFmtId="4" fontId="41" fillId="6" borderId="0" xfId="9" applyNumberFormat="1" applyFont="1" applyFill="1" applyBorder="1" applyAlignment="1">
      <alignment horizontal="center"/>
    </xf>
    <xf numFmtId="4" fontId="7" fillId="6" borderId="0" xfId="0" applyNumberFormat="1" applyFont="1" applyFill="1" applyBorder="1" applyAlignment="1">
      <alignment horizontal="center"/>
    </xf>
    <xf numFmtId="4" fontId="15" fillId="8" borderId="0" xfId="0" applyNumberFormat="1" applyFont="1" applyFill="1" applyBorder="1" applyAlignment="1"/>
    <xf numFmtId="4" fontId="41" fillId="8" borderId="0" xfId="9" applyNumberFormat="1" applyFont="1" applyFill="1" applyBorder="1" applyAlignment="1">
      <alignment horizontal="center"/>
    </xf>
    <xf numFmtId="4" fontId="7" fillId="8" borderId="0" xfId="0" applyNumberFormat="1" applyFont="1" applyFill="1" applyBorder="1" applyAlignment="1">
      <alignment horizontal="center"/>
    </xf>
    <xf numFmtId="0" fontId="16" fillId="0" borderId="0" xfId="0" applyFont="1" applyFill="1" applyBorder="1" applyAlignment="1">
      <alignment horizontal="center" vertical="top"/>
    </xf>
    <xf numFmtId="2" fontId="7" fillId="0" borderId="0" xfId="0" applyNumberFormat="1" applyFont="1" applyFill="1" applyBorder="1" applyAlignment="1">
      <alignment horizontal="center"/>
    </xf>
    <xf numFmtId="3" fontId="44" fillId="0" borderId="0" xfId="0" applyNumberFormat="1" applyFont="1" applyFill="1" applyBorder="1" applyAlignment="1">
      <alignment vertical="top"/>
    </xf>
    <xf numFmtId="3" fontId="13" fillId="0" borderId="0" xfId="0" applyNumberFormat="1" applyFont="1" applyFill="1" applyBorder="1" applyAlignment="1">
      <alignment vertical="top"/>
    </xf>
    <xf numFmtId="0" fontId="8" fillId="0" borderId="0" xfId="0" applyNumberFormat="1" applyFont="1" applyFill="1" applyBorder="1" applyAlignment="1">
      <alignment horizontal="center"/>
    </xf>
    <xf numFmtId="0" fontId="29" fillId="0" borderId="0" xfId="0" applyFont="1" applyFill="1" applyBorder="1" applyAlignment="1">
      <alignment horizontal="center"/>
    </xf>
    <xf numFmtId="0" fontId="27" fillId="0" borderId="0" xfId="0" applyFont="1" applyFill="1" applyBorder="1" applyAlignment="1">
      <alignment vertical="top"/>
    </xf>
    <xf numFmtId="0" fontId="31" fillId="0" borderId="0" xfId="13" applyFont="1" applyFill="1" applyBorder="1" applyAlignment="1">
      <alignment horizontal="left" vertical="top"/>
    </xf>
    <xf numFmtId="0" fontId="31" fillId="0" borderId="0" xfId="13" applyNumberFormat="1" applyFont="1" applyFill="1" applyBorder="1" applyAlignment="1">
      <alignment vertical="top"/>
    </xf>
    <xf numFmtId="0" fontId="31" fillId="0" borderId="0" xfId="13" applyFont="1" applyFill="1" applyBorder="1" applyAlignment="1">
      <alignment vertical="top"/>
    </xf>
    <xf numFmtId="3" fontId="31" fillId="0" borderId="0" xfId="13" applyNumberFormat="1" applyFont="1" applyFill="1" applyBorder="1" applyAlignment="1">
      <alignment horizontal="center" vertical="top"/>
    </xf>
    <xf numFmtId="0" fontId="5" fillId="0" borderId="0" xfId="13" applyFont="1" applyFill="1"/>
    <xf numFmtId="0" fontId="31" fillId="0" borderId="0" xfId="13" applyNumberFormat="1" applyFont="1" applyFill="1" applyBorder="1" applyAlignment="1">
      <alignment horizontal="left" vertical="top"/>
    </xf>
    <xf numFmtId="49" fontId="37" fillId="0" borderId="0" xfId="13" applyNumberFormat="1" applyFont="1" applyFill="1" applyBorder="1" applyAlignment="1">
      <alignment horizontal="left" vertical="top"/>
    </xf>
    <xf numFmtId="0" fontId="37" fillId="0" borderId="0" xfId="13" applyNumberFormat="1" applyFont="1" applyFill="1" applyBorder="1" applyAlignment="1">
      <alignment vertical="top"/>
    </xf>
    <xf numFmtId="0" fontId="37" fillId="0" borderId="0" xfId="13" applyFont="1" applyFill="1" applyBorder="1" applyAlignment="1">
      <alignment horizontal="left" vertical="top"/>
    </xf>
    <xf numFmtId="0" fontId="13" fillId="0" borderId="0" xfId="13" applyNumberFormat="1" applyFont="1" applyFill="1" applyBorder="1" applyAlignment="1">
      <alignment vertical="top"/>
    </xf>
    <xf numFmtId="0" fontId="14" fillId="0" borderId="0" xfId="13" applyNumberFormat="1" applyFont="1" applyFill="1" applyBorder="1" applyAlignment="1">
      <alignment vertical="top"/>
    </xf>
    <xf numFmtId="0" fontId="6" fillId="0" borderId="6" xfId="13" applyFont="1" applyFill="1" applyBorder="1" applyAlignment="1">
      <alignment horizontal="left" vertical="top"/>
    </xf>
    <xf numFmtId="0" fontId="6" fillId="0" borderId="6" xfId="13" applyNumberFormat="1" applyFont="1" applyFill="1" applyBorder="1" applyAlignment="1">
      <alignment horizontal="left" vertical="top"/>
    </xf>
    <xf numFmtId="0" fontId="6" fillId="0" borderId="6" xfId="13" applyFont="1" applyFill="1" applyBorder="1" applyAlignment="1">
      <alignment vertical="top" wrapText="1"/>
    </xf>
    <xf numFmtId="0" fontId="6" fillId="0" borderId="6" xfId="13" applyFont="1" applyFill="1" applyBorder="1" applyAlignment="1">
      <alignment vertical="top"/>
    </xf>
    <xf numFmtId="3" fontId="6" fillId="0" borderId="6" xfId="13" applyNumberFormat="1" applyFont="1" applyFill="1" applyBorder="1" applyAlignment="1">
      <alignment horizontal="center" vertical="top"/>
    </xf>
    <xf numFmtId="0" fontId="6" fillId="0" borderId="6" xfId="13" applyNumberFormat="1" applyFont="1" applyFill="1" applyBorder="1" applyAlignment="1">
      <alignment vertical="top"/>
    </xf>
    <xf numFmtId="0" fontId="7" fillId="0" borderId="0" xfId="13" applyFont="1" applyFill="1" applyAlignment="1">
      <alignment vertical="top"/>
    </xf>
    <xf numFmtId="0" fontId="7" fillId="0" borderId="0" xfId="13" applyNumberFormat="1" applyFont="1" applyFill="1" applyAlignment="1">
      <alignment vertical="top"/>
    </xf>
    <xf numFmtId="49" fontId="7" fillId="0" borderId="0" xfId="13" applyNumberFormat="1" applyFont="1" applyFill="1" applyAlignment="1">
      <alignment horizontal="left" vertical="top" wrapText="1"/>
    </xf>
    <xf numFmtId="0" fontId="8" fillId="0" borderId="0" xfId="13" applyFont="1" applyFill="1" applyAlignment="1">
      <alignment vertical="top"/>
    </xf>
    <xf numFmtId="3" fontId="8" fillId="0" borderId="0" xfId="13" applyNumberFormat="1" applyFont="1" applyFill="1" applyAlignment="1">
      <alignment horizontal="center" vertical="top"/>
    </xf>
    <xf numFmtId="49" fontId="9" fillId="0" borderId="0" xfId="13" applyNumberFormat="1" applyFont="1" applyFill="1" applyBorder="1" applyAlignment="1">
      <alignment vertical="top"/>
    </xf>
    <xf numFmtId="0" fontId="9" fillId="0" borderId="0" xfId="13" applyNumberFormat="1" applyFont="1" applyFill="1" applyBorder="1" applyAlignment="1">
      <alignment vertical="top"/>
    </xf>
    <xf numFmtId="0" fontId="9" fillId="0" borderId="0" xfId="13" applyNumberFormat="1" applyFont="1" applyFill="1" applyBorder="1" applyAlignment="1">
      <alignment horizontal="left" vertical="top" wrapText="1"/>
    </xf>
    <xf numFmtId="0" fontId="9" fillId="0" borderId="0" xfId="13" applyFont="1" applyFill="1" applyBorder="1" applyAlignment="1">
      <alignment vertical="top"/>
    </xf>
    <xf numFmtId="3" fontId="9" fillId="0" borderId="0" xfId="13" applyNumberFormat="1" applyFont="1" applyFill="1" applyBorder="1" applyAlignment="1">
      <alignment horizontal="right" vertical="top"/>
    </xf>
    <xf numFmtId="4" fontId="5" fillId="0" borderId="0" xfId="13" applyNumberFormat="1" applyFont="1" applyFill="1" applyAlignment="1">
      <alignment vertical="top"/>
    </xf>
    <xf numFmtId="0" fontId="5" fillId="0" borderId="0" xfId="13" applyFont="1" applyFill="1" applyAlignment="1">
      <alignment vertical="top"/>
    </xf>
    <xf numFmtId="49" fontId="7" fillId="0" borderId="0" xfId="13" applyNumberFormat="1" applyFont="1" applyFill="1" applyBorder="1" applyAlignment="1">
      <alignment vertical="top"/>
    </xf>
    <xf numFmtId="0" fontId="7" fillId="0" borderId="0" xfId="13" applyNumberFormat="1" applyFont="1" applyFill="1" applyBorder="1" applyAlignment="1">
      <alignment vertical="top"/>
    </xf>
    <xf numFmtId="49" fontId="7" fillId="0" borderId="0" xfId="13" applyNumberFormat="1" applyFont="1" applyFill="1" applyBorder="1" applyAlignment="1">
      <alignment horizontal="left" vertical="top" wrapText="1"/>
    </xf>
    <xf numFmtId="0" fontId="8" fillId="0" borderId="0" xfId="13" applyFont="1" applyFill="1" applyBorder="1" applyAlignment="1">
      <alignment vertical="top"/>
    </xf>
    <xf numFmtId="3" fontId="8" fillId="0" borderId="0" xfId="13" applyNumberFormat="1" applyFont="1" applyFill="1" applyBorder="1" applyAlignment="1">
      <alignment horizontal="center" vertical="top"/>
    </xf>
    <xf numFmtId="164" fontId="7" fillId="0" borderId="0" xfId="13" applyNumberFormat="1" applyFont="1" applyFill="1" applyBorder="1" applyAlignment="1">
      <alignment horizontal="right" vertical="top"/>
    </xf>
    <xf numFmtId="4" fontId="5" fillId="0" borderId="0" xfId="13" applyNumberFormat="1" applyFont="1" applyFill="1"/>
    <xf numFmtId="49" fontId="8" fillId="0" borderId="0" xfId="13" applyNumberFormat="1" applyFont="1" applyFill="1" applyBorder="1" applyAlignment="1">
      <alignment vertical="top"/>
    </xf>
    <xf numFmtId="0" fontId="24" fillId="0" borderId="0" xfId="13" applyNumberFormat="1" applyFont="1" applyFill="1" applyBorder="1" applyAlignment="1">
      <alignment vertical="top"/>
    </xf>
    <xf numFmtId="49" fontId="24" fillId="0" borderId="3" xfId="13" applyNumberFormat="1" applyFont="1" applyFill="1" applyBorder="1" applyAlignment="1">
      <alignment vertical="top" wrapText="1"/>
    </xf>
    <xf numFmtId="0" fontId="25" fillId="0" borderId="3" xfId="13" applyFont="1" applyFill="1" applyBorder="1" applyAlignment="1">
      <alignment vertical="top"/>
    </xf>
    <xf numFmtId="3" fontId="25" fillId="0" borderId="3" xfId="13" applyNumberFormat="1" applyFont="1" applyFill="1" applyBorder="1" applyAlignment="1">
      <alignment vertical="top"/>
    </xf>
    <xf numFmtId="4" fontId="24" fillId="0" borderId="3" xfId="13" applyNumberFormat="1" applyFont="1" applyFill="1" applyBorder="1" applyAlignment="1">
      <alignment vertical="top"/>
    </xf>
    <xf numFmtId="0" fontId="7" fillId="0" borderId="0" xfId="13" applyFont="1" applyFill="1" applyBorder="1" applyAlignment="1">
      <alignment vertical="top"/>
    </xf>
    <xf numFmtId="0" fontId="8" fillId="0" borderId="0" xfId="13" applyNumberFormat="1" applyFont="1" applyFill="1" applyBorder="1" applyAlignment="1">
      <alignment vertical="top"/>
    </xf>
    <xf numFmtId="0" fontId="8" fillId="0" borderId="2" xfId="13" applyFont="1" applyFill="1" applyBorder="1" applyAlignment="1">
      <alignment horizontal="left" vertical="top" wrapText="1"/>
    </xf>
    <xf numFmtId="0" fontId="8" fillId="0" borderId="2" xfId="13" applyFont="1" applyFill="1" applyBorder="1" applyAlignment="1">
      <alignment horizontal="right" vertical="top"/>
    </xf>
    <xf numFmtId="3" fontId="8" fillId="0" borderId="2" xfId="13" applyNumberFormat="1" applyFont="1" applyFill="1" applyBorder="1" applyAlignment="1">
      <alignment horizontal="right" vertical="top"/>
    </xf>
    <xf numFmtId="0" fontId="8" fillId="0" borderId="2" xfId="13" applyFont="1" applyFill="1" applyBorder="1" applyAlignment="1">
      <alignment vertical="top"/>
    </xf>
    <xf numFmtId="0" fontId="14" fillId="0" borderId="0" xfId="13" applyFont="1" applyFill="1" applyBorder="1" applyAlignment="1">
      <alignment vertical="top"/>
    </xf>
    <xf numFmtId="0" fontId="16" fillId="0" borderId="0" xfId="13" applyNumberFormat="1" applyFont="1" applyFill="1" applyBorder="1" applyAlignment="1">
      <alignment vertical="top"/>
    </xf>
    <xf numFmtId="3" fontId="16" fillId="0" borderId="0" xfId="13" applyNumberFormat="1" applyFont="1" applyFill="1" applyBorder="1" applyAlignment="1">
      <alignment vertical="top"/>
    </xf>
    <xf numFmtId="0" fontId="23" fillId="0" borderId="0" xfId="13" applyNumberFormat="1" applyFont="1" applyFill="1" applyAlignment="1">
      <alignment vertical="top"/>
    </xf>
    <xf numFmtId="0" fontId="12" fillId="0" borderId="0" xfId="13" applyNumberFormat="1" applyFont="1" applyFill="1" applyBorder="1" applyAlignment="1">
      <alignment horizontal="left" vertical="top" wrapText="1"/>
    </xf>
    <xf numFmtId="0" fontId="12" fillId="0" borderId="0" xfId="13" applyFont="1" applyFill="1" applyBorder="1" applyAlignment="1">
      <alignment horizontal="right" vertical="top"/>
    </xf>
    <xf numFmtId="3" fontId="12" fillId="0" borderId="0" xfId="13" applyNumberFormat="1" applyFont="1" applyFill="1" applyBorder="1" applyAlignment="1">
      <alignment horizontal="right" vertical="top"/>
    </xf>
    <xf numFmtId="0" fontId="27" fillId="0" borderId="0" xfId="13" applyNumberFormat="1" applyFont="1" applyFill="1" applyBorder="1" applyAlignment="1">
      <alignment vertical="top"/>
    </xf>
    <xf numFmtId="0" fontId="18" fillId="0" borderId="0" xfId="15" applyFont="1" applyFill="1" applyBorder="1" applyAlignment="1">
      <alignment horizontal="justify" vertical="center" wrapText="1"/>
    </xf>
    <xf numFmtId="0" fontId="17" fillId="0" borderId="0" xfId="15" applyFont="1" applyFill="1" applyBorder="1" applyAlignment="1">
      <alignment horizontal="right" wrapText="1"/>
    </xf>
    <xf numFmtId="4" fontId="17" fillId="0" borderId="0" xfId="15" applyNumberFormat="1" applyFont="1" applyFill="1" applyBorder="1" applyAlignment="1">
      <alignment horizontal="right" wrapText="1"/>
    </xf>
    <xf numFmtId="0" fontId="13" fillId="0" borderId="0" xfId="0" applyNumberFormat="1" applyFont="1" applyFill="1" applyBorder="1" applyAlignment="1">
      <alignment vertical="top"/>
    </xf>
    <xf numFmtId="49" fontId="14" fillId="0" borderId="0" xfId="0" applyNumberFormat="1" applyFont="1" applyFill="1" applyBorder="1" applyAlignment="1">
      <alignment horizontal="left" vertical="top"/>
    </xf>
    <xf numFmtId="3" fontId="15" fillId="0" borderId="0" xfId="0" applyNumberFormat="1" applyFont="1" applyFill="1" applyBorder="1" applyAlignment="1">
      <alignment horizontal="center" vertical="top"/>
    </xf>
    <xf numFmtId="0" fontId="14" fillId="0" borderId="0" xfId="0" applyNumberFormat="1" applyFont="1" applyFill="1" applyBorder="1" applyAlignment="1">
      <alignment vertical="top"/>
    </xf>
    <xf numFmtId="0" fontId="5" fillId="0" borderId="0" xfId="0" applyFont="1" applyFill="1"/>
    <xf numFmtId="0" fontId="7" fillId="0" borderId="0" xfId="0" applyFont="1" applyFill="1" applyAlignment="1">
      <alignment vertical="top"/>
    </xf>
    <xf numFmtId="0" fontId="7" fillId="0" borderId="0" xfId="0" applyNumberFormat="1" applyFont="1" applyFill="1" applyAlignment="1">
      <alignment vertical="top"/>
    </xf>
    <xf numFmtId="49" fontId="7" fillId="0" borderId="0" xfId="0" applyNumberFormat="1" applyFont="1" applyFill="1" applyAlignment="1">
      <alignment horizontal="left" vertical="top" wrapText="1"/>
    </xf>
    <xf numFmtId="0" fontId="8" fillId="0" borderId="0" xfId="0" applyFont="1" applyFill="1" applyAlignment="1">
      <alignment vertical="top"/>
    </xf>
    <xf numFmtId="3" fontId="8" fillId="0" borderId="0" xfId="0" applyNumberFormat="1" applyFont="1" applyFill="1" applyAlignment="1">
      <alignment horizontal="center" vertical="top"/>
    </xf>
    <xf numFmtId="49" fontId="9" fillId="0" borderId="0" xfId="0" applyNumberFormat="1" applyFont="1" applyFill="1" applyBorder="1" applyAlignment="1">
      <alignment vertical="top"/>
    </xf>
    <xf numFmtId="0" fontId="9" fillId="0" borderId="0" xfId="0" applyNumberFormat="1" applyFont="1" applyFill="1" applyBorder="1" applyAlignment="1">
      <alignment vertical="top"/>
    </xf>
    <xf numFmtId="0" fontId="9" fillId="0" borderId="0" xfId="0" applyNumberFormat="1" applyFont="1" applyFill="1" applyBorder="1" applyAlignment="1">
      <alignment horizontal="left" vertical="top" wrapText="1"/>
    </xf>
    <xf numFmtId="0" fontId="9" fillId="0" borderId="0" xfId="0" applyFont="1" applyFill="1" applyBorder="1" applyAlignment="1">
      <alignment vertical="top"/>
    </xf>
    <xf numFmtId="3" fontId="9" fillId="0" borderId="0" xfId="0" applyNumberFormat="1" applyFont="1" applyFill="1" applyBorder="1" applyAlignment="1">
      <alignment horizontal="right" vertical="top"/>
    </xf>
    <xf numFmtId="164" fontId="9" fillId="0" borderId="0" xfId="0" applyNumberFormat="1" applyFont="1" applyFill="1" applyBorder="1" applyAlignment="1">
      <alignment horizontal="center" vertical="top"/>
    </xf>
    <xf numFmtId="4" fontId="5" fillId="0" borderId="0" xfId="0" applyNumberFormat="1" applyFont="1" applyFill="1" applyAlignment="1">
      <alignment vertical="top"/>
    </xf>
    <xf numFmtId="0" fontId="5" fillId="0" borderId="0" xfId="0" applyFont="1" applyFill="1" applyAlignment="1">
      <alignment vertical="top"/>
    </xf>
    <xf numFmtId="0" fontId="10" fillId="0" borderId="0" xfId="0" applyNumberFormat="1" applyFont="1" applyFill="1" applyBorder="1" applyAlignment="1">
      <alignment vertical="top"/>
    </xf>
    <xf numFmtId="0" fontId="10" fillId="0" borderId="0" xfId="0" applyNumberFormat="1" applyFont="1" applyFill="1" applyBorder="1" applyAlignment="1">
      <alignment horizontal="left" vertical="top" wrapText="1"/>
    </xf>
    <xf numFmtId="3" fontId="11" fillId="0" borderId="0" xfId="0" applyNumberFormat="1" applyFont="1" applyFill="1" applyBorder="1" applyAlignment="1">
      <alignment horizontal="right" vertical="top"/>
    </xf>
    <xf numFmtId="0" fontId="12" fillId="0" borderId="0" xfId="0" applyNumberFormat="1" applyFont="1" applyFill="1" applyBorder="1" applyAlignment="1">
      <alignment horizontal="right" vertical="top" wrapText="1"/>
    </xf>
    <xf numFmtId="0" fontId="12" fillId="0" borderId="0" xfId="0" applyFont="1" applyFill="1" applyBorder="1" applyAlignment="1">
      <alignment vertical="top"/>
    </xf>
    <xf numFmtId="3" fontId="12" fillId="0" borderId="0" xfId="0" applyNumberFormat="1" applyFont="1" applyFill="1" applyBorder="1" applyAlignment="1">
      <alignment horizontal="right" vertical="top"/>
    </xf>
    <xf numFmtId="0" fontId="7" fillId="0" borderId="0" xfId="0" applyFont="1" applyFill="1" applyBorder="1" applyAlignment="1">
      <alignment vertical="top"/>
    </xf>
    <xf numFmtId="0" fontId="8" fillId="0" borderId="0" xfId="0" applyNumberFormat="1" applyFont="1" applyFill="1" applyBorder="1" applyAlignment="1">
      <alignment vertical="top"/>
    </xf>
    <xf numFmtId="0" fontId="8" fillId="0" borderId="2" xfId="0" applyFont="1" applyFill="1" applyBorder="1" applyAlignment="1">
      <alignment horizontal="left" vertical="top" wrapText="1"/>
    </xf>
    <xf numFmtId="0" fontId="8" fillId="0" borderId="2" xfId="0" applyFont="1" applyFill="1" applyBorder="1" applyAlignment="1">
      <alignment horizontal="right" vertical="top"/>
    </xf>
    <xf numFmtId="3" fontId="8" fillId="0" borderId="2" xfId="0" applyNumberFormat="1" applyFont="1" applyFill="1" applyBorder="1" applyAlignment="1">
      <alignment horizontal="right" vertical="top"/>
    </xf>
    <xf numFmtId="4" fontId="5" fillId="0" borderId="0" xfId="0" applyNumberFormat="1" applyFont="1" applyFill="1"/>
    <xf numFmtId="49" fontId="7" fillId="0" borderId="0" xfId="0" applyNumberFormat="1" applyFont="1" applyFill="1" applyBorder="1" applyAlignment="1">
      <alignment vertical="top"/>
    </xf>
    <xf numFmtId="0" fontId="7" fillId="0" borderId="0" xfId="0" applyNumberFormat="1" applyFont="1" applyFill="1" applyBorder="1" applyAlignment="1">
      <alignment vertical="top"/>
    </xf>
    <xf numFmtId="49" fontId="7" fillId="0" borderId="0" xfId="0" applyNumberFormat="1" applyFont="1" applyFill="1" applyBorder="1" applyAlignment="1">
      <alignment horizontal="left" vertical="top" wrapText="1"/>
    </xf>
    <xf numFmtId="3" fontId="8" fillId="0" borderId="0" xfId="0" applyNumberFormat="1" applyFont="1" applyFill="1" applyBorder="1" applyAlignment="1">
      <alignment horizontal="center" vertical="top"/>
    </xf>
    <xf numFmtId="164" fontId="7" fillId="0" borderId="0" xfId="0" applyNumberFormat="1" applyFont="1" applyFill="1" applyBorder="1" applyAlignment="1">
      <alignment horizontal="right" vertical="top"/>
    </xf>
    <xf numFmtId="0" fontId="16" fillId="0" borderId="0" xfId="0" applyNumberFormat="1" applyFont="1" applyFill="1" applyBorder="1" applyAlignment="1">
      <alignment vertical="top"/>
    </xf>
    <xf numFmtId="3" fontId="16" fillId="0" borderId="0" xfId="0" applyNumberFormat="1" applyFont="1" applyFill="1" applyBorder="1" applyAlignment="1">
      <alignment vertical="top"/>
    </xf>
    <xf numFmtId="0" fontId="21" fillId="0" borderId="0" xfId="0" applyNumberFormat="1" applyFont="1" applyFill="1" applyBorder="1" applyAlignment="1">
      <alignment vertical="top"/>
    </xf>
    <xf numFmtId="0" fontId="14" fillId="0" borderId="5" xfId="0" applyFont="1" applyFill="1" applyBorder="1" applyAlignment="1">
      <alignment vertical="top"/>
    </xf>
    <xf numFmtId="0" fontId="13" fillId="0" borderId="5" xfId="0" applyNumberFormat="1" applyFont="1" applyFill="1" applyBorder="1" applyAlignment="1">
      <alignment vertical="top"/>
    </xf>
    <xf numFmtId="0" fontId="21" fillId="0" borderId="5" xfId="0" applyNumberFormat="1" applyFont="1" applyFill="1" applyBorder="1" applyAlignment="1">
      <alignment vertical="top"/>
    </xf>
    <xf numFmtId="0" fontId="16" fillId="0" borderId="5" xfId="0" applyNumberFormat="1" applyFont="1" applyFill="1" applyBorder="1" applyAlignment="1">
      <alignment vertical="top"/>
    </xf>
    <xf numFmtId="3" fontId="16" fillId="0" borderId="5" xfId="0" applyNumberFormat="1" applyFont="1" applyFill="1" applyBorder="1" applyAlignment="1">
      <alignment vertical="top"/>
    </xf>
    <xf numFmtId="0" fontId="15" fillId="0" borderId="3" xfId="0" applyFont="1" applyFill="1" applyBorder="1" applyAlignment="1">
      <alignment vertical="top"/>
    </xf>
    <xf numFmtId="49" fontId="15" fillId="0" borderId="3" xfId="0" applyNumberFormat="1" applyFont="1" applyFill="1" applyBorder="1" applyAlignment="1">
      <alignment horizontal="left" vertical="top" wrapText="1"/>
    </xf>
    <xf numFmtId="3" fontId="15" fillId="0" borderId="3" xfId="0" applyNumberFormat="1" applyFont="1" applyFill="1" applyBorder="1" applyAlignment="1">
      <alignment horizontal="center" vertical="top"/>
    </xf>
    <xf numFmtId="0" fontId="15" fillId="0" borderId="3" xfId="0" applyNumberFormat="1" applyFont="1" applyFill="1" applyBorder="1" applyAlignment="1">
      <alignment horizontal="center" vertical="top"/>
    </xf>
    <xf numFmtId="49" fontId="15" fillId="0" borderId="0" xfId="0" applyNumberFormat="1" applyFont="1" applyFill="1" applyBorder="1" applyAlignment="1">
      <alignment horizontal="left" vertical="top" wrapText="1"/>
    </xf>
    <xf numFmtId="49" fontId="17" fillId="0" borderId="0" xfId="0" applyNumberFormat="1" applyFont="1" applyFill="1" applyBorder="1" applyAlignment="1">
      <alignment horizontal="right" vertical="top"/>
    </xf>
    <xf numFmtId="0" fontId="18" fillId="0" borderId="0" xfId="0" applyFont="1" applyFill="1" applyBorder="1" applyAlignment="1">
      <alignment horizontal="left" vertical="center"/>
    </xf>
    <xf numFmtId="0" fontId="18" fillId="0" borderId="0" xfId="0" applyFont="1" applyFill="1" applyBorder="1" applyAlignment="1">
      <alignment vertical="center"/>
    </xf>
    <xf numFmtId="4" fontId="17" fillId="0" borderId="0" xfId="0" applyNumberFormat="1" applyFont="1" applyFill="1" applyBorder="1"/>
    <xf numFmtId="0" fontId="17" fillId="0" borderId="0" xfId="0" applyFont="1" applyFill="1" applyBorder="1" applyAlignment="1">
      <alignment horizontal="left" vertical="top"/>
    </xf>
    <xf numFmtId="0" fontId="18" fillId="0" borderId="0" xfId="0" applyFont="1" applyFill="1" applyBorder="1" applyAlignment="1">
      <alignment vertical="top"/>
    </xf>
    <xf numFmtId="49" fontId="13" fillId="0" borderId="0" xfId="0" applyNumberFormat="1" applyFont="1" applyFill="1" applyBorder="1" applyAlignment="1">
      <alignment horizontal="right" vertical="top"/>
    </xf>
    <xf numFmtId="165" fontId="17" fillId="0" borderId="0" xfId="0" applyNumberFormat="1" applyFont="1" applyFill="1" applyBorder="1"/>
    <xf numFmtId="0" fontId="17" fillId="0" borderId="0" xfId="0" applyFont="1" applyFill="1" applyBorder="1" applyAlignment="1">
      <alignment vertical="top"/>
    </xf>
    <xf numFmtId="0" fontId="17" fillId="0" borderId="0" xfId="0" applyFont="1" applyFill="1" applyBorder="1" applyAlignment="1">
      <alignment horizontal="left"/>
    </xf>
    <xf numFmtId="4" fontId="17" fillId="0" borderId="0" xfId="0" applyNumberFormat="1" applyFont="1" applyFill="1" applyBorder="1" applyAlignment="1"/>
    <xf numFmtId="0" fontId="17" fillId="0" borderId="3" xfId="0" applyFont="1" applyFill="1" applyBorder="1" applyAlignment="1">
      <alignment vertical="top"/>
    </xf>
    <xf numFmtId="0" fontId="17" fillId="0" borderId="3" xfId="0" applyFont="1" applyFill="1" applyBorder="1" applyAlignment="1">
      <alignment horizontal="center"/>
    </xf>
    <xf numFmtId="4" fontId="17" fillId="0" borderId="3" xfId="0" applyNumberFormat="1" applyFont="1" applyFill="1" applyBorder="1"/>
    <xf numFmtId="49" fontId="8" fillId="0" borderId="0" xfId="0" applyNumberFormat="1" applyFont="1" applyFill="1" applyBorder="1" applyAlignment="1">
      <alignment vertical="top"/>
    </xf>
    <xf numFmtId="0" fontId="24" fillId="0" borderId="0" xfId="0" applyNumberFormat="1" applyFont="1" applyFill="1" applyBorder="1" applyAlignment="1">
      <alignment vertical="top"/>
    </xf>
    <xf numFmtId="49" fontId="24" fillId="0" borderId="3" xfId="0" applyNumberFormat="1" applyFont="1" applyFill="1" applyBorder="1" applyAlignment="1">
      <alignment vertical="top" wrapText="1"/>
    </xf>
    <xf numFmtId="0" fontId="25" fillId="0" borderId="3" xfId="0" applyFont="1" applyFill="1" applyBorder="1" applyAlignment="1">
      <alignment vertical="top"/>
    </xf>
    <xf numFmtId="3" fontId="25" fillId="0" borderId="3" xfId="0" applyNumberFormat="1" applyFont="1" applyFill="1" applyBorder="1" applyAlignment="1">
      <alignment vertical="top"/>
    </xf>
    <xf numFmtId="0" fontId="13" fillId="0" borderId="0" xfId="0" applyNumberFormat="1" applyFont="1" applyFill="1" applyBorder="1" applyAlignment="1">
      <alignment horizontal="right" vertical="top"/>
    </xf>
    <xf numFmtId="0" fontId="17" fillId="0" borderId="0" xfId="0" applyFont="1" applyFill="1" applyBorder="1" applyAlignment="1">
      <alignment horizontal="right"/>
    </xf>
    <xf numFmtId="4" fontId="17" fillId="0" borderId="0" xfId="0" applyNumberFormat="1" applyFont="1" applyFill="1" applyBorder="1" applyAlignment="1">
      <alignment wrapText="1"/>
    </xf>
    <xf numFmtId="4" fontId="18" fillId="0" borderId="0" xfId="0" applyNumberFormat="1" applyFont="1" applyFill="1" applyBorder="1"/>
    <xf numFmtId="0" fontId="19" fillId="0" borderId="0" xfId="0" applyFont="1" applyFill="1" applyAlignment="1" applyProtection="1">
      <alignment horizontal="left" vertical="top" wrapText="1"/>
    </xf>
    <xf numFmtId="0" fontId="17" fillId="0" borderId="0" xfId="2" applyFont="1" applyFill="1" applyBorder="1" applyAlignment="1">
      <alignment vertical="top"/>
    </xf>
    <xf numFmtId="0" fontId="18" fillId="0" borderId="0" xfId="0" applyFont="1" applyFill="1" applyBorder="1" applyAlignment="1">
      <alignment horizontal="left" vertical="top"/>
    </xf>
    <xf numFmtId="0" fontId="19" fillId="0" borderId="0" xfId="0" applyFont="1" applyAlignment="1">
      <alignment horizontal="left" vertical="top" wrapText="1"/>
    </xf>
    <xf numFmtId="0" fontId="17" fillId="0" borderId="0" xfId="0" applyFont="1" applyFill="1" applyBorder="1" applyAlignment="1">
      <alignment horizontal="left" vertical="center" wrapText="1"/>
    </xf>
    <xf numFmtId="0" fontId="0" fillId="0" borderId="0" xfId="0"/>
    <xf numFmtId="0" fontId="6" fillId="0" borderId="0" xfId="8" applyFont="1" applyBorder="1" applyAlignment="1">
      <alignment vertical="top"/>
    </xf>
    <xf numFmtId="0" fontId="6" fillId="0" borderId="0" xfId="8" applyFont="1" applyBorder="1" applyAlignment="1">
      <alignment horizontal="center" vertical="top"/>
    </xf>
    <xf numFmtId="0" fontId="6" fillId="0" borderId="0" xfId="8" applyNumberFormat="1" applyFont="1" applyBorder="1" applyAlignment="1">
      <alignment vertical="top"/>
    </xf>
    <xf numFmtId="0" fontId="6" fillId="6" borderId="0" xfId="8" applyNumberFormat="1" applyFont="1" applyFill="1" applyBorder="1" applyAlignment="1">
      <alignment vertical="top"/>
    </xf>
    <xf numFmtId="1" fontId="6" fillId="6" borderId="0" xfId="8" applyNumberFormat="1" applyFont="1" applyFill="1" applyBorder="1" applyAlignment="1">
      <alignment horizontal="center" vertical="top"/>
    </xf>
    <xf numFmtId="0" fontId="57" fillId="0" borderId="6" xfId="8" applyFont="1" applyBorder="1" applyAlignment="1">
      <alignment horizontal="left" vertical="top"/>
    </xf>
    <xf numFmtId="0" fontId="31" fillId="6" borderId="0" xfId="8" applyNumberFormat="1" applyFont="1" applyFill="1" applyBorder="1" applyAlignment="1">
      <alignment vertical="top"/>
    </xf>
    <xf numFmtId="1" fontId="31" fillId="6" borderId="0" xfId="8" applyNumberFormat="1" applyFont="1" applyFill="1" applyBorder="1" applyAlignment="1">
      <alignment horizontal="center" vertical="top"/>
    </xf>
    <xf numFmtId="0" fontId="31" fillId="0" borderId="0" xfId="8" applyNumberFormat="1" applyFont="1" applyBorder="1" applyAlignment="1">
      <alignment vertical="top"/>
    </xf>
    <xf numFmtId="0" fontId="27" fillId="0" borderId="0" xfId="8" applyNumberFormat="1" applyFont="1" applyBorder="1" applyAlignment="1">
      <alignment vertical="top"/>
    </xf>
    <xf numFmtId="0" fontId="27" fillId="0" borderId="0" xfId="8" applyNumberFormat="1" applyFont="1" applyBorder="1" applyAlignment="1">
      <alignment vertical="top" wrapText="1"/>
    </xf>
    <xf numFmtId="0" fontId="58" fillId="0" borderId="0" xfId="8" applyNumberFormat="1" applyFont="1" applyBorder="1" applyAlignment="1">
      <alignment vertical="top"/>
    </xf>
    <xf numFmtId="0" fontId="27" fillId="0" borderId="0" xfId="8" applyFont="1" applyBorder="1" applyAlignment="1">
      <alignment vertical="top"/>
    </xf>
    <xf numFmtId="0" fontId="7" fillId="0" borderId="0" xfId="8" applyFont="1" applyFill="1" applyBorder="1" applyAlignment="1">
      <alignment vertical="top"/>
    </xf>
    <xf numFmtId="49" fontId="9" fillId="11" borderId="0" xfId="8" applyNumberFormat="1" applyFont="1" applyFill="1" applyBorder="1" applyAlignment="1">
      <alignment horizontal="left" vertical="top"/>
    </xf>
    <xf numFmtId="49" fontId="9" fillId="11" borderId="0" xfId="8" applyNumberFormat="1" applyFont="1" applyFill="1" applyBorder="1" applyAlignment="1">
      <alignment horizontal="left" vertical="top" wrapText="1"/>
    </xf>
    <xf numFmtId="0" fontId="9" fillId="11" borderId="0" xfId="8" applyFont="1" applyFill="1" applyBorder="1" applyAlignment="1">
      <alignment vertical="top"/>
    </xf>
    <xf numFmtId="0" fontId="9" fillId="11" borderId="0" xfId="8" applyFont="1" applyFill="1" applyBorder="1" applyAlignment="1">
      <alignment horizontal="center" vertical="top"/>
    </xf>
    <xf numFmtId="0" fontId="9" fillId="11" borderId="0" xfId="8" applyNumberFormat="1" applyFont="1" applyFill="1" applyBorder="1" applyAlignment="1">
      <alignment horizontal="center" vertical="top"/>
    </xf>
    <xf numFmtId="0" fontId="9" fillId="12" borderId="0" xfId="8" applyFont="1" applyFill="1" applyBorder="1" applyAlignment="1">
      <alignment vertical="top"/>
    </xf>
    <xf numFmtId="0" fontId="12" fillId="0" borderId="0" xfId="8" applyFont="1" applyFill="1" applyBorder="1" applyAlignment="1">
      <alignment vertical="top"/>
    </xf>
    <xf numFmtId="0" fontId="9" fillId="0" borderId="0" xfId="8" applyNumberFormat="1" applyFont="1" applyFill="1" applyBorder="1" applyAlignment="1">
      <alignment horizontal="center" vertical="top"/>
    </xf>
    <xf numFmtId="49" fontId="8" fillId="0" borderId="0" xfId="8" applyNumberFormat="1" applyFont="1" applyFill="1" applyBorder="1" applyAlignment="1">
      <alignment horizontal="left" vertical="top"/>
    </xf>
    <xf numFmtId="49" fontId="8" fillId="0" borderId="0" xfId="8" applyNumberFormat="1" applyFont="1" applyFill="1" applyBorder="1" applyAlignment="1">
      <alignment horizontal="left" vertical="top" wrapText="1"/>
    </xf>
    <xf numFmtId="0" fontId="8" fillId="0" borderId="0" xfId="8" applyFont="1" applyFill="1" applyBorder="1" applyAlignment="1">
      <alignment horizontal="center" vertical="top"/>
    </xf>
    <xf numFmtId="0" fontId="8" fillId="0" borderId="0" xfId="8" applyNumberFormat="1" applyFont="1" applyFill="1" applyBorder="1" applyAlignment="1">
      <alignment horizontal="center" vertical="top"/>
    </xf>
    <xf numFmtId="0" fontId="23" fillId="0" borderId="0" xfId="8" applyNumberFormat="1" applyFont="1" applyFill="1" applyBorder="1" applyAlignment="1">
      <alignment horizontal="left" vertical="top" wrapText="1"/>
    </xf>
    <xf numFmtId="0" fontId="23" fillId="0" borderId="0" xfId="8" applyFont="1" applyBorder="1" applyAlignment="1">
      <alignment vertical="top"/>
    </xf>
    <xf numFmtId="0" fontId="23" fillId="0" borderId="0" xfId="8" applyFont="1" applyFill="1" applyBorder="1" applyAlignment="1">
      <alignment horizontal="right" vertical="top"/>
    </xf>
    <xf numFmtId="4" fontId="23" fillId="0" borderId="0" xfId="8" applyNumberFormat="1" applyFont="1" applyBorder="1" applyAlignment="1">
      <alignment horizontal="center" vertical="top"/>
    </xf>
    <xf numFmtId="0" fontId="23" fillId="0" borderId="0" xfId="8" applyFont="1" applyFill="1" applyBorder="1" applyAlignment="1">
      <alignment vertical="top"/>
    </xf>
    <xf numFmtId="49" fontId="23" fillId="0" borderId="42" xfId="8" applyNumberFormat="1" applyFont="1" applyBorder="1" applyAlignment="1">
      <alignment vertical="top"/>
    </xf>
    <xf numFmtId="0" fontId="23" fillId="0" borderId="42" xfId="8" applyNumberFormat="1" applyFont="1" applyFill="1" applyBorder="1" applyAlignment="1">
      <alignment horizontal="left" vertical="top" wrapText="1"/>
    </xf>
    <xf numFmtId="0" fontId="23" fillId="0" borderId="42" xfId="8" applyFont="1" applyBorder="1" applyAlignment="1">
      <alignment vertical="top"/>
    </xf>
    <xf numFmtId="0" fontId="23" fillId="0" borderId="42" xfId="8" applyFont="1" applyFill="1" applyBorder="1" applyAlignment="1">
      <alignment horizontal="right" vertical="top"/>
    </xf>
    <xf numFmtId="4" fontId="23" fillId="0" borderId="42" xfId="8" applyNumberFormat="1" applyFont="1" applyBorder="1" applyAlignment="1">
      <alignment horizontal="center" vertical="top"/>
    </xf>
    <xf numFmtId="49" fontId="59" fillId="0" borderId="0" xfId="8" applyNumberFormat="1" applyFont="1" applyFill="1" applyAlignment="1">
      <alignment vertical="top"/>
    </xf>
    <xf numFmtId="49" fontId="59" fillId="0" borderId="0" xfId="8" applyNumberFormat="1" applyFont="1" applyFill="1" applyAlignment="1">
      <alignment vertical="top" wrapText="1"/>
    </xf>
    <xf numFmtId="0" fontId="59" fillId="0" borderId="0" xfId="8" applyFont="1" applyFill="1" applyAlignment="1">
      <alignment vertical="top"/>
    </xf>
    <xf numFmtId="4" fontId="59" fillId="0" borderId="0" xfId="8" applyNumberFormat="1" applyFont="1" applyFill="1" applyAlignment="1">
      <alignment vertical="top"/>
    </xf>
    <xf numFmtId="4" fontId="59" fillId="0" borderId="0" xfId="8" applyNumberFormat="1" applyFont="1" applyFill="1" applyAlignment="1">
      <alignment horizontal="right" vertical="top"/>
    </xf>
    <xf numFmtId="3" fontId="60" fillId="0" borderId="0" xfId="8" applyNumberFormat="1" applyFont="1" applyFill="1" applyBorder="1" applyAlignment="1">
      <alignment vertical="top"/>
    </xf>
    <xf numFmtId="49" fontId="23" fillId="0" borderId="0" xfId="8" applyNumberFormat="1" applyFont="1" applyAlignment="1">
      <alignment vertical="top"/>
    </xf>
    <xf numFmtId="0" fontId="23" fillId="0" borderId="0" xfId="8" applyNumberFormat="1" applyFont="1" applyFill="1" applyAlignment="1">
      <alignment horizontal="left" vertical="top" wrapText="1"/>
    </xf>
    <xf numFmtId="4" fontId="23" fillId="0" borderId="0" xfId="8" applyNumberFormat="1" applyFont="1" applyBorder="1" applyAlignment="1">
      <alignment vertical="top"/>
    </xf>
    <xf numFmtId="49" fontId="27" fillId="0" borderId="0" xfId="8" applyNumberFormat="1" applyFont="1" applyBorder="1" applyAlignment="1">
      <alignment horizontal="left" vertical="top" wrapText="1"/>
    </xf>
    <xf numFmtId="0" fontId="27" fillId="0" borderId="0" xfId="8" applyFont="1" applyBorder="1" applyAlignment="1">
      <alignment horizontal="center" vertical="top"/>
    </xf>
    <xf numFmtId="0" fontId="14" fillId="0" borderId="0" xfId="8" applyNumberFormat="1" applyFont="1" applyBorder="1" applyAlignment="1">
      <alignment vertical="top"/>
    </xf>
    <xf numFmtId="0" fontId="11" fillId="0" borderId="0" xfId="8" applyFont="1" applyBorder="1" applyAlignment="1">
      <alignment vertical="top"/>
    </xf>
    <xf numFmtId="0" fontId="11" fillId="6" borderId="0" xfId="8" applyNumberFormat="1" applyFont="1" applyFill="1" applyBorder="1" applyAlignment="1">
      <alignment vertical="top"/>
    </xf>
    <xf numFmtId="0" fontId="11" fillId="0" borderId="0" xfId="8" applyNumberFormat="1" applyFont="1" applyBorder="1" applyAlignment="1">
      <alignment vertical="top"/>
    </xf>
    <xf numFmtId="0" fontId="11" fillId="0" borderId="0" xfId="8" applyFont="1" applyBorder="1" applyAlignment="1">
      <alignment horizontal="center" vertical="top"/>
    </xf>
    <xf numFmtId="49" fontId="11" fillId="0" borderId="0" xfId="8" applyNumberFormat="1" applyFont="1" applyBorder="1" applyAlignment="1">
      <alignment horizontal="left" vertical="top"/>
    </xf>
    <xf numFmtId="0" fontId="17" fillId="0" borderId="0" xfId="8" applyFont="1" applyFill="1" applyBorder="1" applyAlignment="1">
      <alignment vertical="top"/>
    </xf>
    <xf numFmtId="0" fontId="17" fillId="0" borderId="0" xfId="8" applyFont="1" applyBorder="1" applyAlignment="1">
      <alignment vertical="top"/>
    </xf>
    <xf numFmtId="0" fontId="17" fillId="6" borderId="0" xfId="8" applyNumberFormat="1" applyFont="1" applyFill="1" applyBorder="1" applyAlignment="1">
      <alignment vertical="top"/>
    </xf>
    <xf numFmtId="0" fontId="17" fillId="0" borderId="0" xfId="8" applyNumberFormat="1" applyFont="1" applyBorder="1" applyAlignment="1">
      <alignment vertical="top"/>
    </xf>
    <xf numFmtId="0" fontId="17" fillId="0" borderId="0" xfId="8" applyFont="1" applyBorder="1" applyAlignment="1">
      <alignment horizontal="center" vertical="top"/>
    </xf>
    <xf numFmtId="49" fontId="17" fillId="0" borderId="0" xfId="8" applyNumberFormat="1" applyFont="1" applyBorder="1" applyAlignment="1">
      <alignment horizontal="left" vertical="top"/>
    </xf>
    <xf numFmtId="0" fontId="18" fillId="0" borderId="0" xfId="8" applyNumberFormat="1" applyFont="1" applyBorder="1" applyAlignment="1">
      <alignment horizontal="center" vertical="top"/>
    </xf>
    <xf numFmtId="0" fontId="18" fillId="0" borderId="0" xfId="8" applyFont="1" applyFill="1" applyBorder="1" applyAlignment="1">
      <alignment vertical="top"/>
    </xf>
    <xf numFmtId="4" fontId="18" fillId="0" borderId="0" xfId="8" applyNumberFormat="1" applyFont="1" applyFill="1" applyBorder="1" applyAlignment="1">
      <alignment vertical="top"/>
    </xf>
    <xf numFmtId="4" fontId="18" fillId="0" borderId="0" xfId="8" applyNumberFormat="1" applyFont="1" applyBorder="1" applyAlignment="1">
      <alignment horizontal="center" vertical="top"/>
    </xf>
    <xf numFmtId="0" fontId="18" fillId="0" borderId="0" xfId="8" applyFont="1" applyFill="1" applyBorder="1" applyAlignment="1">
      <alignment horizontal="right" vertical="top"/>
    </xf>
    <xf numFmtId="49" fontId="17" fillId="0" borderId="0" xfId="8" applyNumberFormat="1" applyFont="1" applyBorder="1" applyAlignment="1">
      <alignment vertical="top" wrapText="1"/>
    </xf>
    <xf numFmtId="0" fontId="43" fillId="0" borderId="0" xfId="8" applyFont="1" applyFill="1" applyBorder="1" applyAlignment="1">
      <alignment vertical="top"/>
    </xf>
    <xf numFmtId="0" fontId="43" fillId="0" borderId="0" xfId="8" applyFont="1" applyBorder="1" applyAlignment="1">
      <alignment vertical="top"/>
    </xf>
    <xf numFmtId="0" fontId="43" fillId="6" borderId="0" xfId="8" applyNumberFormat="1" applyFont="1" applyFill="1" applyBorder="1" applyAlignment="1">
      <alignment vertical="top"/>
    </xf>
    <xf numFmtId="0" fontId="43" fillId="0" borderId="0" xfId="8" applyNumberFormat="1" applyFont="1" applyBorder="1" applyAlignment="1">
      <alignment vertical="top"/>
    </xf>
    <xf numFmtId="0" fontId="43" fillId="0" borderId="0" xfId="8" applyFont="1" applyBorder="1" applyAlignment="1">
      <alignment horizontal="center" vertical="top"/>
    </xf>
    <xf numFmtId="0" fontId="31" fillId="0" borderId="0" xfId="8" applyFont="1" applyBorder="1" applyAlignment="1">
      <alignment horizontal="center" vertical="top"/>
    </xf>
    <xf numFmtId="0" fontId="31" fillId="0" borderId="0" xfId="8" applyFont="1" applyBorder="1" applyAlignment="1">
      <alignment vertical="top"/>
    </xf>
    <xf numFmtId="0" fontId="15" fillId="11" borderId="0" xfId="8" applyFont="1" applyFill="1" applyBorder="1" applyAlignment="1">
      <alignment vertical="top"/>
    </xf>
    <xf numFmtId="49" fontId="15" fillId="11" borderId="0" xfId="8" applyNumberFormat="1" applyFont="1" applyFill="1" applyBorder="1" applyAlignment="1">
      <alignment horizontal="left" vertical="top" wrapText="1"/>
    </xf>
    <xf numFmtId="0" fontId="15" fillId="11" borderId="0" xfId="8" applyFont="1" applyFill="1" applyBorder="1" applyAlignment="1">
      <alignment horizontal="center" vertical="top"/>
    </xf>
    <xf numFmtId="0" fontId="15" fillId="11" borderId="0" xfId="8" applyNumberFormat="1" applyFont="1" applyFill="1" applyBorder="1" applyAlignment="1">
      <alignment horizontal="center" vertical="top"/>
    </xf>
    <xf numFmtId="49" fontId="13" fillId="0" borderId="0" xfId="8" applyNumberFormat="1" applyFont="1" applyBorder="1" applyAlignment="1">
      <alignment horizontal="left" vertical="top" wrapText="1"/>
    </xf>
    <xf numFmtId="0" fontId="11" fillId="0" borderId="6" xfId="8" applyFont="1" applyBorder="1" applyAlignment="1">
      <alignment vertical="top"/>
    </xf>
    <xf numFmtId="3" fontId="11" fillId="0" borderId="6" xfId="8" applyNumberFormat="1" applyFont="1" applyBorder="1" applyAlignment="1">
      <alignment horizontal="center" vertical="top"/>
    </xf>
    <xf numFmtId="0" fontId="11" fillId="0" borderId="6" xfId="8" applyNumberFormat="1" applyFont="1" applyBorder="1" applyAlignment="1">
      <alignment horizontal="center" vertical="top"/>
    </xf>
    <xf numFmtId="49" fontId="43" fillId="0" borderId="0" xfId="8" applyNumberFormat="1" applyFont="1" applyBorder="1" applyAlignment="1">
      <alignment horizontal="right" vertical="top"/>
    </xf>
    <xf numFmtId="49" fontId="43" fillId="0" borderId="0" xfId="8" applyNumberFormat="1" applyFont="1" applyBorder="1" applyAlignment="1">
      <alignment vertical="top"/>
    </xf>
    <xf numFmtId="0" fontId="43" fillId="0" borderId="0" xfId="8" applyFont="1" applyBorder="1" applyAlignment="1">
      <alignment vertical="top" wrapText="1"/>
    </xf>
    <xf numFmtId="3" fontId="11" fillId="0" borderId="0" xfId="8" applyNumberFormat="1" applyFont="1" applyBorder="1" applyAlignment="1">
      <alignment horizontal="center" vertical="top"/>
    </xf>
    <xf numFmtId="0" fontId="11" fillId="0" borderId="0" xfId="8" applyNumberFormat="1" applyFont="1" applyBorder="1" applyAlignment="1">
      <alignment horizontal="center" vertical="top"/>
    </xf>
    <xf numFmtId="0" fontId="14" fillId="0" borderId="0" xfId="8" applyFont="1" applyBorder="1" applyAlignment="1">
      <alignment horizontal="left" vertical="top"/>
    </xf>
    <xf numFmtId="49" fontId="61" fillId="0" borderId="0" xfId="8" applyNumberFormat="1" applyFont="1" applyBorder="1" applyAlignment="1">
      <alignment horizontal="left" vertical="top" wrapText="1"/>
    </xf>
    <xf numFmtId="3" fontId="14" fillId="0" borderId="0" xfId="8" applyNumberFormat="1" applyFont="1" applyBorder="1" applyAlignment="1">
      <alignment horizontal="center" vertical="top"/>
    </xf>
    <xf numFmtId="0" fontId="14" fillId="0" borderId="0" xfId="8" applyNumberFormat="1" applyFont="1" applyBorder="1" applyAlignment="1">
      <alignment horizontal="center" vertical="top"/>
    </xf>
    <xf numFmtId="49" fontId="14" fillId="0" borderId="0" xfId="8" applyNumberFormat="1" applyFont="1" applyFill="1" applyBorder="1" applyAlignment="1">
      <alignment horizontal="left" vertical="top" wrapText="1"/>
    </xf>
    <xf numFmtId="49" fontId="13" fillId="0" borderId="0" xfId="8" applyNumberFormat="1" applyFont="1" applyBorder="1" applyAlignment="1">
      <alignment horizontal="right" vertical="top"/>
    </xf>
    <xf numFmtId="0" fontId="40" fillId="0" borderId="0" xfId="8" applyNumberFormat="1" applyFill="1" applyAlignment="1">
      <alignment horizontal="left" vertical="top" wrapText="1"/>
    </xf>
    <xf numFmtId="1" fontId="29" fillId="0" borderId="0" xfId="8" applyNumberFormat="1" applyFont="1" applyFill="1" applyBorder="1" applyAlignment="1">
      <alignment horizontal="center" vertical="top"/>
    </xf>
    <xf numFmtId="3" fontId="29" fillId="0" borderId="0" xfId="8" applyNumberFormat="1" applyFont="1" applyFill="1" applyBorder="1" applyAlignment="1">
      <alignment horizontal="center" vertical="top"/>
    </xf>
    <xf numFmtId="4" fontId="27" fillId="0" borderId="0" xfId="8" applyNumberFormat="1" applyFont="1" applyBorder="1" applyAlignment="1">
      <alignment horizontal="center" vertical="top"/>
    </xf>
    <xf numFmtId="3" fontId="13" fillId="0" borderId="0" xfId="8" applyNumberFormat="1" applyFont="1" applyFill="1" applyBorder="1" applyAlignment="1">
      <alignment vertical="top"/>
    </xf>
    <xf numFmtId="0" fontId="40" fillId="0" borderId="0" xfId="8" quotePrefix="1" applyNumberFormat="1" applyFill="1" applyAlignment="1">
      <alignment horizontal="left" vertical="top" wrapText="1"/>
    </xf>
    <xf numFmtId="0" fontId="53" fillId="0" borderId="0" xfId="8" quotePrefix="1" applyNumberFormat="1" applyFont="1" applyFill="1" applyAlignment="1">
      <alignment horizontal="left" vertical="top" wrapText="1"/>
    </xf>
    <xf numFmtId="0" fontId="53" fillId="0" borderId="0" xfId="8" applyNumberFormat="1" applyFont="1" applyFill="1" applyAlignment="1">
      <alignment horizontal="left" vertical="top" wrapText="1"/>
    </xf>
    <xf numFmtId="49" fontId="40" fillId="0" borderId="0" xfId="8" applyNumberFormat="1" applyFont="1" applyFill="1" applyBorder="1" applyAlignment="1">
      <alignment horizontal="justify" vertical="top"/>
    </xf>
    <xf numFmtId="49" fontId="40" fillId="0" borderId="0" xfId="8" applyNumberFormat="1" applyFill="1" applyBorder="1" applyAlignment="1">
      <alignment horizontal="justify" vertical="top"/>
    </xf>
    <xf numFmtId="2" fontId="50" fillId="0" borderId="0" xfId="8" applyNumberFormat="1" applyFont="1" applyFill="1" applyAlignment="1">
      <alignment vertical="top" wrapText="1"/>
    </xf>
    <xf numFmtId="1" fontId="29" fillId="0" borderId="0" xfId="8" applyNumberFormat="1" applyFont="1" applyBorder="1" applyAlignment="1">
      <alignment horizontal="center" vertical="top"/>
    </xf>
    <xf numFmtId="3" fontId="29" fillId="0" borderId="0" xfId="8" applyNumberFormat="1" applyFont="1" applyBorder="1" applyAlignment="1">
      <alignment horizontal="center" vertical="top"/>
    </xf>
    <xf numFmtId="0" fontId="50" fillId="0" borderId="0" xfId="8" applyNumberFormat="1" applyFont="1" applyFill="1" applyAlignment="1">
      <alignment vertical="top" wrapText="1"/>
    </xf>
    <xf numFmtId="49" fontId="50" fillId="0" borderId="0" xfId="8" applyNumberFormat="1" applyFont="1" applyFill="1" applyAlignment="1">
      <alignment vertical="top" wrapText="1"/>
    </xf>
    <xf numFmtId="49" fontId="29" fillId="0" borderId="0" xfId="8" applyNumberFormat="1" applyFont="1" applyBorder="1" applyAlignment="1">
      <alignment horizontal="left" vertical="top" wrapText="1"/>
    </xf>
    <xf numFmtId="3" fontId="27" fillId="0" borderId="0" xfId="8" applyNumberFormat="1" applyFont="1" applyBorder="1" applyAlignment="1">
      <alignment vertical="top"/>
    </xf>
    <xf numFmtId="4" fontId="27" fillId="0" borderId="0" xfId="8" applyNumberFormat="1" applyFont="1" applyBorder="1" applyAlignment="1">
      <alignment vertical="top"/>
    </xf>
    <xf numFmtId="4" fontId="8" fillId="0" borderId="6" xfId="8" applyNumberFormat="1" applyFont="1" applyBorder="1" applyAlignment="1">
      <alignment horizontal="center" vertical="top"/>
    </xf>
    <xf numFmtId="49" fontId="29" fillId="0" borderId="0" xfId="8" applyNumberFormat="1" applyFont="1" applyFill="1" applyBorder="1" applyAlignment="1">
      <alignment horizontal="left" vertical="top" wrapText="1"/>
    </xf>
    <xf numFmtId="0" fontId="62" fillId="0" borderId="6" xfId="8" applyFont="1" applyBorder="1" applyAlignment="1">
      <alignment horizontal="left" vertical="top"/>
    </xf>
    <xf numFmtId="0" fontId="63" fillId="0" borderId="6" xfId="8" applyFont="1" applyBorder="1" applyAlignment="1">
      <alignment horizontal="left" vertical="top"/>
    </xf>
    <xf numFmtId="0" fontId="63" fillId="0" borderId="6" xfId="8" applyFont="1" applyBorder="1" applyAlignment="1">
      <alignment vertical="top" wrapText="1"/>
    </xf>
    <xf numFmtId="0" fontId="63" fillId="0" borderId="6" xfId="8" applyFont="1" applyBorder="1" applyAlignment="1">
      <alignment vertical="top"/>
    </xf>
    <xf numFmtId="0" fontId="63" fillId="0" borderId="6" xfId="8" applyFont="1" applyBorder="1" applyAlignment="1">
      <alignment horizontal="center" vertical="top"/>
    </xf>
    <xf numFmtId="0" fontId="63" fillId="0" borderId="6" xfId="8" applyNumberFormat="1" applyFont="1" applyBorder="1" applyAlignment="1">
      <alignment vertical="top"/>
    </xf>
    <xf numFmtId="0" fontId="63" fillId="0" borderId="0" xfId="8" applyFont="1" applyFill="1" applyBorder="1" applyAlignment="1">
      <alignment vertical="top"/>
    </xf>
    <xf numFmtId="0" fontId="7" fillId="0" borderId="0" xfId="8" applyFont="1" applyAlignment="1">
      <alignment vertical="top"/>
    </xf>
    <xf numFmtId="49" fontId="7" fillId="0" borderId="0" xfId="8" applyNumberFormat="1" applyFont="1" applyAlignment="1">
      <alignment horizontal="left" vertical="top" wrapText="1"/>
    </xf>
    <xf numFmtId="0" fontId="7" fillId="0" borderId="0" xfId="8" applyFont="1" applyAlignment="1">
      <alignment horizontal="center" vertical="top"/>
    </xf>
    <xf numFmtId="0" fontId="7" fillId="0" borderId="0" xfId="8" applyNumberFormat="1" applyFont="1" applyAlignment="1">
      <alignment vertical="top"/>
    </xf>
    <xf numFmtId="49" fontId="8" fillId="11" borderId="0" xfId="8" applyNumberFormat="1" applyFont="1" applyFill="1" applyBorder="1" applyAlignment="1">
      <alignment horizontal="left" vertical="top"/>
    </xf>
    <xf numFmtId="49" fontId="8" fillId="11" borderId="0" xfId="8" applyNumberFormat="1" applyFont="1" applyFill="1" applyBorder="1" applyAlignment="1">
      <alignment horizontal="left" vertical="top" wrapText="1"/>
    </xf>
    <xf numFmtId="0" fontId="8" fillId="11" borderId="0" xfId="8" applyFont="1" applyFill="1" applyBorder="1" applyAlignment="1">
      <alignment vertical="top"/>
    </xf>
    <xf numFmtId="0" fontId="8" fillId="11" borderId="0" xfId="8" applyFont="1" applyFill="1" applyBorder="1" applyAlignment="1">
      <alignment horizontal="center" vertical="top"/>
    </xf>
    <xf numFmtId="0" fontId="8" fillId="11" borderId="0" xfId="8" applyNumberFormat="1" applyFont="1" applyFill="1" applyBorder="1" applyAlignment="1">
      <alignment horizontal="center" vertical="top"/>
    </xf>
    <xf numFmtId="4" fontId="8" fillId="0" borderId="0" xfId="8" applyNumberFormat="1" applyFont="1" applyFill="1" applyBorder="1" applyAlignment="1">
      <alignment horizontal="center" vertical="top"/>
    </xf>
    <xf numFmtId="49" fontId="9" fillId="0" borderId="42" xfId="8" applyNumberFormat="1" applyFont="1" applyBorder="1" applyAlignment="1">
      <alignment vertical="top"/>
    </xf>
    <xf numFmtId="0" fontId="9" fillId="0" borderId="42" xfId="8" applyNumberFormat="1" applyFont="1" applyFill="1" applyBorder="1" applyAlignment="1">
      <alignment horizontal="left" vertical="top" wrapText="1"/>
    </xf>
    <xf numFmtId="0" fontId="9" fillId="0" borderId="42" xfId="8" applyFont="1" applyBorder="1" applyAlignment="1">
      <alignment vertical="top"/>
    </xf>
    <xf numFmtId="0" fontId="9" fillId="0" borderId="42" xfId="8" applyFont="1" applyFill="1" applyBorder="1" applyAlignment="1">
      <alignment horizontal="right" vertical="top"/>
    </xf>
    <xf numFmtId="4" fontId="9" fillId="0" borderId="42" xfId="8" applyNumberFormat="1" applyFont="1" applyBorder="1" applyAlignment="1">
      <alignment horizontal="center" vertical="top"/>
    </xf>
    <xf numFmtId="49" fontId="24" fillId="0" borderId="0" xfId="8" applyNumberFormat="1" applyFont="1" applyFill="1" applyAlignment="1">
      <alignment vertical="top"/>
    </xf>
    <xf numFmtId="49" fontId="24" fillId="0" borderId="0" xfId="8" applyNumberFormat="1" applyFont="1" applyFill="1" applyAlignment="1">
      <alignment vertical="top" wrapText="1"/>
    </xf>
    <xf numFmtId="0" fontId="24" fillId="0" borderId="0" xfId="8" applyFont="1" applyFill="1" applyAlignment="1">
      <alignment vertical="top"/>
    </xf>
    <xf numFmtId="4" fontId="24" fillId="0" borderId="0" xfId="8" applyNumberFormat="1" applyFont="1" applyFill="1" applyAlignment="1">
      <alignment vertical="top"/>
    </xf>
    <xf numFmtId="4" fontId="24" fillId="0" borderId="0" xfId="8" applyNumberFormat="1" applyFont="1" applyFill="1" applyAlignment="1">
      <alignment horizontal="right" vertical="top"/>
    </xf>
    <xf numFmtId="3" fontId="7" fillId="0" borderId="0" xfId="8" applyNumberFormat="1" applyFont="1" applyFill="1" applyBorder="1" applyAlignment="1">
      <alignment vertical="top"/>
    </xf>
    <xf numFmtId="49" fontId="9" fillId="0" borderId="0" xfId="8" applyNumberFormat="1" applyFont="1" applyAlignment="1">
      <alignment vertical="top"/>
    </xf>
    <xf numFmtId="0" fontId="8" fillId="0" borderId="0" xfId="8" applyFont="1" applyFill="1" applyBorder="1" applyAlignment="1">
      <alignment horizontal="right" vertical="top"/>
    </xf>
    <xf numFmtId="0" fontId="9" fillId="0" borderId="0" xfId="8" applyFont="1" applyFill="1" applyBorder="1" applyAlignment="1">
      <alignment horizontal="right" vertical="top"/>
    </xf>
    <xf numFmtId="0" fontId="9" fillId="0" borderId="0" xfId="8" applyFont="1" applyBorder="1" applyAlignment="1">
      <alignment vertical="top"/>
    </xf>
    <xf numFmtId="4" fontId="9" fillId="0" borderId="0" xfId="8" applyNumberFormat="1" applyFont="1" applyBorder="1" applyAlignment="1">
      <alignment horizontal="center" vertical="top"/>
    </xf>
    <xf numFmtId="0" fontId="7" fillId="0" borderId="0" xfId="8" applyFont="1" applyBorder="1" applyAlignment="1">
      <alignment vertical="top"/>
    </xf>
    <xf numFmtId="49" fontId="7" fillId="0" borderId="0" xfId="8" applyNumberFormat="1" applyFont="1" applyBorder="1" applyAlignment="1">
      <alignment horizontal="left" vertical="top" wrapText="1"/>
    </xf>
    <xf numFmtId="0" fontId="7" fillId="0" borderId="0" xfId="8" applyFont="1" applyBorder="1" applyAlignment="1">
      <alignment horizontal="center" vertical="top"/>
    </xf>
    <xf numFmtId="49" fontId="23" fillId="0" borderId="0" xfId="8" applyNumberFormat="1" applyFont="1" applyBorder="1" applyAlignment="1">
      <alignment vertical="top"/>
    </xf>
    <xf numFmtId="49" fontId="31" fillId="0" borderId="0" xfId="8" applyNumberFormat="1" applyFont="1" applyBorder="1" applyAlignment="1">
      <alignment horizontal="left" vertical="top"/>
    </xf>
    <xf numFmtId="49" fontId="64" fillId="0" borderId="0" xfId="8" applyNumberFormat="1" applyFont="1" applyFill="1" applyAlignment="1">
      <alignment vertical="top" wrapText="1"/>
    </xf>
    <xf numFmtId="0" fontId="6" fillId="0" borderId="0" xfId="8" applyFont="1" applyFill="1" applyBorder="1" applyAlignment="1">
      <alignment horizontal="left" vertical="top"/>
    </xf>
    <xf numFmtId="0" fontId="6" fillId="0" borderId="0" xfId="8" applyFont="1" applyFill="1" applyBorder="1" applyAlignment="1">
      <alignment horizontal="center" vertical="top"/>
    </xf>
    <xf numFmtId="0" fontId="6" fillId="0" borderId="0" xfId="8" applyNumberFormat="1" applyFont="1" applyFill="1" applyBorder="1" applyAlignment="1">
      <alignment vertical="top"/>
    </xf>
    <xf numFmtId="0" fontId="6" fillId="0" borderId="0" xfId="8" applyFont="1" applyFill="1" applyAlignment="1">
      <alignment vertical="top"/>
    </xf>
    <xf numFmtId="0" fontId="6" fillId="0" borderId="0" xfId="8" applyFont="1" applyFill="1" applyBorder="1" applyAlignment="1">
      <alignment horizontal="right" vertical="top"/>
    </xf>
    <xf numFmtId="0" fontId="31" fillId="0" borderId="0" xfId="8" applyFont="1" applyFill="1" applyBorder="1" applyAlignment="1">
      <alignment horizontal="right" vertical="top"/>
    </xf>
    <xf numFmtId="0" fontId="31" fillId="0" borderId="0" xfId="8" applyFont="1" applyFill="1" applyBorder="1" applyAlignment="1">
      <alignment horizontal="left" vertical="top"/>
    </xf>
    <xf numFmtId="0" fontId="31" fillId="0" borderId="0" xfId="8" applyFont="1" applyFill="1" applyBorder="1" applyAlignment="1">
      <alignment horizontal="center" vertical="top"/>
    </xf>
    <xf numFmtId="0" fontId="31" fillId="0" borderId="0" xfId="8" applyNumberFormat="1" applyFont="1" applyFill="1" applyBorder="1" applyAlignment="1">
      <alignment vertical="top"/>
    </xf>
    <xf numFmtId="0" fontId="31" fillId="0" borderId="0" xfId="8" applyFont="1" applyFill="1" applyAlignment="1">
      <alignment vertical="top"/>
    </xf>
    <xf numFmtId="0" fontId="13" fillId="0" borderId="0" xfId="8" applyNumberFormat="1" applyFont="1" applyFill="1" applyBorder="1" applyAlignment="1">
      <alignment vertical="top"/>
    </xf>
    <xf numFmtId="0" fontId="14" fillId="0" borderId="0" xfId="8" applyFont="1" applyFill="1" applyBorder="1" applyAlignment="1">
      <alignment horizontal="center" vertical="top"/>
    </xf>
    <xf numFmtId="0" fontId="14" fillId="0" borderId="0" xfId="8" applyNumberFormat="1" applyFont="1" applyFill="1" applyBorder="1" applyAlignment="1">
      <alignment vertical="top"/>
    </xf>
    <xf numFmtId="0" fontId="13" fillId="0" borderId="0" xfId="8" applyNumberFormat="1" applyFont="1" applyFill="1" applyBorder="1" applyAlignment="1">
      <alignment vertical="top" wrapText="1"/>
    </xf>
    <xf numFmtId="0" fontId="13" fillId="0" borderId="0" xfId="8" applyFont="1" applyFill="1" applyAlignment="1">
      <alignment vertical="top"/>
    </xf>
    <xf numFmtId="0" fontId="13" fillId="0" borderId="0" xfId="8" applyFont="1" applyFill="1" applyBorder="1" applyAlignment="1">
      <alignment horizontal="right" vertical="top"/>
    </xf>
    <xf numFmtId="0" fontId="13" fillId="0" borderId="0" xfId="8" applyFont="1" applyFill="1" applyBorder="1" applyAlignment="1">
      <alignment horizontal="left" vertical="top"/>
    </xf>
    <xf numFmtId="49" fontId="13" fillId="0" borderId="0" xfId="8" applyNumberFormat="1" applyFont="1" applyFill="1" applyBorder="1" applyAlignment="1">
      <alignment horizontal="left" vertical="top" wrapText="1"/>
    </xf>
    <xf numFmtId="0" fontId="13" fillId="0" borderId="0" xfId="8" applyFont="1" applyFill="1" applyBorder="1" applyAlignment="1">
      <alignment horizontal="center" vertical="top"/>
    </xf>
    <xf numFmtId="49" fontId="43" fillId="0" borderId="6" xfId="8" applyNumberFormat="1" applyFont="1" applyFill="1" applyBorder="1" applyAlignment="1">
      <alignment horizontal="right" vertical="top"/>
    </xf>
    <xf numFmtId="49" fontId="43" fillId="0" borderId="6" xfId="8" applyNumberFormat="1" applyFont="1" applyFill="1" applyBorder="1" applyAlignment="1">
      <alignment vertical="top"/>
    </xf>
    <xf numFmtId="0" fontId="43" fillId="0" borderId="6" xfId="8" applyFont="1" applyFill="1" applyBorder="1" applyAlignment="1">
      <alignment vertical="top" wrapText="1"/>
    </xf>
    <xf numFmtId="3" fontId="11" fillId="0" borderId="6" xfId="8" applyNumberFormat="1" applyFont="1" applyFill="1" applyBorder="1" applyAlignment="1">
      <alignment horizontal="center" vertical="top"/>
    </xf>
    <xf numFmtId="0" fontId="11" fillId="0" borderId="6" xfId="8" applyNumberFormat="1" applyFont="1" applyFill="1" applyBorder="1" applyAlignment="1">
      <alignment horizontal="center" vertical="top"/>
    </xf>
    <xf numFmtId="0" fontId="14" fillId="0" borderId="0" xfId="8" applyFont="1" applyFill="1" applyBorder="1" applyAlignment="1">
      <alignment horizontal="right" vertical="top"/>
    </xf>
    <xf numFmtId="0" fontId="14" fillId="0" borderId="0" xfId="8" applyFont="1" applyFill="1" applyBorder="1" applyAlignment="1">
      <alignment horizontal="left" vertical="top"/>
    </xf>
    <xf numFmtId="3" fontId="14" fillId="0" borderId="0" xfId="8" applyNumberFormat="1" applyFont="1" applyFill="1" applyBorder="1" applyAlignment="1">
      <alignment horizontal="center" vertical="top"/>
    </xf>
    <xf numFmtId="0" fontId="14" fillId="0" borderId="0" xfId="8" applyNumberFormat="1" applyFont="1" applyFill="1" applyBorder="1" applyAlignment="1">
      <alignment horizontal="center" vertical="top"/>
    </xf>
    <xf numFmtId="49" fontId="13" fillId="0" borderId="0" xfId="8" applyNumberFormat="1" applyFont="1" applyFill="1" applyBorder="1" applyAlignment="1">
      <alignment horizontal="right" vertical="top"/>
    </xf>
    <xf numFmtId="0" fontId="17" fillId="0" borderId="0" xfId="8" applyFont="1" applyFill="1" applyAlignment="1">
      <alignment vertical="top" wrapText="1"/>
    </xf>
    <xf numFmtId="4" fontId="27" fillId="0" borderId="0" xfId="8" applyNumberFormat="1" applyFont="1" applyFill="1" applyBorder="1" applyAlignment="1">
      <alignment horizontal="center" vertical="top"/>
    </xf>
    <xf numFmtId="0" fontId="27" fillId="0" borderId="0" xfId="8" applyFont="1" applyFill="1" applyBorder="1" applyAlignment="1">
      <alignment horizontal="right" vertical="top"/>
    </xf>
    <xf numFmtId="0" fontId="27" fillId="0" borderId="0" xfId="8" applyFont="1" applyFill="1" applyBorder="1" applyAlignment="1">
      <alignment horizontal="left" vertical="top"/>
    </xf>
    <xf numFmtId="3" fontId="27" fillId="0" borderId="0" xfId="8" applyNumberFormat="1" applyFont="1" applyFill="1" applyBorder="1" applyAlignment="1">
      <alignment vertical="top"/>
    </xf>
    <xf numFmtId="4" fontId="27" fillId="0" borderId="0" xfId="8" applyNumberFormat="1" applyFont="1" applyFill="1" applyBorder="1" applyAlignment="1">
      <alignment vertical="top"/>
    </xf>
    <xf numFmtId="0" fontId="18" fillId="0" borderId="0" xfId="8" applyFont="1" applyFill="1" applyBorder="1" applyAlignment="1">
      <alignment horizontal="left" vertical="top" wrapText="1"/>
    </xf>
    <xf numFmtId="0" fontId="17" fillId="0" borderId="0" xfId="8" applyFont="1" applyFill="1" applyBorder="1" applyAlignment="1">
      <alignment horizontal="left" vertical="top" wrapText="1"/>
    </xf>
    <xf numFmtId="49" fontId="8" fillId="0" borderId="6" xfId="8" applyNumberFormat="1" applyFont="1" applyFill="1" applyBorder="1" applyAlignment="1">
      <alignment horizontal="right" vertical="top"/>
    </xf>
    <xf numFmtId="49" fontId="8" fillId="0" borderId="6" xfId="8" applyNumberFormat="1" applyFont="1" applyFill="1" applyBorder="1" applyAlignment="1">
      <alignment horizontal="left" vertical="top"/>
    </xf>
    <xf numFmtId="4" fontId="8" fillId="0" borderId="6" xfId="8" applyNumberFormat="1" applyFont="1" applyFill="1" applyBorder="1" applyAlignment="1">
      <alignment horizontal="center" vertical="top"/>
    </xf>
    <xf numFmtId="0" fontId="23" fillId="0" borderId="6" xfId="8" applyFont="1" applyFill="1" applyBorder="1" applyAlignment="1">
      <alignment horizontal="left" vertical="top"/>
    </xf>
    <xf numFmtId="0" fontId="63" fillId="0" borderId="6" xfId="8" applyFont="1" applyFill="1" applyBorder="1" applyAlignment="1">
      <alignment horizontal="left" vertical="top"/>
    </xf>
    <xf numFmtId="0" fontId="63" fillId="0" borderId="6" xfId="8" applyFont="1" applyFill="1" applyBorder="1" applyAlignment="1">
      <alignment vertical="top" wrapText="1"/>
    </xf>
    <xf numFmtId="0" fontId="63" fillId="0" borderId="6" xfId="8" applyFont="1" applyFill="1" applyBorder="1" applyAlignment="1">
      <alignment vertical="top"/>
    </xf>
    <xf numFmtId="0" fontId="63" fillId="0" borderId="6" xfId="8" applyFont="1" applyFill="1" applyBorder="1" applyAlignment="1">
      <alignment horizontal="center" vertical="top"/>
    </xf>
    <xf numFmtId="0" fontId="63" fillId="0" borderId="6" xfId="8" applyNumberFormat="1" applyFont="1" applyFill="1" applyBorder="1" applyAlignment="1">
      <alignment vertical="top"/>
    </xf>
    <xf numFmtId="0" fontId="7" fillId="0" borderId="0" xfId="8" applyFont="1" applyFill="1" applyAlignment="1">
      <alignment vertical="top"/>
    </xf>
    <xf numFmtId="49" fontId="7" fillId="0" borderId="0" xfId="8" applyNumberFormat="1" applyFont="1" applyFill="1" applyAlignment="1">
      <alignment horizontal="left" vertical="top" wrapText="1"/>
    </xf>
    <xf numFmtId="0" fontId="7" fillId="0" borderId="0" xfId="8" applyFont="1" applyFill="1" applyAlignment="1">
      <alignment horizontal="center" vertical="top"/>
    </xf>
    <xf numFmtId="0" fontId="7" fillId="0" borderId="0" xfId="8" applyNumberFormat="1" applyFont="1" applyFill="1" applyAlignment="1">
      <alignment vertical="top"/>
    </xf>
    <xf numFmtId="0" fontId="27" fillId="0" borderId="0" xfId="8" applyNumberFormat="1" applyFont="1" applyFill="1" applyBorder="1" applyAlignment="1">
      <alignment vertical="top"/>
    </xf>
    <xf numFmtId="0" fontId="27" fillId="0" borderId="0" xfId="8" applyNumberFormat="1" applyFont="1" applyFill="1" applyBorder="1" applyAlignment="1">
      <alignment vertical="top" wrapText="1"/>
    </xf>
    <xf numFmtId="49" fontId="7" fillId="0" borderId="0" xfId="8" applyNumberFormat="1" applyFont="1" applyFill="1" applyBorder="1" applyAlignment="1">
      <alignment vertical="top"/>
    </xf>
    <xf numFmtId="49" fontId="7" fillId="0" borderId="0" xfId="8" applyNumberFormat="1" applyFont="1" applyFill="1" applyBorder="1" applyAlignment="1">
      <alignment horizontal="left" vertical="top" wrapText="1"/>
    </xf>
    <xf numFmtId="3" fontId="7" fillId="0" borderId="0" xfId="8" applyNumberFormat="1" applyFont="1" applyFill="1" applyBorder="1" applyAlignment="1">
      <alignment horizontal="center" vertical="top"/>
    </xf>
    <xf numFmtId="0" fontId="7" fillId="0" borderId="0" xfId="8" applyNumberFormat="1" applyFont="1" applyFill="1" applyBorder="1" applyAlignment="1">
      <alignment horizontal="right" vertical="top"/>
    </xf>
    <xf numFmtId="49" fontId="9" fillId="0" borderId="0" xfId="8" applyNumberFormat="1" applyFont="1" applyFill="1" applyBorder="1" applyAlignment="1">
      <alignment vertical="top"/>
    </xf>
    <xf numFmtId="4" fontId="9" fillId="0" borderId="0" xfId="8" applyNumberFormat="1" applyFont="1" applyFill="1" applyBorder="1" applyAlignment="1">
      <alignment horizontal="center" vertical="top"/>
    </xf>
    <xf numFmtId="49" fontId="9" fillId="0" borderId="42" xfId="8" applyNumberFormat="1" applyFont="1" applyFill="1" applyBorder="1" applyAlignment="1">
      <alignment vertical="top"/>
    </xf>
    <xf numFmtId="0" fontId="9" fillId="0" borderId="42" xfId="8" applyFont="1" applyFill="1" applyBorder="1" applyAlignment="1">
      <alignment vertical="top"/>
    </xf>
    <xf numFmtId="4" fontId="9" fillId="0" borderId="42" xfId="8" applyNumberFormat="1" applyFont="1" applyFill="1" applyBorder="1" applyAlignment="1">
      <alignment horizontal="center" vertical="top"/>
    </xf>
    <xf numFmtId="3" fontId="65" fillId="0" borderId="0" xfId="8" applyNumberFormat="1" applyFont="1" applyFill="1" applyBorder="1" applyAlignment="1">
      <alignment vertical="top"/>
    </xf>
    <xf numFmtId="49" fontId="9" fillId="0" borderId="0" xfId="8" applyNumberFormat="1" applyFont="1" applyFill="1" applyAlignment="1">
      <alignment vertical="top"/>
    </xf>
    <xf numFmtId="0" fontId="7" fillId="0" borderId="0" xfId="8" applyFont="1" applyFill="1" applyBorder="1" applyAlignment="1">
      <alignment horizontal="center" vertical="top"/>
    </xf>
    <xf numFmtId="49" fontId="13" fillId="0" borderId="0" xfId="8" applyNumberFormat="1" applyFont="1" applyFill="1" applyBorder="1" applyAlignment="1">
      <alignment horizontal="left" vertical="top"/>
    </xf>
    <xf numFmtId="49" fontId="14" fillId="0" borderId="0" xfId="8" applyNumberFormat="1" applyFont="1" applyFill="1" applyBorder="1" applyAlignment="1">
      <alignment horizontal="left" vertical="top"/>
    </xf>
    <xf numFmtId="49" fontId="31" fillId="0" borderId="0" xfId="8" applyNumberFormat="1" applyFont="1" applyFill="1" applyBorder="1" applyAlignment="1">
      <alignment horizontal="left" vertical="top"/>
    </xf>
    <xf numFmtId="0" fontId="13" fillId="0" borderId="0" xfId="8" applyFont="1" applyFill="1" applyAlignment="1">
      <alignment horizontal="left" vertical="top" wrapText="1"/>
    </xf>
    <xf numFmtId="0" fontId="13" fillId="0" borderId="0" xfId="8" applyFont="1" applyFill="1" applyAlignment="1">
      <alignment vertical="top" wrapText="1"/>
    </xf>
    <xf numFmtId="0" fontId="29" fillId="4" borderId="0" xfId="8" applyFont="1" applyFill="1" applyBorder="1" applyAlignment="1">
      <alignment horizontal="center" vertical="top"/>
    </xf>
    <xf numFmtId="49" fontId="13" fillId="0" borderId="6" xfId="8" applyNumberFormat="1" applyFont="1" applyFill="1" applyBorder="1" applyAlignment="1">
      <alignment horizontal="right" vertical="top"/>
    </xf>
    <xf numFmtId="0" fontId="8" fillId="0" borderId="6" xfId="8" applyFont="1" applyFill="1" applyBorder="1" applyAlignment="1">
      <alignment horizontal="left" vertical="top"/>
    </xf>
    <xf numFmtId="4" fontId="23" fillId="0" borderId="0" xfId="8" applyNumberFormat="1" applyFont="1" applyFill="1" applyBorder="1" applyAlignment="1">
      <alignment horizontal="center" vertical="top"/>
    </xf>
    <xf numFmtId="0" fontId="7" fillId="0" borderId="0" xfId="8" applyFont="1" applyFill="1" applyAlignment="1">
      <alignment horizontal="center" vertical="top" wrapText="1"/>
    </xf>
    <xf numFmtId="49" fontId="43" fillId="0" borderId="0" xfId="8" applyNumberFormat="1" applyFont="1" applyFill="1" applyBorder="1" applyAlignment="1">
      <alignment horizontal="right" vertical="top"/>
    </xf>
    <xf numFmtId="49" fontId="43" fillId="0" borderId="0" xfId="8" applyNumberFormat="1" applyFont="1" applyFill="1" applyBorder="1" applyAlignment="1">
      <alignment vertical="top"/>
    </xf>
    <xf numFmtId="3" fontId="11" fillId="0" borderId="0" xfId="8" applyNumberFormat="1" applyFont="1" applyFill="1" applyBorder="1" applyAlignment="1">
      <alignment horizontal="center" vertical="top"/>
    </xf>
    <xf numFmtId="0" fontId="11" fillId="0" borderId="0" xfId="8" applyNumberFormat="1" applyFont="1" applyFill="1" applyBorder="1" applyAlignment="1">
      <alignment horizontal="center" vertical="top"/>
    </xf>
    <xf numFmtId="4" fontId="13" fillId="0" borderId="0" xfId="8" applyNumberFormat="1" applyFont="1" applyFill="1" applyBorder="1" applyAlignment="1">
      <alignment vertical="top"/>
    </xf>
    <xf numFmtId="0" fontId="31" fillId="0" borderId="0" xfId="8" applyFont="1" applyFill="1" applyBorder="1" applyAlignment="1">
      <alignment vertical="top" wrapText="1"/>
    </xf>
    <xf numFmtId="0" fontId="43" fillId="0" borderId="0" xfId="8" applyFont="1" applyFill="1" applyBorder="1" applyAlignment="1">
      <alignment vertical="top" wrapText="1"/>
    </xf>
    <xf numFmtId="0" fontId="66" fillId="0" borderId="0" xfId="8" applyFont="1" applyFill="1" applyBorder="1" applyAlignment="1" applyProtection="1">
      <alignment vertical="top" wrapText="1"/>
    </xf>
    <xf numFmtId="0" fontId="27" fillId="0" borderId="0" xfId="8" applyFont="1" applyFill="1" applyBorder="1" applyAlignment="1">
      <alignment vertical="top" wrapText="1"/>
    </xf>
    <xf numFmtId="0" fontId="13" fillId="0" borderId="0" xfId="8" applyFont="1" applyFill="1" applyBorder="1" applyAlignment="1">
      <alignment horizontal="left" vertical="top" wrapText="1"/>
    </xf>
    <xf numFmtId="49" fontId="67" fillId="0" borderId="0" xfId="8" applyNumberFormat="1" applyFont="1" applyFill="1" applyBorder="1" applyAlignment="1" applyProtection="1">
      <alignment horizontal="left" vertical="top"/>
    </xf>
    <xf numFmtId="1" fontId="67" fillId="0" borderId="0" xfId="8" applyNumberFormat="1" applyFont="1" applyFill="1" applyBorder="1" applyAlignment="1" applyProtection="1">
      <alignment horizontal="left" vertical="top"/>
    </xf>
    <xf numFmtId="0" fontId="66" fillId="0" borderId="0" xfId="8" applyFont="1" applyFill="1" applyBorder="1" applyAlignment="1" applyProtection="1">
      <alignment horizontal="center" vertical="top"/>
    </xf>
    <xf numFmtId="4" fontId="66" fillId="0" borderId="0" xfId="8" applyNumberFormat="1" applyFont="1" applyFill="1" applyBorder="1" applyAlignment="1" applyProtection="1">
      <alignment horizontal="center" vertical="top"/>
    </xf>
    <xf numFmtId="169" fontId="66" fillId="0" borderId="0" xfId="8" applyNumberFormat="1" applyFont="1" applyFill="1" applyBorder="1" applyAlignment="1" applyProtection="1">
      <alignment vertical="top"/>
      <protection locked="0"/>
    </xf>
    <xf numFmtId="49" fontId="40" fillId="0" borderId="0" xfId="8" applyNumberFormat="1" applyAlignment="1">
      <alignment vertical="top"/>
    </xf>
    <xf numFmtId="49" fontId="66" fillId="0" borderId="0" xfId="8" applyNumberFormat="1" applyFont="1" applyFill="1" applyBorder="1" applyAlignment="1" applyProtection="1">
      <alignment horizontal="left" vertical="top"/>
    </xf>
    <xf numFmtId="0" fontId="66" fillId="0" borderId="0" xfId="8" applyFont="1" applyFill="1" applyBorder="1" applyAlignment="1" applyProtection="1">
      <alignment vertical="top"/>
    </xf>
    <xf numFmtId="0" fontId="69" fillId="0" borderId="0" xfId="8" applyFont="1" applyFill="1" applyBorder="1" applyAlignment="1" applyProtection="1">
      <alignment horizontal="center" vertical="top"/>
    </xf>
    <xf numFmtId="4" fontId="69" fillId="0" borderId="0" xfId="8" applyNumberFormat="1" applyFont="1" applyFill="1" applyBorder="1" applyAlignment="1" applyProtection="1">
      <alignment horizontal="center" vertical="top"/>
    </xf>
    <xf numFmtId="169" fontId="69" fillId="0" borderId="0" xfId="8" applyNumberFormat="1" applyFont="1" applyFill="1" applyBorder="1" applyAlignment="1" applyProtection="1">
      <alignment vertical="top"/>
      <protection locked="0"/>
    </xf>
    <xf numFmtId="0" fontId="67" fillId="0" borderId="0" xfId="8" applyFont="1" applyFill="1" applyBorder="1" applyAlignment="1" applyProtection="1">
      <alignment horizontal="left" vertical="top"/>
    </xf>
    <xf numFmtId="0" fontId="69" fillId="0" borderId="0" xfId="8" applyNumberFormat="1" applyFont="1" applyFill="1" applyBorder="1" applyAlignment="1" applyProtection="1">
      <alignment horizontal="center" vertical="top"/>
    </xf>
    <xf numFmtId="49" fontId="67" fillId="0" borderId="0" xfId="16" applyNumberFormat="1" applyFont="1" applyFill="1" applyBorder="1" applyAlignment="1" applyProtection="1">
      <alignment horizontal="left" vertical="top" wrapText="1"/>
    </xf>
    <xf numFmtId="0" fontId="67" fillId="0" borderId="0" xfId="8" applyFont="1" applyFill="1" applyBorder="1" applyAlignment="1" applyProtection="1">
      <alignment vertical="top" wrapText="1"/>
    </xf>
    <xf numFmtId="4" fontId="66" fillId="0" borderId="0" xfId="8" applyNumberFormat="1" applyFont="1" applyFill="1" applyBorder="1" applyAlignment="1" applyProtection="1">
      <alignment horizontal="center" vertical="top" wrapText="1"/>
    </xf>
    <xf numFmtId="169" fontId="66" fillId="0" borderId="0" xfId="17" applyNumberFormat="1" applyFont="1" applyFill="1" applyBorder="1" applyAlignment="1" applyProtection="1">
      <alignment horizontal="right" vertical="top"/>
      <protection locked="0"/>
    </xf>
    <xf numFmtId="171" fontId="62" fillId="0" borderId="0" xfId="18" applyNumberFormat="1" applyFont="1" applyFill="1" applyBorder="1" applyAlignment="1" applyProtection="1">
      <alignment horizontal="left" vertical="top" wrapText="1"/>
    </xf>
    <xf numFmtId="171" fontId="72" fillId="0" borderId="0" xfId="18" applyNumberFormat="1" applyFont="1" applyFill="1" applyBorder="1" applyAlignment="1" applyProtection="1">
      <alignment horizontal="center" vertical="top"/>
    </xf>
    <xf numFmtId="4" fontId="72" fillId="0" borderId="0" xfId="18" applyNumberFormat="1" applyFont="1" applyFill="1" applyBorder="1" applyAlignment="1" applyProtection="1">
      <alignment horizontal="center" vertical="top"/>
    </xf>
    <xf numFmtId="169" fontId="73" fillId="0" borderId="0" xfId="8" applyNumberFormat="1" applyFont="1" applyFill="1" applyBorder="1" applyAlignment="1" applyProtection="1">
      <alignment horizontal="right" vertical="top" wrapText="1"/>
      <protection locked="0"/>
    </xf>
    <xf numFmtId="49" fontId="73" fillId="0" borderId="0" xfId="19" applyNumberFormat="1" applyFont="1" applyFill="1" applyBorder="1" applyAlignment="1" applyProtection="1">
      <alignment horizontal="left" vertical="top" wrapText="1"/>
    </xf>
    <xf numFmtId="49" fontId="73" fillId="0" borderId="0" xfId="8" applyNumberFormat="1" applyFont="1" applyFill="1" applyBorder="1" applyAlignment="1" applyProtection="1">
      <alignment horizontal="left" vertical="top" wrapText="1"/>
    </xf>
    <xf numFmtId="0" fontId="9" fillId="0" borderId="0" xfId="8" applyFont="1" applyFill="1" applyBorder="1" applyAlignment="1">
      <alignment horizontal="left" vertical="top"/>
    </xf>
    <xf numFmtId="49" fontId="67" fillId="0" borderId="0" xfId="20" applyNumberFormat="1" applyFont="1" applyFill="1" applyBorder="1" applyAlignment="1" applyProtection="1">
      <alignment horizontal="left" vertical="top" wrapText="1"/>
    </xf>
    <xf numFmtId="171" fontId="67" fillId="0" borderId="0" xfId="18" applyNumberFormat="1" applyFont="1" applyFill="1" applyBorder="1" applyAlignment="1" applyProtection="1">
      <alignment vertical="top" wrapText="1"/>
    </xf>
    <xf numFmtId="4" fontId="66" fillId="0" borderId="0" xfId="17" applyNumberFormat="1" applyFont="1" applyFill="1" applyBorder="1" applyAlignment="1" applyProtection="1">
      <alignment horizontal="center" vertical="top"/>
    </xf>
    <xf numFmtId="169" fontId="67" fillId="0" borderId="0" xfId="17" applyNumberFormat="1" applyFont="1" applyFill="1" applyBorder="1" applyAlignment="1" applyProtection="1">
      <alignment vertical="top"/>
    </xf>
    <xf numFmtId="49" fontId="67" fillId="0" borderId="0" xfId="8" applyNumberFormat="1" applyFont="1" applyFill="1" applyBorder="1" applyAlignment="1" applyProtection="1">
      <alignment horizontal="left" vertical="top" wrapText="1"/>
    </xf>
    <xf numFmtId="0" fontId="73" fillId="0" borderId="0" xfId="8" applyFont="1" applyFill="1" applyBorder="1" applyAlignment="1" applyProtection="1">
      <alignment horizontal="center" vertical="top" wrapText="1"/>
    </xf>
    <xf numFmtId="4" fontId="73" fillId="0" borderId="0" xfId="8" applyNumberFormat="1" applyFont="1" applyFill="1" applyBorder="1" applyAlignment="1" applyProtection="1">
      <alignment horizontal="center" vertical="top" wrapText="1"/>
    </xf>
    <xf numFmtId="0" fontId="73" fillId="0" borderId="0" xfId="8" applyFont="1" applyFill="1" applyBorder="1" applyAlignment="1" applyProtection="1">
      <alignment vertical="top" wrapText="1"/>
    </xf>
    <xf numFmtId="0" fontId="67" fillId="0" borderId="0" xfId="21" applyFont="1" applyFill="1" applyBorder="1" applyAlignment="1" applyProtection="1">
      <alignment horizontal="justify" vertical="top" wrapText="1"/>
    </xf>
    <xf numFmtId="1" fontId="66" fillId="0" borderId="0" xfId="8" applyNumberFormat="1" applyFont="1" applyFill="1" applyBorder="1" applyAlignment="1" applyProtection="1">
      <alignment vertical="top" wrapText="1"/>
    </xf>
    <xf numFmtId="0" fontId="77" fillId="0" borderId="0" xfId="8" applyFont="1" applyFill="1" applyBorder="1" applyAlignment="1" applyProtection="1">
      <alignment vertical="top" wrapText="1"/>
    </xf>
    <xf numFmtId="49" fontId="66" fillId="0" borderId="0" xfId="17" applyNumberFormat="1" applyFont="1" applyFill="1" applyBorder="1" applyAlignment="1" applyProtection="1">
      <alignment horizontal="left" vertical="top"/>
    </xf>
    <xf numFmtId="171" fontId="67" fillId="0" borderId="0" xfId="18" applyNumberFormat="1" applyFont="1" applyFill="1" applyBorder="1" applyAlignment="1" applyProtection="1">
      <alignment vertical="top"/>
    </xf>
    <xf numFmtId="49" fontId="14" fillId="0" borderId="0" xfId="8" applyNumberFormat="1" applyFont="1" applyFill="1" applyBorder="1" applyAlignment="1">
      <alignment vertical="top"/>
    </xf>
    <xf numFmtId="49" fontId="40" fillId="0" borderId="0" xfId="8" applyNumberFormat="1"/>
    <xf numFmtId="49" fontId="78" fillId="0" borderId="0" xfId="8" applyNumberFormat="1" applyFont="1" applyFill="1" applyBorder="1" applyAlignment="1">
      <alignment horizontal="left" vertical="top"/>
    </xf>
    <xf numFmtId="0" fontId="66" fillId="0" borderId="0" xfId="8" applyFont="1" applyFill="1" applyBorder="1" applyAlignment="1" applyProtection="1">
      <alignment horizontal="center" vertical="top" wrapText="1"/>
    </xf>
    <xf numFmtId="169" fontId="67" fillId="0" borderId="0" xfId="8" applyNumberFormat="1" applyFont="1" applyFill="1" applyBorder="1" applyAlignment="1" applyProtection="1">
      <alignment horizontal="right" vertical="top"/>
      <protection locked="0"/>
    </xf>
    <xf numFmtId="49" fontId="15" fillId="0" borderId="0" xfId="8" applyNumberFormat="1" applyFont="1" applyFill="1" applyBorder="1" applyAlignment="1">
      <alignment horizontal="left" vertical="top"/>
    </xf>
    <xf numFmtId="49" fontId="13" fillId="0" borderId="0" xfId="8" applyNumberFormat="1" applyFont="1" applyFill="1" applyBorder="1" applyAlignment="1">
      <alignment vertical="top"/>
    </xf>
    <xf numFmtId="49" fontId="62" fillId="0" borderId="0" xfId="8" applyNumberFormat="1" applyFont="1" applyFill="1" applyBorder="1" applyAlignment="1" applyProtection="1">
      <alignment horizontal="left" vertical="top" wrapText="1"/>
    </xf>
    <xf numFmtId="171" fontId="18" fillId="0" borderId="0" xfId="18" applyNumberFormat="1" applyFont="1" applyFill="1" applyBorder="1" applyAlignment="1" applyProtection="1">
      <alignment vertical="top" wrapText="1"/>
    </xf>
    <xf numFmtId="0" fontId="66" fillId="0" borderId="0" xfId="21" applyFont="1" applyFill="1" applyBorder="1" applyAlignment="1" applyProtection="1">
      <alignment horizontal="justify" vertical="top" wrapText="1"/>
    </xf>
    <xf numFmtId="2" fontId="11" fillId="0" borderId="6" xfId="8" applyNumberFormat="1" applyFont="1" applyBorder="1" applyAlignment="1">
      <alignment horizontal="center" vertical="top"/>
    </xf>
    <xf numFmtId="2" fontId="14" fillId="0" borderId="0" xfId="8" applyNumberFormat="1" applyFont="1" applyBorder="1" applyAlignment="1">
      <alignment horizontal="center" vertical="top"/>
    </xf>
    <xf numFmtId="0" fontId="40" fillId="0" borderId="0" xfId="8" applyFont="1" applyFill="1" applyAlignment="1">
      <alignment horizontal="left" vertical="top"/>
    </xf>
    <xf numFmtId="0" fontId="40" fillId="0" borderId="0" xfId="8" applyFill="1"/>
    <xf numFmtId="0" fontId="40" fillId="0" borderId="0" xfId="8" applyFont="1" applyBorder="1" applyAlignment="1">
      <alignment wrapText="1"/>
    </xf>
    <xf numFmtId="2" fontId="29" fillId="0" borderId="0" xfId="8" applyNumberFormat="1" applyFont="1" applyBorder="1" applyAlignment="1">
      <alignment horizontal="center" vertical="top"/>
    </xf>
    <xf numFmtId="49" fontId="53" fillId="0" borderId="0" xfId="8" applyNumberFormat="1" applyFont="1" applyFill="1" applyBorder="1" applyAlignment="1">
      <alignment horizontal="right" wrapText="1"/>
    </xf>
    <xf numFmtId="4" fontId="11" fillId="0" borderId="0" xfId="8" applyNumberFormat="1" applyFont="1" applyFill="1" applyAlignment="1">
      <alignment horizontal="right" wrapText="1"/>
    </xf>
    <xf numFmtId="4" fontId="40" fillId="0" borderId="0" xfId="8" applyNumberFormat="1" applyFont="1" applyFill="1" applyAlignment="1">
      <alignment horizontal="right"/>
    </xf>
    <xf numFmtId="0" fontId="40" fillId="0" borderId="0" xfId="8" applyBorder="1" applyAlignment="1">
      <alignment wrapText="1"/>
    </xf>
    <xf numFmtId="49" fontId="40" fillId="0" borderId="0" xfId="8" applyNumberFormat="1" applyBorder="1" applyAlignment="1">
      <alignment wrapText="1"/>
    </xf>
    <xf numFmtId="49" fontId="40" fillId="0" borderId="0" xfId="8" applyNumberFormat="1" applyFont="1" applyBorder="1" applyAlignment="1">
      <alignment wrapText="1"/>
    </xf>
    <xf numFmtId="0" fontId="40" fillId="0" borderId="0" xfId="8" quotePrefix="1" applyNumberFormat="1" applyBorder="1" applyAlignment="1">
      <alignment wrapText="1"/>
    </xf>
    <xf numFmtId="0" fontId="40" fillId="0" borderId="0" xfId="8" applyNumberFormat="1" applyFill="1" applyBorder="1" applyAlignment="1">
      <alignment wrapText="1"/>
    </xf>
    <xf numFmtId="4" fontId="40" fillId="0" borderId="0" xfId="8" applyNumberFormat="1" applyFont="1" applyFill="1" applyBorder="1" applyAlignment="1">
      <alignment horizontal="right"/>
    </xf>
    <xf numFmtId="0" fontId="40" fillId="0" borderId="0" xfId="8" applyFont="1" applyFill="1" applyBorder="1" applyAlignment="1">
      <alignment wrapText="1"/>
    </xf>
    <xf numFmtId="2" fontId="8" fillId="0" borderId="6" xfId="8" applyNumberFormat="1" applyFont="1" applyFill="1" applyBorder="1" applyAlignment="1">
      <alignment horizontal="right" vertical="top"/>
    </xf>
    <xf numFmtId="2" fontId="23" fillId="0" borderId="0" xfId="8" applyNumberFormat="1" applyFont="1" applyFill="1" applyBorder="1" applyAlignment="1">
      <alignment horizontal="right" vertical="top"/>
    </xf>
    <xf numFmtId="2" fontId="13" fillId="0" borderId="0" xfId="8" applyNumberFormat="1" applyFont="1" applyBorder="1" applyAlignment="1">
      <alignment horizontal="center" vertical="top"/>
    </xf>
    <xf numFmtId="2" fontId="63" fillId="0" borderId="6" xfId="8" applyNumberFormat="1" applyFont="1" applyBorder="1" applyAlignment="1">
      <alignment horizontal="center" vertical="top"/>
    </xf>
    <xf numFmtId="2" fontId="7" fillId="0" borderId="0" xfId="8" applyNumberFormat="1" applyFont="1" applyAlignment="1">
      <alignment horizontal="center" vertical="top"/>
    </xf>
    <xf numFmtId="2" fontId="27" fillId="0" borderId="0" xfId="8" applyNumberFormat="1" applyFont="1" applyBorder="1" applyAlignment="1">
      <alignment vertical="top"/>
    </xf>
    <xf numFmtId="2" fontId="8" fillId="11" borderId="0" xfId="8" applyNumberFormat="1" applyFont="1" applyFill="1" applyBorder="1" applyAlignment="1">
      <alignment horizontal="center" vertical="top"/>
    </xf>
    <xf numFmtId="2" fontId="8" fillId="0" borderId="0" xfId="8" applyNumberFormat="1" applyFont="1" applyFill="1" applyBorder="1" applyAlignment="1">
      <alignment horizontal="center" vertical="top"/>
    </xf>
    <xf numFmtId="2" fontId="9" fillId="0" borderId="0" xfId="8" applyNumberFormat="1" applyFont="1" applyFill="1" applyBorder="1" applyAlignment="1">
      <alignment horizontal="right" vertical="top"/>
    </xf>
    <xf numFmtId="2" fontId="9" fillId="0" borderId="42" xfId="8" applyNumberFormat="1" applyFont="1" applyFill="1" applyBorder="1" applyAlignment="1">
      <alignment horizontal="right" vertical="top"/>
    </xf>
    <xf numFmtId="2" fontId="24" fillId="0" borderId="0" xfId="8" applyNumberFormat="1" applyFont="1" applyFill="1" applyAlignment="1">
      <alignment vertical="top"/>
    </xf>
    <xf numFmtId="4" fontId="9" fillId="0" borderId="0" xfId="8" applyNumberFormat="1" applyFont="1" applyBorder="1" applyAlignment="1">
      <alignment vertical="top"/>
    </xf>
    <xf numFmtId="0" fontId="40" fillId="0" borderId="0" xfId="8" applyFill="1" applyAlignment="1">
      <alignment horizontal="left" vertical="top" wrapText="1"/>
    </xf>
    <xf numFmtId="172" fontId="29" fillId="0" borderId="0" xfId="8" applyNumberFormat="1" applyFont="1" applyFill="1" applyBorder="1" applyAlignment="1">
      <alignment horizontal="center" vertical="top"/>
    </xf>
    <xf numFmtId="172" fontId="14" fillId="0" borderId="0" xfId="8" applyNumberFormat="1" applyFont="1" applyBorder="1" applyAlignment="1">
      <alignment horizontal="center" vertical="top"/>
    </xf>
    <xf numFmtId="4" fontId="14" fillId="0" borderId="0" xfId="8" applyNumberFormat="1" applyFont="1" applyFill="1" applyBorder="1" applyAlignment="1">
      <alignment vertical="top"/>
    </xf>
    <xf numFmtId="0" fontId="50" fillId="0" borderId="0" xfId="8" applyNumberFormat="1" applyFont="1" applyFill="1" applyAlignment="1">
      <alignment horizontal="left" vertical="top" wrapText="1"/>
    </xf>
    <xf numFmtId="4" fontId="17" fillId="0" borderId="25" xfId="5" applyNumberFormat="1" applyFont="1" applyFill="1" applyBorder="1" applyAlignment="1">
      <alignment horizontal="right" vertical="center" wrapText="1"/>
    </xf>
    <xf numFmtId="4" fontId="18" fillId="0" borderId="20" xfId="5" applyNumberFormat="1" applyFont="1" applyFill="1" applyBorder="1" applyAlignment="1">
      <alignment horizontal="right"/>
    </xf>
    <xf numFmtId="0" fontId="9" fillId="0" borderId="0" xfId="0" applyFont="1" applyAlignment="1">
      <alignment horizontal="left" vertical="top"/>
    </xf>
    <xf numFmtId="0" fontId="43" fillId="0" borderId="0" xfId="0" applyFont="1" applyAlignment="1">
      <alignment horizontal="left" vertical="top" wrapText="1"/>
    </xf>
    <xf numFmtId="0" fontId="0" fillId="0" borderId="0" xfId="0"/>
    <xf numFmtId="49" fontId="17" fillId="0" borderId="0" xfId="22" applyNumberFormat="1" applyFont="1" applyAlignment="1">
      <alignment horizontal="center" vertical="top"/>
    </xf>
    <xf numFmtId="0" fontId="17" fillId="0" borderId="0" xfId="22" applyFont="1" applyAlignment="1">
      <alignment horizontal="left" vertical="top" wrapText="1"/>
    </xf>
    <xf numFmtId="4" fontId="17" fillId="0" borderId="0" xfId="22" applyNumberFormat="1" applyFont="1" applyAlignment="1">
      <alignment vertical="top"/>
    </xf>
    <xf numFmtId="0" fontId="17" fillId="0" borderId="0" xfId="22" applyFont="1" applyAlignment="1">
      <alignment vertical="top"/>
    </xf>
    <xf numFmtId="0" fontId="83" fillId="0" borderId="0" xfId="22" applyFont="1" applyAlignment="1">
      <alignment vertical="top"/>
    </xf>
    <xf numFmtId="0" fontId="84" fillId="0" borderId="0" xfId="7" applyFont="1" applyBorder="1" applyAlignment="1">
      <alignment vertical="center"/>
    </xf>
    <xf numFmtId="0" fontId="85" fillId="0" borderId="0" xfId="7" applyFont="1" applyBorder="1" applyAlignment="1">
      <alignment horizontal="center" vertical="center"/>
    </xf>
    <xf numFmtId="0" fontId="86" fillId="0" borderId="0" xfId="7" applyFont="1" applyBorder="1" applyAlignment="1">
      <alignment horizontal="center" vertical="center"/>
    </xf>
    <xf numFmtId="0" fontId="13" fillId="0" borderId="0" xfId="23" applyFont="1" applyBorder="1" applyAlignment="1">
      <alignment horizontal="center" vertical="top"/>
    </xf>
    <xf numFmtId="0" fontId="13" fillId="0" borderId="0" xfId="23" applyFont="1" applyAlignment="1">
      <alignment horizontal="left" vertical="top" wrapText="1"/>
    </xf>
    <xf numFmtId="0" fontId="87" fillId="0" borderId="0" xfId="7" applyFont="1" applyBorder="1" applyAlignment="1" applyProtection="1">
      <alignment vertical="center"/>
      <protection locked="0"/>
    </xf>
    <xf numFmtId="0" fontId="88" fillId="0" borderId="0" xfId="7" applyFont="1" applyBorder="1" applyAlignment="1" applyProtection="1">
      <alignment horizontal="center" vertical="center"/>
      <protection locked="0"/>
    </xf>
    <xf numFmtId="0" fontId="89" fillId="0" borderId="0" xfId="7" applyFont="1" applyBorder="1" applyAlignment="1" applyProtection="1">
      <alignment horizontal="center" vertical="center"/>
      <protection locked="0"/>
    </xf>
    <xf numFmtId="0" fontId="88" fillId="0" borderId="0" xfId="7" quotePrefix="1" applyFont="1" applyBorder="1" applyAlignment="1" applyProtection="1">
      <alignment horizontal="center" vertical="center"/>
      <protection locked="0"/>
    </xf>
    <xf numFmtId="0" fontId="89" fillId="0" borderId="0" xfId="7" quotePrefix="1" applyFont="1" applyBorder="1" applyAlignment="1" applyProtection="1">
      <alignment horizontal="center" vertical="center"/>
      <protection locked="0"/>
    </xf>
    <xf numFmtId="0" fontId="17" fillId="0" borderId="0" xfId="24" applyFont="1" applyAlignment="1">
      <alignment horizontal="center" vertical="center"/>
    </xf>
    <xf numFmtId="49" fontId="13" fillId="0" borderId="0" xfId="23" applyNumberFormat="1" applyFont="1" applyBorder="1" applyAlignment="1">
      <alignment vertical="top" wrapText="1"/>
    </xf>
    <xf numFmtId="0" fontId="13" fillId="0" borderId="0" xfId="23" applyFont="1" applyFill="1" applyBorder="1" applyAlignment="1">
      <alignment vertical="top" wrapText="1"/>
    </xf>
    <xf numFmtId="0" fontId="13" fillId="0" borderId="0" xfId="23" applyFont="1" applyAlignment="1">
      <alignment vertical="top" wrapText="1"/>
    </xf>
    <xf numFmtId="2" fontId="13" fillId="0" borderId="0" xfId="23" applyNumberFormat="1" applyFont="1" applyBorder="1" applyAlignment="1">
      <alignment horizontal="center" vertical="top"/>
    </xf>
    <xf numFmtId="49" fontId="13" fillId="0" borderId="0" xfId="23" applyNumberFormat="1" applyFont="1" applyAlignment="1">
      <alignment horizontal="left" vertical="top" wrapText="1"/>
    </xf>
    <xf numFmtId="0" fontId="27" fillId="0" borderId="0" xfId="23" applyNumberFormat="1" applyFont="1" applyFill="1" applyAlignment="1">
      <alignment horizontal="center" vertical="center" wrapText="1"/>
    </xf>
    <xf numFmtId="0" fontId="18" fillId="0" borderId="0" xfId="23" applyFont="1" applyAlignment="1">
      <alignment horizontal="left" wrapText="1"/>
    </xf>
    <xf numFmtId="0" fontId="27" fillId="0" borderId="0" xfId="23" applyNumberFormat="1" applyFont="1" applyFill="1" applyAlignment="1">
      <alignment horizontal="center" vertical="top" wrapText="1"/>
    </xf>
    <xf numFmtId="0" fontId="13" fillId="0" borderId="0" xfId="23" applyFont="1" applyAlignment="1">
      <alignment horizontal="left" wrapText="1"/>
    </xf>
    <xf numFmtId="0" fontId="18" fillId="0" borderId="0" xfId="22" applyFont="1" applyAlignment="1">
      <alignment vertical="top"/>
    </xf>
    <xf numFmtId="0" fontId="43" fillId="0" borderId="0" xfId="22" applyFont="1" applyAlignment="1">
      <alignment vertical="top"/>
    </xf>
    <xf numFmtId="0" fontId="90" fillId="0" borderId="0" xfId="0" applyFont="1" applyBorder="1" applyAlignment="1">
      <alignment vertical="center"/>
    </xf>
    <xf numFmtId="0" fontId="11" fillId="0" borderId="0" xfId="0" applyFont="1" applyAlignment="1">
      <alignment vertical="center" wrapText="1"/>
    </xf>
    <xf numFmtId="4" fontId="11" fillId="0" borderId="0" xfId="0" applyNumberFormat="1" applyFont="1" applyAlignment="1">
      <alignment vertical="center"/>
    </xf>
    <xf numFmtId="0" fontId="11" fillId="0" borderId="0" xfId="22" applyFont="1" applyAlignment="1">
      <alignment vertical="center"/>
    </xf>
    <xf numFmtId="0" fontId="41" fillId="0" borderId="0" xfId="0" applyFont="1" applyBorder="1" applyAlignment="1">
      <alignment vertical="center"/>
    </xf>
    <xf numFmtId="0" fontId="11" fillId="0" borderId="0" xfId="0" applyFont="1" applyAlignment="1">
      <alignment vertical="top" wrapText="1"/>
    </xf>
    <xf numFmtId="4" fontId="10" fillId="0" borderId="0" xfId="0" applyNumberFormat="1" applyFont="1" applyAlignment="1">
      <alignment vertical="top"/>
    </xf>
    <xf numFmtId="0" fontId="11" fillId="0" borderId="0" xfId="22" applyFont="1" applyAlignment="1">
      <alignment vertical="top"/>
    </xf>
    <xf numFmtId="4" fontId="11" fillId="0" borderId="0" xfId="0" applyNumberFormat="1" applyFont="1" applyAlignment="1">
      <alignment vertical="top"/>
    </xf>
    <xf numFmtId="49" fontId="11" fillId="0" borderId="0" xfId="0" applyNumberFormat="1" applyFont="1" applyAlignment="1">
      <alignment horizontal="left" vertical="top"/>
    </xf>
    <xf numFmtId="49" fontId="18" fillId="0" borderId="1" xfId="0" applyNumberFormat="1" applyFont="1" applyBorder="1" applyAlignment="1">
      <alignment horizontal="center" vertical="center"/>
    </xf>
    <xf numFmtId="0" fontId="18" fillId="0" borderId="1" xfId="0" applyFont="1" applyBorder="1" applyAlignment="1">
      <alignment horizontal="center" vertical="center" wrapText="1"/>
    </xf>
    <xf numFmtId="4" fontId="18" fillId="0" borderId="1" xfId="0" applyNumberFormat="1" applyFont="1" applyBorder="1" applyAlignment="1">
      <alignment horizontal="center" vertical="center" wrapText="1"/>
    </xf>
    <xf numFmtId="0" fontId="18" fillId="0" borderId="1" xfId="24" applyFont="1" applyBorder="1" applyAlignment="1">
      <alignment horizontal="center" vertical="center"/>
    </xf>
    <xf numFmtId="49" fontId="18" fillId="0" borderId="44" xfId="0" applyNumberFormat="1" applyFont="1" applyBorder="1" applyAlignment="1">
      <alignment horizontal="center" vertical="center"/>
    </xf>
    <xf numFmtId="0" fontId="18" fillId="0" borderId="44" xfId="0" applyFont="1" applyFill="1" applyBorder="1" applyAlignment="1">
      <alignment horizontal="left" vertical="center" wrapText="1"/>
    </xf>
    <xf numFmtId="4" fontId="18" fillId="0" borderId="44" xfId="0" applyNumberFormat="1" applyFont="1" applyBorder="1" applyAlignment="1">
      <alignment horizontal="center" vertical="center"/>
    </xf>
    <xf numFmtId="0" fontId="17" fillId="0" borderId="0" xfId="22" applyFont="1" applyAlignment="1">
      <alignment vertical="center"/>
    </xf>
    <xf numFmtId="49" fontId="18" fillId="0" borderId="33" xfId="0" applyNumberFormat="1" applyFont="1" applyBorder="1" applyAlignment="1">
      <alignment horizontal="center" vertical="center"/>
    </xf>
    <xf numFmtId="0" fontId="18" fillId="0" borderId="5" xfId="0" applyFont="1" applyFill="1" applyBorder="1" applyAlignment="1">
      <alignment horizontal="left" vertical="center" wrapText="1"/>
    </xf>
    <xf numFmtId="4" fontId="18" fillId="0" borderId="33" xfId="0" applyNumberFormat="1" applyFont="1" applyBorder="1" applyAlignment="1">
      <alignment horizontal="center" vertical="center"/>
    </xf>
    <xf numFmtId="0" fontId="83" fillId="0" borderId="33" xfId="22" applyFont="1" applyBorder="1" applyAlignment="1">
      <alignment vertical="center"/>
    </xf>
    <xf numFmtId="0" fontId="17" fillId="0" borderId="33" xfId="22" applyFont="1" applyBorder="1" applyAlignment="1">
      <alignment vertical="center"/>
    </xf>
    <xf numFmtId="49" fontId="18" fillId="0" borderId="45" xfId="0" applyNumberFormat="1" applyFont="1" applyBorder="1" applyAlignment="1">
      <alignment horizontal="left" vertical="center"/>
    </xf>
    <xf numFmtId="0" fontId="18" fillId="0" borderId="46" xfId="0" applyFont="1" applyBorder="1" applyAlignment="1">
      <alignment vertical="center" wrapText="1"/>
    </xf>
    <xf numFmtId="4" fontId="18" fillId="0" borderId="46" xfId="0" applyNumberFormat="1" applyFont="1" applyFill="1" applyBorder="1" applyAlignment="1">
      <alignment vertical="center"/>
    </xf>
    <xf numFmtId="0" fontId="83" fillId="0" borderId="46" xfId="22" applyFont="1" applyBorder="1" applyAlignment="1">
      <alignment vertical="top"/>
    </xf>
    <xf numFmtId="49" fontId="17" fillId="0" borderId="0" xfId="22" applyNumberFormat="1" applyFont="1" applyAlignment="1">
      <alignment horizontal="left" vertical="top"/>
    </xf>
    <xf numFmtId="0" fontId="17" fillId="0" borderId="0" xfId="22" applyFont="1" applyAlignment="1">
      <alignment horizontal="justify" vertical="top" wrapText="1"/>
    </xf>
    <xf numFmtId="0" fontId="10" fillId="0" borderId="0" xfId="0" applyFont="1" applyAlignment="1">
      <alignment vertical="top" wrapText="1"/>
    </xf>
    <xf numFmtId="0" fontId="18" fillId="0" borderId="1" xfId="22" applyFont="1" applyBorder="1" applyAlignment="1">
      <alignment horizontal="center" vertical="center"/>
    </xf>
    <xf numFmtId="0" fontId="18" fillId="0" borderId="1" xfId="0" applyFont="1" applyFill="1" applyBorder="1" applyAlignment="1">
      <alignment horizontal="left" vertical="center" wrapText="1"/>
    </xf>
    <xf numFmtId="4" fontId="18" fillId="0" borderId="1" xfId="0" applyNumberFormat="1" applyFont="1" applyBorder="1" applyAlignment="1">
      <alignment horizontal="center" vertical="center"/>
    </xf>
    <xf numFmtId="49" fontId="18" fillId="0" borderId="47" xfId="0" applyNumberFormat="1" applyFont="1" applyFill="1" applyBorder="1" applyAlignment="1">
      <alignment horizontal="left" vertical="top" wrapText="1"/>
    </xf>
    <xf numFmtId="49" fontId="18" fillId="0" borderId="43" xfId="0" applyNumberFormat="1" applyFont="1" applyBorder="1" applyAlignment="1">
      <alignment horizontal="center" vertical="center"/>
    </xf>
    <xf numFmtId="49" fontId="18" fillId="0" borderId="43" xfId="0" applyNumberFormat="1" applyFont="1" applyFill="1" applyBorder="1" applyAlignment="1">
      <alignment horizontal="left" vertical="top" wrapText="1"/>
    </xf>
    <xf numFmtId="49" fontId="18" fillId="0" borderId="48" xfId="0" applyNumberFormat="1" applyFont="1" applyFill="1" applyBorder="1" applyAlignment="1">
      <alignment horizontal="left" vertical="top" wrapText="1"/>
    </xf>
    <xf numFmtId="0" fontId="18" fillId="0" borderId="46" xfId="0" applyFont="1" applyBorder="1" applyAlignment="1">
      <alignment horizontal="right" vertical="center" wrapText="1"/>
    </xf>
    <xf numFmtId="4" fontId="18" fillId="0" borderId="49" xfId="0" applyNumberFormat="1" applyFont="1" applyFill="1" applyBorder="1" applyAlignment="1">
      <alignment vertical="center"/>
    </xf>
    <xf numFmtId="49" fontId="18" fillId="0" borderId="49" xfId="0" applyNumberFormat="1" applyFont="1" applyBorder="1" applyAlignment="1">
      <alignment horizontal="left" vertical="center"/>
    </xf>
    <xf numFmtId="0" fontId="18" fillId="0" borderId="50" xfId="0" applyFont="1" applyBorder="1" applyAlignment="1">
      <alignment horizontal="right" vertical="center" wrapText="1"/>
    </xf>
    <xf numFmtId="49" fontId="13" fillId="5" borderId="0" xfId="0" applyNumberFormat="1" applyFont="1" applyFill="1" applyBorder="1" applyAlignment="1">
      <alignment horizontal="right" vertical="top"/>
    </xf>
    <xf numFmtId="0" fontId="17" fillId="5" borderId="0" xfId="2" applyFont="1" applyFill="1" applyBorder="1" applyAlignment="1">
      <alignment horizontal="left" vertical="top" wrapText="1"/>
    </xf>
    <xf numFmtId="0" fontId="17" fillId="5" borderId="0" xfId="0" applyFont="1" applyFill="1" applyBorder="1" applyAlignment="1">
      <alignment horizontal="center"/>
    </xf>
    <xf numFmtId="4" fontId="17" fillId="5" borderId="0" xfId="0" applyNumberFormat="1" applyFont="1" applyFill="1" applyBorder="1"/>
    <xf numFmtId="0" fontId="10" fillId="0" borderId="37" xfId="5" applyFont="1" applyBorder="1" applyAlignment="1">
      <alignment horizontal="left" vertical="top"/>
    </xf>
    <xf numFmtId="0" fontId="10" fillId="0" borderId="38" xfId="5" applyFont="1" applyBorder="1"/>
    <xf numFmtId="4" fontId="10" fillId="0" borderId="39" xfId="5" applyNumberFormat="1" applyFont="1" applyBorder="1"/>
    <xf numFmtId="0" fontId="10" fillId="0" borderId="10" xfId="5" applyFont="1" applyBorder="1" applyAlignment="1">
      <alignment horizontal="left" vertical="top"/>
    </xf>
    <xf numFmtId="167" fontId="10" fillId="0" borderId="13" xfId="5" applyNumberFormat="1" applyFont="1" applyBorder="1" applyAlignment="1">
      <alignment horizontal="left" vertical="top"/>
    </xf>
    <xf numFmtId="167" fontId="10" fillId="0" borderId="10" xfId="5" applyNumberFormat="1" applyFont="1" applyBorder="1" applyAlignment="1">
      <alignment horizontal="left" vertical="top"/>
    </xf>
    <xf numFmtId="0" fontId="10" fillId="0" borderId="34" xfId="5" applyFont="1" applyBorder="1"/>
    <xf numFmtId="0" fontId="10" fillId="0" borderId="35" xfId="5" applyFont="1" applyBorder="1"/>
    <xf numFmtId="167" fontId="10" fillId="0" borderId="35" xfId="5" applyNumberFormat="1" applyFont="1" applyBorder="1"/>
    <xf numFmtId="4" fontId="10" fillId="0" borderId="36" xfId="5" applyNumberFormat="1" applyFont="1" applyBorder="1"/>
    <xf numFmtId="0" fontId="31" fillId="0" borderId="0" xfId="25" applyFont="1"/>
    <xf numFmtId="0" fontId="11" fillId="0" borderId="0" xfId="25"/>
    <xf numFmtId="49" fontId="31" fillId="0" borderId="0" xfId="25" applyNumberFormat="1" applyFont="1"/>
    <xf numFmtId="0" fontId="30" fillId="0" borderId="0" xfId="25" applyFont="1"/>
    <xf numFmtId="0" fontId="11" fillId="0" borderId="0" xfId="25" applyFont="1"/>
    <xf numFmtId="0" fontId="15" fillId="0" borderId="0" xfId="25" applyFont="1"/>
    <xf numFmtId="0" fontId="10" fillId="0" borderId="37" xfId="25" applyFont="1" applyBorder="1"/>
    <xf numFmtId="0" fontId="10" fillId="0" borderId="38" xfId="25" applyFont="1" applyBorder="1"/>
    <xf numFmtId="167" fontId="10" fillId="0" borderId="38" xfId="25" applyNumberFormat="1" applyFont="1" applyBorder="1"/>
    <xf numFmtId="4" fontId="10" fillId="0" borderId="39" xfId="25" applyNumberFormat="1" applyFont="1" applyBorder="1"/>
    <xf numFmtId="0" fontId="10" fillId="0" borderId="10" xfId="25" applyFont="1" applyBorder="1"/>
    <xf numFmtId="0" fontId="10" fillId="0" borderId="4" xfId="25" applyFont="1" applyBorder="1"/>
    <xf numFmtId="167" fontId="10" fillId="0" borderId="4" xfId="25" applyNumberFormat="1" applyFont="1" applyBorder="1"/>
    <xf numFmtId="4" fontId="10" fillId="0" borderId="9" xfId="25" applyNumberFormat="1" applyFont="1" applyBorder="1"/>
    <xf numFmtId="167" fontId="10" fillId="0" borderId="13" xfId="25" applyNumberFormat="1" applyFont="1" applyBorder="1"/>
    <xf numFmtId="0" fontId="10" fillId="0" borderId="5" xfId="25" applyFont="1" applyBorder="1"/>
    <xf numFmtId="4" fontId="10" fillId="0" borderId="12" xfId="25" applyNumberFormat="1" applyFont="1" applyBorder="1"/>
    <xf numFmtId="0" fontId="10" fillId="0" borderId="8" xfId="25" applyFont="1" applyBorder="1"/>
    <xf numFmtId="0" fontId="10" fillId="0" borderId="6" xfId="25" applyFont="1" applyBorder="1"/>
    <xf numFmtId="167" fontId="10" fillId="0" borderId="6" xfId="25" applyNumberFormat="1" applyFont="1" applyBorder="1"/>
    <xf numFmtId="4" fontId="10" fillId="0" borderId="7" xfId="25" applyNumberFormat="1" applyFont="1" applyBorder="1"/>
    <xf numFmtId="0" fontId="10" fillId="0" borderId="11" xfId="25" applyFont="1" applyBorder="1"/>
    <xf numFmtId="167" fontId="10" fillId="0" borderId="0" xfId="25" applyNumberFormat="1" applyFont="1" applyBorder="1"/>
    <xf numFmtId="4" fontId="10" fillId="0" borderId="14" xfId="25" applyNumberFormat="1" applyFont="1" applyBorder="1"/>
    <xf numFmtId="167" fontId="10" fillId="0" borderId="18" xfId="25" applyNumberFormat="1" applyFont="1" applyBorder="1"/>
    <xf numFmtId="167" fontId="10" fillId="0" borderId="19" xfId="25" applyNumberFormat="1" applyFont="1" applyBorder="1"/>
    <xf numFmtId="167" fontId="11" fillId="0" borderId="19" xfId="25" applyNumberFormat="1" applyFont="1" applyBorder="1"/>
    <xf numFmtId="4" fontId="10" fillId="0" borderId="20" xfId="25" applyNumberFormat="1" applyFont="1" applyBorder="1"/>
    <xf numFmtId="167" fontId="11" fillId="0" borderId="0" xfId="25" applyNumberFormat="1" applyBorder="1"/>
    <xf numFmtId="166" fontId="11" fillId="0" borderId="0" xfId="25" applyNumberFormat="1" applyBorder="1"/>
    <xf numFmtId="0" fontId="11" fillId="0" borderId="0" xfId="25" applyBorder="1"/>
    <xf numFmtId="0" fontId="11" fillId="0" borderId="0" xfId="25" applyAlignment="1">
      <alignment horizontal="right"/>
    </xf>
    <xf numFmtId="0" fontId="11" fillId="0" borderId="17" xfId="25" applyFont="1" applyFill="1" applyBorder="1" applyAlignment="1">
      <alignment horizontal="center"/>
    </xf>
    <xf numFmtId="0" fontId="11" fillId="0" borderId="16" xfId="25" applyFont="1" applyFill="1" applyBorder="1" applyAlignment="1">
      <alignment horizontal="center" wrapText="1"/>
    </xf>
    <xf numFmtId="0" fontId="11" fillId="0" borderId="16" xfId="25" applyFont="1" applyFill="1" applyBorder="1" applyAlignment="1">
      <alignment horizontal="center"/>
    </xf>
    <xf numFmtId="167" fontId="11" fillId="0" borderId="15" xfId="25" applyNumberFormat="1" applyFont="1" applyFill="1" applyBorder="1" applyAlignment="1">
      <alignment horizontal="center"/>
    </xf>
    <xf numFmtId="0" fontId="18" fillId="0" borderId="17" xfId="25" applyFont="1" applyFill="1" applyBorder="1" applyAlignment="1"/>
    <xf numFmtId="0" fontId="11" fillId="0" borderId="16" xfId="25" applyFont="1" applyFill="1" applyBorder="1" applyAlignment="1"/>
    <xf numFmtId="0" fontId="11" fillId="0" borderId="15" xfId="25" applyFont="1" applyFill="1" applyBorder="1" applyAlignment="1"/>
    <xf numFmtId="0" fontId="11" fillId="0" borderId="0" xfId="25" applyAlignment="1">
      <alignment horizontal="left" wrapText="1"/>
    </xf>
    <xf numFmtId="0" fontId="17" fillId="0" borderId="34" xfId="25" applyFont="1" applyFill="1" applyBorder="1" applyAlignment="1">
      <alignment horizontal="center" vertical="center"/>
    </xf>
    <xf numFmtId="0" fontId="17" fillId="0" borderId="11" xfId="25" applyFont="1" applyFill="1" applyBorder="1" applyAlignment="1">
      <alignment horizontal="center" vertical="center"/>
    </xf>
    <xf numFmtId="0" fontId="18" fillId="0" borderId="11" xfId="25" applyFont="1" applyFill="1" applyBorder="1" applyAlignment="1"/>
    <xf numFmtId="0" fontId="17" fillId="0" borderId="0" xfId="25" applyFont="1" applyFill="1" applyBorder="1" applyAlignment="1"/>
    <xf numFmtId="0" fontId="17" fillId="0" borderId="14" xfId="25" applyFont="1" applyFill="1" applyBorder="1" applyAlignment="1"/>
    <xf numFmtId="0" fontId="17" fillId="0" borderId="16" xfId="25" applyFont="1" applyFill="1" applyBorder="1" applyAlignment="1"/>
    <xf numFmtId="0" fontId="17" fillId="0" borderId="15" xfId="25" applyFont="1" applyFill="1" applyBorder="1" applyAlignment="1"/>
    <xf numFmtId="0" fontId="17" fillId="0" borderId="21" xfId="25" applyFont="1" applyFill="1" applyBorder="1" applyAlignment="1">
      <alignment horizontal="center" vertical="center"/>
    </xf>
    <xf numFmtId="0" fontId="17" fillId="0" borderId="22" xfId="25" applyFont="1" applyFill="1" applyBorder="1" applyAlignment="1">
      <alignment horizontal="center" vertical="center"/>
    </xf>
    <xf numFmtId="2" fontId="17" fillId="0" borderId="22" xfId="25" applyNumberFormat="1" applyFont="1" applyFill="1" applyBorder="1" applyAlignment="1">
      <alignment horizontal="center" vertical="center"/>
    </xf>
    <xf numFmtId="0" fontId="17" fillId="0" borderId="26" xfId="25" applyFont="1" applyFill="1" applyBorder="1" applyAlignment="1">
      <alignment horizontal="center" vertical="center"/>
    </xf>
    <xf numFmtId="0" fontId="17" fillId="0" borderId="27" xfId="25" applyFont="1" applyFill="1" applyBorder="1" applyAlignment="1">
      <alignment horizontal="center" vertical="center"/>
    </xf>
    <xf numFmtId="2" fontId="17" fillId="0" borderId="27" xfId="25" applyNumberFormat="1" applyFont="1" applyFill="1" applyBorder="1" applyAlignment="1">
      <alignment horizontal="center" vertical="center"/>
    </xf>
    <xf numFmtId="0" fontId="17" fillId="0" borderId="22" xfId="25" applyFont="1" applyFill="1" applyBorder="1" applyAlignment="1">
      <alignment horizontal="left" vertical="center" wrapText="1"/>
    </xf>
    <xf numFmtId="0" fontId="17" fillId="0" borderId="21" xfId="25" applyFont="1" applyFill="1" applyBorder="1" applyAlignment="1">
      <alignment horizontal="center" vertical="center" wrapText="1"/>
    </xf>
    <xf numFmtId="0" fontId="17" fillId="0" borderId="22" xfId="25" applyNumberFormat="1" applyFont="1" applyFill="1" applyBorder="1" applyAlignment="1" applyProtection="1">
      <alignment wrapText="1"/>
    </xf>
    <xf numFmtId="0" fontId="17" fillId="0" borderId="22" xfId="25" applyFont="1" applyFill="1" applyBorder="1" applyAlignment="1">
      <alignment horizontal="center" vertical="center" wrapText="1"/>
    </xf>
    <xf numFmtId="4" fontId="17" fillId="0" borderId="22" xfId="25" applyNumberFormat="1" applyFont="1" applyFill="1" applyBorder="1" applyAlignment="1">
      <alignment horizontal="center" vertical="center" wrapText="1"/>
    </xf>
    <xf numFmtId="2" fontId="17" fillId="0" borderId="22" xfId="25" applyNumberFormat="1" applyFont="1" applyFill="1" applyBorder="1" applyAlignment="1">
      <alignment horizontal="center" vertical="center" wrapText="1"/>
    </xf>
    <xf numFmtId="0" fontId="17" fillId="0" borderId="24" xfId="25" applyFont="1" applyFill="1" applyBorder="1" applyAlignment="1">
      <alignment horizontal="center" vertical="center" wrapText="1"/>
    </xf>
    <xf numFmtId="49" fontId="17" fillId="0" borderId="1" xfId="25" applyNumberFormat="1" applyFont="1" applyFill="1" applyBorder="1" applyAlignment="1">
      <alignment vertical="center" wrapText="1"/>
    </xf>
    <xf numFmtId="0" fontId="17" fillId="0" borderId="1" xfId="25" applyFont="1" applyFill="1" applyBorder="1" applyAlignment="1">
      <alignment horizontal="center" vertical="center" wrapText="1"/>
    </xf>
    <xf numFmtId="4" fontId="17" fillId="0" borderId="1" xfId="25" applyNumberFormat="1" applyFont="1" applyFill="1" applyBorder="1" applyAlignment="1">
      <alignment horizontal="center" vertical="center" wrapText="1"/>
    </xf>
    <xf numFmtId="2" fontId="17" fillId="0" borderId="1" xfId="25" applyNumberFormat="1" applyFont="1" applyFill="1" applyBorder="1" applyAlignment="1">
      <alignment horizontal="center" vertical="center" wrapText="1"/>
    </xf>
    <xf numFmtId="0" fontId="17" fillId="0" borderId="26" xfId="25" applyFont="1" applyFill="1" applyBorder="1" applyAlignment="1">
      <alignment horizontal="center" vertical="center" wrapText="1"/>
    </xf>
    <xf numFmtId="0" fontId="17" fillId="0" borderId="27" xfId="25" applyFont="1" applyFill="1" applyBorder="1" applyAlignment="1">
      <alignment wrapText="1"/>
    </xf>
    <xf numFmtId="0" fontId="17" fillId="0" borderId="27" xfId="25" applyFont="1" applyFill="1" applyBorder="1" applyAlignment="1">
      <alignment horizontal="center" vertical="center" wrapText="1"/>
    </xf>
    <xf numFmtId="4" fontId="17" fillId="0" borderId="27" xfId="25" applyNumberFormat="1" applyFont="1" applyFill="1" applyBorder="1" applyAlignment="1">
      <alignment horizontal="center" vertical="center" wrapText="1"/>
    </xf>
    <xf numFmtId="2" fontId="17" fillId="0" borderId="27" xfId="25" applyNumberFormat="1" applyFont="1" applyFill="1" applyBorder="1" applyAlignment="1">
      <alignment horizontal="center" vertical="center" wrapText="1"/>
    </xf>
    <xf numFmtId="0" fontId="10" fillId="0" borderId="11" xfId="25" applyFont="1" applyFill="1" applyBorder="1" applyAlignment="1"/>
    <xf numFmtId="0" fontId="10" fillId="0" borderId="0" xfId="25" applyFont="1" applyFill="1" applyBorder="1" applyAlignment="1"/>
    <xf numFmtId="0" fontId="11" fillId="0" borderId="0" xfId="25" applyFont="1" applyFill="1" applyBorder="1" applyAlignment="1">
      <alignment horizontal="center"/>
    </xf>
    <xf numFmtId="0" fontId="10" fillId="0" borderId="18" xfId="25" applyFont="1" applyFill="1" applyBorder="1" applyAlignment="1">
      <alignment vertical="center"/>
    </xf>
    <xf numFmtId="0" fontId="10" fillId="0" borderId="19" xfId="25" applyFont="1" applyFill="1" applyBorder="1" applyAlignment="1">
      <alignment vertical="center"/>
    </xf>
    <xf numFmtId="49" fontId="17" fillId="0" borderId="22" xfId="25" applyNumberFormat="1" applyFont="1" applyFill="1" applyBorder="1" applyAlignment="1">
      <alignment wrapText="1"/>
    </xf>
    <xf numFmtId="49" fontId="17" fillId="0" borderId="22" xfId="25" applyNumberFormat="1" applyFont="1" applyFill="1" applyBorder="1" applyAlignment="1">
      <alignment horizontal="center" vertical="center" wrapText="1"/>
    </xf>
    <xf numFmtId="49" fontId="17" fillId="0" borderId="1" xfId="25" applyNumberFormat="1" applyFont="1" applyFill="1" applyBorder="1" applyAlignment="1">
      <alignment wrapText="1"/>
    </xf>
    <xf numFmtId="49" fontId="17" fillId="0" borderId="1" xfId="25" applyNumberFormat="1" applyFont="1" applyFill="1" applyBorder="1" applyAlignment="1">
      <alignment horizontal="center" vertical="center" wrapText="1"/>
    </xf>
    <xf numFmtId="168" fontId="11" fillId="0" borderId="0" xfId="25" applyNumberFormat="1" applyFont="1"/>
    <xf numFmtId="0" fontId="10" fillId="0" borderId="17" xfId="25" applyFont="1" applyFill="1" applyBorder="1" applyAlignment="1">
      <alignment vertical="center"/>
    </xf>
    <xf numFmtId="0" fontId="10" fillId="0" borderId="16" xfId="25" applyFont="1" applyFill="1" applyBorder="1" applyAlignment="1">
      <alignment vertical="center"/>
    </xf>
    <xf numFmtId="0" fontId="17" fillId="0" borderId="1" xfId="25" applyFont="1" applyFill="1" applyBorder="1" applyAlignment="1">
      <alignment wrapText="1"/>
    </xf>
    <xf numFmtId="0" fontId="10" fillId="0" borderId="34" xfId="25" applyFont="1" applyFill="1" applyBorder="1" applyAlignment="1">
      <alignment vertical="center"/>
    </xf>
    <xf numFmtId="0" fontId="10" fillId="0" borderId="35" xfId="25" applyFont="1" applyFill="1" applyBorder="1" applyAlignment="1">
      <alignment vertical="center"/>
    </xf>
    <xf numFmtId="49" fontId="17" fillId="0" borderId="27" xfId="25" applyNumberFormat="1" applyFont="1" applyFill="1" applyBorder="1" applyAlignment="1">
      <alignment wrapText="1"/>
    </xf>
    <xf numFmtId="0" fontId="10" fillId="0" borderId="18" xfId="25" applyFont="1" applyFill="1" applyBorder="1" applyAlignment="1">
      <alignment horizontal="left" vertical="center"/>
    </xf>
    <xf numFmtId="0" fontId="10" fillId="0" borderId="19" xfId="25" applyFont="1" applyFill="1" applyBorder="1" applyAlignment="1">
      <alignment horizontal="left" vertical="center"/>
    </xf>
    <xf numFmtId="49" fontId="17" fillId="0" borderId="27" xfId="25" applyNumberFormat="1" applyFont="1" applyFill="1" applyBorder="1" applyAlignment="1">
      <alignment horizontal="center" vertical="center" wrapText="1"/>
    </xf>
    <xf numFmtId="0" fontId="10" fillId="0" borderId="11" xfId="25" applyFont="1" applyFill="1" applyBorder="1" applyAlignment="1">
      <alignment vertical="center"/>
    </xf>
    <xf numFmtId="0" fontId="10" fillId="0" borderId="0" xfId="25" applyFont="1" applyFill="1" applyBorder="1" applyAlignment="1">
      <alignment vertical="center"/>
    </xf>
    <xf numFmtId="49" fontId="17" fillId="0" borderId="27" xfId="25" applyNumberFormat="1" applyFont="1" applyFill="1" applyBorder="1" applyAlignment="1">
      <alignment horizontal="left" vertical="center" wrapText="1"/>
    </xf>
    <xf numFmtId="49" fontId="17" fillId="0" borderId="33" xfId="25" applyNumberFormat="1" applyFont="1" applyFill="1" applyBorder="1" applyAlignment="1">
      <alignment wrapText="1"/>
    </xf>
    <xf numFmtId="49" fontId="17" fillId="0" borderId="33" xfId="25" applyNumberFormat="1" applyFont="1" applyFill="1" applyBorder="1" applyAlignment="1">
      <alignment horizontal="center" vertical="center" wrapText="1"/>
    </xf>
    <xf numFmtId="2" fontId="17" fillId="0" borderId="33" xfId="25" applyNumberFormat="1" applyFont="1" applyFill="1" applyBorder="1" applyAlignment="1">
      <alignment horizontal="center" vertical="center" wrapText="1"/>
    </xf>
    <xf numFmtId="0" fontId="17" fillId="0" borderId="24" xfId="25" applyFont="1" applyFill="1" applyBorder="1" applyAlignment="1">
      <alignment horizontal="center" vertical="center"/>
    </xf>
    <xf numFmtId="0" fontId="17" fillId="0" borderId="1" xfId="25" applyFont="1" applyFill="1" applyBorder="1" applyAlignment="1">
      <alignment vertical="center" wrapText="1"/>
    </xf>
    <xf numFmtId="0" fontId="17" fillId="0" borderId="1" xfId="25" applyFont="1" applyFill="1" applyBorder="1" applyAlignment="1">
      <alignment horizontal="center" vertical="center"/>
    </xf>
    <xf numFmtId="2" fontId="17" fillId="0" borderId="1" xfId="25" applyNumberFormat="1" applyFont="1" applyFill="1" applyBorder="1" applyAlignment="1">
      <alignment horizontal="center" vertical="center"/>
    </xf>
    <xf numFmtId="0" fontId="17" fillId="0" borderId="27" xfId="25" applyFont="1" applyFill="1" applyBorder="1" applyAlignment="1">
      <alignment vertical="center" wrapText="1"/>
    </xf>
    <xf numFmtId="0" fontId="11" fillId="0" borderId="0" xfId="25" applyFont="1" applyFill="1" applyBorder="1" applyAlignment="1"/>
    <xf numFmtId="0" fontId="10" fillId="0" borderId="0" xfId="25" applyFont="1" applyBorder="1" applyAlignment="1">
      <alignment horizontal="center"/>
    </xf>
    <xf numFmtId="0" fontId="11" fillId="0" borderId="0" xfId="25" applyFont="1" applyBorder="1" applyAlignment="1">
      <alignment horizontal="left" wrapText="1"/>
    </xf>
    <xf numFmtId="2" fontId="10" fillId="0" borderId="0" xfId="25" applyNumberFormat="1" applyFont="1" applyBorder="1" applyAlignment="1">
      <alignment horizontal="right"/>
    </xf>
    <xf numFmtId="167" fontId="10" fillId="0" borderId="10" xfId="25" applyNumberFormat="1" applyFont="1" applyBorder="1"/>
    <xf numFmtId="167" fontId="10" fillId="0" borderId="11" xfId="25" applyNumberFormat="1" applyFont="1" applyBorder="1"/>
    <xf numFmtId="167" fontId="10" fillId="0" borderId="8" xfId="25" applyNumberFormat="1" applyFont="1" applyBorder="1"/>
    <xf numFmtId="0" fontId="10" fillId="0" borderId="0" xfId="25" applyFont="1" applyBorder="1"/>
    <xf numFmtId="0" fontId="17" fillId="0" borderId="18" xfId="25" applyFont="1" applyFill="1" applyBorder="1" applyAlignment="1">
      <alignment horizontal="center"/>
    </xf>
    <xf numFmtId="0" fontId="17" fillId="0" borderId="19" xfId="25" applyFont="1" applyFill="1" applyBorder="1" applyAlignment="1">
      <alignment horizontal="center" wrapText="1"/>
    </xf>
    <xf numFmtId="0" fontId="17" fillId="0" borderId="19" xfId="25" applyFont="1" applyFill="1" applyBorder="1" applyAlignment="1">
      <alignment horizontal="center"/>
    </xf>
    <xf numFmtId="167" fontId="17" fillId="0" borderId="20" xfId="25" applyNumberFormat="1" applyFont="1" applyFill="1" applyBorder="1" applyAlignment="1">
      <alignment horizontal="center"/>
    </xf>
    <xf numFmtId="0" fontId="18" fillId="0" borderId="17" xfId="25" applyFont="1" applyFill="1" applyBorder="1" applyAlignment="1">
      <alignment horizontal="left"/>
    </xf>
    <xf numFmtId="0" fontId="11" fillId="0" borderId="16" xfId="25" applyFill="1" applyBorder="1" applyAlignment="1"/>
    <xf numFmtId="0" fontId="11" fillId="0" borderId="15" xfId="25" applyFill="1" applyBorder="1" applyAlignment="1"/>
    <xf numFmtId="4" fontId="17" fillId="0" borderId="25" xfId="25" applyNumberFormat="1" applyFont="1" applyFill="1" applyBorder="1" applyAlignment="1">
      <alignment horizontal="center" vertical="center" wrapText="1"/>
    </xf>
    <xf numFmtId="0" fontId="18" fillId="0" borderId="11" xfId="25" applyFont="1" applyFill="1" applyBorder="1" applyAlignment="1">
      <alignment horizontal="left"/>
    </xf>
    <xf numFmtId="0" fontId="11" fillId="0" borderId="0" xfId="25" applyFill="1" applyBorder="1" applyAlignment="1"/>
    <xf numFmtId="49" fontId="17" fillId="0" borderId="27" xfId="25" applyNumberFormat="1" applyFont="1" applyFill="1" applyBorder="1" applyAlignment="1">
      <alignment vertical="center" wrapText="1"/>
    </xf>
    <xf numFmtId="0" fontId="17" fillId="0" borderId="27" xfId="25" applyFont="1" applyFill="1" applyBorder="1" applyAlignment="1">
      <alignment horizontal="left" wrapText="1"/>
    </xf>
    <xf numFmtId="0" fontId="17" fillId="0" borderId="1" xfId="25" applyFont="1" applyFill="1" applyBorder="1" applyAlignment="1">
      <alignment horizontal="left" wrapText="1"/>
    </xf>
    <xf numFmtId="0" fontId="17" fillId="0" borderId="32" xfId="25" applyFont="1" applyFill="1" applyBorder="1" applyAlignment="1">
      <alignment horizontal="center" vertical="center" wrapText="1"/>
    </xf>
    <xf numFmtId="49" fontId="17" fillId="0" borderId="33" xfId="25" applyNumberFormat="1" applyFont="1" applyFill="1" applyBorder="1" applyAlignment="1">
      <alignment vertical="center" wrapText="1"/>
    </xf>
    <xf numFmtId="0" fontId="17" fillId="0" borderId="33" xfId="25" applyFont="1" applyFill="1" applyBorder="1" applyAlignment="1">
      <alignment horizontal="center" vertical="center" wrapText="1"/>
    </xf>
    <xf numFmtId="4" fontId="17" fillId="0" borderId="33" xfId="25" applyNumberFormat="1" applyFont="1" applyFill="1" applyBorder="1" applyAlignment="1">
      <alignment horizontal="center" vertical="center" wrapText="1"/>
    </xf>
    <xf numFmtId="0" fontId="11" fillId="0" borderId="0" xfId="25" applyFont="1" applyBorder="1" applyAlignment="1">
      <alignment wrapText="1"/>
    </xf>
    <xf numFmtId="0" fontId="21" fillId="0" borderId="0" xfId="0" applyFont="1" applyAlignment="1">
      <alignment horizontal="center" vertical="top" wrapText="1"/>
    </xf>
    <xf numFmtId="0" fontId="17" fillId="0" borderId="0" xfId="0" applyFont="1" applyBorder="1" applyAlignment="1">
      <alignment horizontal="center" vertical="top" wrapText="1"/>
    </xf>
    <xf numFmtId="0" fontId="21" fillId="0" borderId="0" xfId="0" applyNumberFormat="1" applyFont="1" applyFill="1" applyAlignment="1">
      <alignment horizontal="center" vertical="center" wrapText="1"/>
    </xf>
    <xf numFmtId="0" fontId="21" fillId="0" borderId="0" xfId="0" applyNumberFormat="1" applyFont="1" applyFill="1" applyAlignment="1">
      <alignment horizontal="center" vertical="top" wrapText="1"/>
    </xf>
    <xf numFmtId="0" fontId="18" fillId="0" borderId="0" xfId="0" applyFont="1" applyBorder="1" applyAlignment="1">
      <alignment horizontal="center" vertical="top" wrapText="1"/>
    </xf>
    <xf numFmtId="0" fontId="17" fillId="0" borderId="0" xfId="0" applyFont="1" applyAlignment="1">
      <alignment horizontal="center" vertical="top" wrapText="1"/>
    </xf>
    <xf numFmtId="4" fontId="17" fillId="0" borderId="0" xfId="0" applyNumberFormat="1" applyFont="1" applyBorder="1" applyAlignment="1">
      <alignment horizontal="center" vertical="top" wrapText="1"/>
    </xf>
    <xf numFmtId="4" fontId="18" fillId="0" borderId="0" xfId="0" applyNumberFormat="1" applyFont="1" applyBorder="1" applyAlignment="1">
      <alignment horizontal="center" vertical="top" wrapText="1"/>
    </xf>
    <xf numFmtId="0" fontId="92" fillId="0" borderId="0" xfId="8" applyNumberFormat="1" applyFont="1" applyFill="1" applyBorder="1" applyAlignment="1">
      <alignment horizontal="left" vertical="top" wrapText="1"/>
    </xf>
    <xf numFmtId="4" fontId="92" fillId="0" borderId="0" xfId="8" applyNumberFormat="1" applyFont="1" applyBorder="1" applyAlignment="1">
      <alignment horizontal="center" vertical="top"/>
    </xf>
    <xf numFmtId="49" fontId="92" fillId="0" borderId="0" xfId="8" applyNumberFormat="1" applyFont="1" applyBorder="1" applyAlignment="1">
      <alignment vertical="top"/>
    </xf>
    <xf numFmtId="0" fontId="92" fillId="0" borderId="0" xfId="8" applyFont="1" applyBorder="1" applyAlignment="1">
      <alignment vertical="top"/>
    </xf>
    <xf numFmtId="0" fontId="92" fillId="0" borderId="0" xfId="8" applyFont="1" applyFill="1" applyBorder="1" applyAlignment="1">
      <alignment horizontal="right" vertical="top"/>
    </xf>
    <xf numFmtId="0" fontId="93" fillId="3" borderId="1" xfId="1" applyFont="1" applyFill="1" applyBorder="1" applyAlignment="1">
      <alignment horizontal="center" vertical="center"/>
    </xf>
    <xf numFmtId="0" fontId="93" fillId="3" borderId="1" xfId="1" applyFont="1" applyFill="1" applyBorder="1" applyAlignment="1">
      <alignment horizontal="center" vertical="center" wrapText="1"/>
    </xf>
    <xf numFmtId="0" fontId="94" fillId="0" borderId="0" xfId="0" applyFont="1"/>
    <xf numFmtId="49" fontId="67" fillId="16" borderId="21" xfId="1" applyNumberFormat="1" applyFont="1" applyFill="1" applyBorder="1"/>
    <xf numFmtId="0" fontId="67" fillId="16" borderId="22" xfId="1" applyFont="1" applyFill="1" applyBorder="1"/>
    <xf numFmtId="49" fontId="94" fillId="0" borderId="53" xfId="0" applyNumberFormat="1" applyFont="1" applyBorder="1"/>
    <xf numFmtId="49" fontId="94" fillId="0" borderId="24" xfId="0" applyNumberFormat="1" applyFont="1" applyBorder="1"/>
    <xf numFmtId="0" fontId="94" fillId="0" borderId="1" xfId="0" applyFont="1" applyBorder="1"/>
    <xf numFmtId="49" fontId="94" fillId="0" borderId="26" xfId="0" applyNumberFormat="1" applyFont="1" applyBorder="1"/>
    <xf numFmtId="49" fontId="95" fillId="13" borderId="52" xfId="1" applyNumberFormat="1" applyFont="1" applyFill="1" applyBorder="1"/>
    <xf numFmtId="0" fontId="95" fillId="13" borderId="52" xfId="1" applyFont="1" applyFill="1" applyBorder="1"/>
    <xf numFmtId="49" fontId="96" fillId="9" borderId="52" xfId="0" applyNumberFormat="1" applyFont="1" applyFill="1" applyBorder="1"/>
    <xf numFmtId="0" fontId="96" fillId="9" borderId="52" xfId="0" applyFont="1" applyFill="1" applyBorder="1"/>
    <xf numFmtId="49" fontId="96" fillId="10" borderId="57" xfId="0" applyNumberFormat="1" applyFont="1" applyFill="1" applyBorder="1"/>
    <xf numFmtId="0" fontId="96" fillId="10" borderId="57" xfId="0" applyFont="1" applyFill="1" applyBorder="1"/>
    <xf numFmtId="49" fontId="96" fillId="18" borderId="21" xfId="0" applyNumberFormat="1" applyFont="1" applyFill="1" applyBorder="1"/>
    <xf numFmtId="0" fontId="96" fillId="18" borderId="22" xfId="0" applyFont="1" applyFill="1" applyBorder="1"/>
    <xf numFmtId="49" fontId="96" fillId="17" borderId="21" xfId="0" applyNumberFormat="1" applyFont="1" applyFill="1" applyBorder="1"/>
    <xf numFmtId="0" fontId="96" fillId="17" borderId="22" xfId="0" applyFont="1" applyFill="1" applyBorder="1"/>
    <xf numFmtId="49" fontId="96" fillId="14" borderId="21" xfId="0" applyNumberFormat="1" applyFont="1" applyFill="1" applyBorder="1"/>
    <xf numFmtId="0" fontId="96" fillId="14" borderId="22" xfId="0" applyFont="1" applyFill="1" applyBorder="1"/>
    <xf numFmtId="49" fontId="94" fillId="5" borderId="53" xfId="0" applyNumberFormat="1" applyFont="1" applyFill="1" applyBorder="1"/>
    <xf numFmtId="49" fontId="94" fillId="5" borderId="24" xfId="0" applyNumberFormat="1" applyFont="1" applyFill="1" applyBorder="1"/>
    <xf numFmtId="49" fontId="94" fillId="5" borderId="26" xfId="0" applyNumberFormat="1" applyFont="1" applyFill="1" applyBorder="1"/>
    <xf numFmtId="49" fontId="96" fillId="15" borderId="21" xfId="0" applyNumberFormat="1" applyFont="1" applyFill="1" applyBorder="1"/>
    <xf numFmtId="0" fontId="96" fillId="15" borderId="22" xfId="0" applyFont="1" applyFill="1" applyBorder="1"/>
    <xf numFmtId="49" fontId="94" fillId="0" borderId="32" xfId="0" applyNumberFormat="1" applyFont="1" applyBorder="1"/>
    <xf numFmtId="49" fontId="96" fillId="0" borderId="63" xfId="0" applyNumberFormat="1" applyFont="1" applyBorder="1"/>
    <xf numFmtId="0" fontId="94" fillId="0" borderId="24" xfId="0" applyFont="1" applyBorder="1"/>
    <xf numFmtId="0" fontId="94" fillId="0" borderId="11" xfId="0" applyFont="1" applyBorder="1"/>
    <xf numFmtId="0" fontId="94" fillId="0" borderId="0" xfId="0" applyFont="1" applyBorder="1"/>
    <xf numFmtId="0" fontId="97" fillId="5" borderId="1" xfId="0" applyFont="1" applyFill="1" applyBorder="1"/>
    <xf numFmtId="0" fontId="97" fillId="5" borderId="33" xfId="0" applyFont="1" applyFill="1" applyBorder="1"/>
    <xf numFmtId="0" fontId="97" fillId="5" borderId="54" xfId="0" applyFont="1" applyFill="1" applyBorder="1"/>
    <xf numFmtId="0" fontId="97" fillId="5" borderId="27" xfId="0" applyFont="1" applyFill="1" applyBorder="1"/>
    <xf numFmtId="0" fontId="97" fillId="0" borderId="54" xfId="0" applyFont="1" applyBorder="1"/>
    <xf numFmtId="0" fontId="97" fillId="0" borderId="1" xfId="0" applyFont="1" applyBorder="1" applyAlignment="1">
      <alignment wrapText="1"/>
    </xf>
    <xf numFmtId="0" fontId="97" fillId="0" borderId="27" xfId="0" applyFont="1" applyBorder="1" applyAlignment="1">
      <alignment wrapText="1"/>
    </xf>
    <xf numFmtId="0" fontId="97" fillId="0" borderId="1" xfId="0" applyFont="1" applyBorder="1"/>
    <xf numFmtId="0" fontId="97" fillId="0" borderId="27" xfId="0" applyFont="1" applyBorder="1"/>
    <xf numFmtId="0" fontId="18" fillId="0" borderId="4" xfId="2" applyFont="1" applyFill="1" applyBorder="1" applyAlignment="1">
      <alignment horizontal="justify" vertical="top" wrapText="1"/>
    </xf>
    <xf numFmtId="0" fontId="18" fillId="0" borderId="4" xfId="3" applyFont="1" applyFill="1" applyBorder="1" applyAlignment="1">
      <alignment horizontal="center"/>
    </xf>
    <xf numFmtId="4" fontId="18" fillId="0" borderId="4" xfId="3" applyNumberFormat="1" applyFont="1" applyFill="1" applyBorder="1"/>
    <xf numFmtId="0" fontId="18" fillId="0" borderId="3" xfId="2" applyFont="1" applyFill="1" applyBorder="1" applyAlignment="1">
      <alignment horizontal="justify" vertical="top" wrapText="1"/>
    </xf>
    <xf numFmtId="0" fontId="18" fillId="0" borderId="3" xfId="3" applyFont="1" applyFill="1" applyBorder="1" applyAlignment="1">
      <alignment horizontal="center"/>
    </xf>
    <xf numFmtId="4" fontId="18" fillId="0" borderId="3" xfId="3" applyNumberFormat="1" applyFont="1" applyFill="1" applyBorder="1"/>
    <xf numFmtId="0" fontId="17" fillId="0" borderId="11" xfId="5" applyFont="1" applyFill="1" applyBorder="1" applyAlignment="1">
      <alignment horizontal="center" vertical="center"/>
    </xf>
    <xf numFmtId="0" fontId="17" fillId="0" borderId="0" xfId="5" applyFont="1" applyFill="1" applyBorder="1" applyAlignment="1">
      <alignment horizontal="center" vertical="center"/>
    </xf>
    <xf numFmtId="2" fontId="17" fillId="0" borderId="0" xfId="5" applyNumberFormat="1" applyFont="1" applyFill="1" applyBorder="1" applyAlignment="1">
      <alignment horizontal="center" vertical="center"/>
    </xf>
    <xf numFmtId="0" fontId="17" fillId="0" borderId="61" xfId="5" applyFont="1" applyFill="1" applyBorder="1" applyAlignment="1">
      <alignment horizontal="center" vertical="center"/>
    </xf>
    <xf numFmtId="0" fontId="18" fillId="0" borderId="42" xfId="5" applyFont="1" applyFill="1" applyBorder="1" applyAlignment="1">
      <alignment horizontal="center" vertical="center"/>
    </xf>
    <xf numFmtId="2" fontId="18" fillId="0" borderId="42" xfId="5" applyNumberFormat="1" applyFont="1" applyFill="1" applyBorder="1" applyAlignment="1">
      <alignment horizontal="center" vertical="center"/>
    </xf>
    <xf numFmtId="0" fontId="17" fillId="0" borderId="11" xfId="5" quotePrefix="1" applyFont="1" applyFill="1" applyBorder="1" applyAlignment="1">
      <alignment horizontal="center" vertical="center"/>
    </xf>
    <xf numFmtId="0" fontId="17" fillId="0" borderId="17" xfId="5" quotePrefix="1" applyFont="1" applyFill="1" applyBorder="1" applyAlignment="1">
      <alignment horizontal="center" vertical="center"/>
    </xf>
    <xf numFmtId="0" fontId="17" fillId="0" borderId="16" xfId="5" applyFont="1" applyFill="1" applyBorder="1" applyAlignment="1">
      <alignment horizontal="center" vertical="center"/>
    </xf>
    <xf numFmtId="2" fontId="17" fillId="0" borderId="16" xfId="5" applyNumberFormat="1" applyFont="1" applyFill="1" applyBorder="1" applyAlignment="1">
      <alignment horizontal="center" vertical="center"/>
    </xf>
    <xf numFmtId="0" fontId="17" fillId="0" borderId="61" xfId="5" quotePrefix="1" applyFont="1" applyFill="1" applyBorder="1" applyAlignment="1">
      <alignment horizontal="center" vertical="center"/>
    </xf>
    <xf numFmtId="0" fontId="17" fillId="0" borderId="0" xfId="5" applyFont="1" applyFill="1" applyBorder="1" applyAlignment="1">
      <alignment horizontal="center" vertical="center" wrapText="1"/>
    </xf>
    <xf numFmtId="4" fontId="17" fillId="0" borderId="0" xfId="5" applyNumberFormat="1" applyFont="1" applyFill="1" applyBorder="1" applyAlignment="1">
      <alignment horizontal="center" vertical="center" wrapText="1"/>
    </xf>
    <xf numFmtId="2" fontId="17" fillId="0" borderId="0" xfId="5" applyNumberFormat="1" applyFont="1" applyFill="1" applyBorder="1" applyAlignment="1">
      <alignment horizontal="center" vertical="center" wrapText="1"/>
    </xf>
    <xf numFmtId="2" fontId="17" fillId="0" borderId="33" xfId="5" applyNumberFormat="1" applyFont="1" applyFill="1" applyBorder="1" applyAlignment="1">
      <alignment horizontal="center" vertical="center" wrapText="1"/>
    </xf>
    <xf numFmtId="4" fontId="17" fillId="0" borderId="56" xfId="5" applyNumberFormat="1" applyFont="1" applyFill="1" applyBorder="1" applyAlignment="1">
      <alignment horizontal="right" vertical="center" wrapText="1"/>
    </xf>
    <xf numFmtId="4" fontId="17" fillId="0" borderId="55" xfId="5" applyNumberFormat="1" applyFont="1" applyFill="1" applyBorder="1" applyAlignment="1">
      <alignment horizontal="right" vertical="center" wrapText="1"/>
    </xf>
    <xf numFmtId="4" fontId="17" fillId="0" borderId="0" xfId="5" applyNumberFormat="1" applyFont="1" applyFill="1" applyBorder="1" applyAlignment="1">
      <alignment horizontal="right" vertical="center" wrapText="1"/>
    </xf>
    <xf numFmtId="0" fontId="17" fillId="0" borderId="32" xfId="5" applyFont="1" applyFill="1" applyBorder="1" applyAlignment="1">
      <alignment horizontal="center" vertical="center" wrapText="1"/>
    </xf>
    <xf numFmtId="0" fontId="17" fillId="0" borderId="33" xfId="5" applyFont="1" applyFill="1" applyBorder="1" applyAlignment="1">
      <alignment horizontal="center" vertical="center" wrapText="1"/>
    </xf>
    <xf numFmtId="4" fontId="17" fillId="0" borderId="33" xfId="5" applyNumberFormat="1" applyFont="1" applyFill="1" applyBorder="1" applyAlignment="1">
      <alignment horizontal="center" vertical="center" wrapText="1"/>
    </xf>
    <xf numFmtId="0" fontId="17" fillId="0" borderId="13" xfId="5" applyFont="1" applyFill="1" applyBorder="1" applyAlignment="1">
      <alignment horizontal="center" vertical="center" wrapText="1"/>
    </xf>
    <xf numFmtId="0" fontId="17" fillId="0" borderId="5" xfId="5" applyFont="1" applyFill="1" applyBorder="1" applyAlignment="1">
      <alignment horizontal="center" vertical="center" wrapText="1"/>
    </xf>
    <xf numFmtId="4" fontId="17" fillId="0" borderId="5" xfId="5" applyNumberFormat="1" applyFont="1" applyFill="1" applyBorder="1" applyAlignment="1">
      <alignment horizontal="center" vertical="center" wrapText="1"/>
    </xf>
    <xf numFmtId="2" fontId="17" fillId="0" borderId="5" xfId="5" applyNumberFormat="1" applyFont="1" applyFill="1" applyBorder="1" applyAlignment="1">
      <alignment horizontal="center" vertical="center" wrapText="1"/>
    </xf>
    <xf numFmtId="4" fontId="17" fillId="0" borderId="12" xfId="5" applyNumberFormat="1" applyFont="1" applyFill="1" applyBorder="1" applyAlignment="1">
      <alignment horizontal="right" vertical="center" wrapText="1"/>
    </xf>
    <xf numFmtId="4" fontId="17" fillId="0" borderId="14" xfId="5" applyNumberFormat="1" applyFont="1" applyFill="1" applyBorder="1" applyAlignment="1">
      <alignment horizontal="right" vertical="center" wrapText="1"/>
    </xf>
    <xf numFmtId="0" fontId="17" fillId="0" borderId="61" xfId="5" applyFont="1" applyFill="1" applyBorder="1" applyAlignment="1">
      <alignment horizontal="center" vertical="center" wrapText="1"/>
    </xf>
    <xf numFmtId="0" fontId="18" fillId="0" borderId="42" xfId="5" applyFont="1" applyFill="1" applyBorder="1" applyAlignment="1">
      <alignment horizontal="center" vertical="center" wrapText="1"/>
    </xf>
    <xf numFmtId="4" fontId="18" fillId="0" borderId="42" xfId="5" applyNumberFormat="1" applyFont="1" applyFill="1" applyBorder="1" applyAlignment="1">
      <alignment horizontal="center" vertical="center" wrapText="1"/>
    </xf>
    <xf numFmtId="2" fontId="18" fillId="0" borderId="42" xfId="5" applyNumberFormat="1" applyFont="1" applyFill="1" applyBorder="1" applyAlignment="1">
      <alignment horizontal="center" vertical="center" wrapText="1"/>
    </xf>
    <xf numFmtId="4" fontId="18" fillId="0" borderId="59" xfId="5" applyNumberFormat="1" applyFont="1" applyFill="1" applyBorder="1" applyAlignment="1">
      <alignment horizontal="right" vertical="center" wrapText="1"/>
    </xf>
    <xf numFmtId="4" fontId="17" fillId="0" borderId="0" xfId="5" applyNumberFormat="1" applyFont="1" applyFill="1" applyBorder="1" applyAlignment="1">
      <alignment horizontal="center" vertical="center"/>
    </xf>
    <xf numFmtId="4" fontId="17" fillId="0" borderId="33" xfId="5" applyNumberFormat="1" applyFont="1" applyFill="1" applyBorder="1" applyAlignment="1">
      <alignment horizontal="center" vertical="center"/>
    </xf>
    <xf numFmtId="0" fontId="17" fillId="0" borderId="13" xfId="5" applyFont="1" applyFill="1" applyBorder="1" applyAlignment="1">
      <alignment horizontal="center" vertical="center"/>
    </xf>
    <xf numFmtId="0" fontId="17" fillId="0" borderId="5" xfId="5" applyFont="1" applyFill="1" applyBorder="1" applyAlignment="1">
      <alignment horizontal="center" vertical="center"/>
    </xf>
    <xf numFmtId="2" fontId="17" fillId="0" borderId="5" xfId="5" applyNumberFormat="1" applyFont="1" applyFill="1" applyBorder="1" applyAlignment="1">
      <alignment horizontal="center" vertical="center"/>
    </xf>
    <xf numFmtId="4" fontId="17" fillId="0" borderId="5" xfId="5" applyNumberFormat="1" applyFont="1" applyFill="1" applyBorder="1" applyAlignment="1">
      <alignment horizontal="center" vertical="center"/>
    </xf>
    <xf numFmtId="4" fontId="18" fillId="0" borderId="42" xfId="5" applyNumberFormat="1" applyFont="1" applyFill="1" applyBorder="1" applyAlignment="1">
      <alignment horizontal="center" vertical="center"/>
    </xf>
    <xf numFmtId="49" fontId="17" fillId="0" borderId="33" xfId="5" applyNumberFormat="1" applyFont="1" applyFill="1" applyBorder="1" applyAlignment="1">
      <alignment horizontal="center" vertical="center" wrapText="1"/>
    </xf>
    <xf numFmtId="49" fontId="17" fillId="0" borderId="5" xfId="5" applyNumberFormat="1" applyFont="1" applyFill="1" applyBorder="1" applyAlignment="1">
      <alignment horizontal="center" vertical="center" wrapText="1"/>
    </xf>
    <xf numFmtId="49" fontId="18" fillId="0" borderId="42" xfId="5" applyNumberFormat="1" applyFont="1" applyFill="1" applyBorder="1" applyAlignment="1">
      <alignment horizontal="center" vertical="center" wrapText="1"/>
    </xf>
    <xf numFmtId="4" fontId="17" fillId="0" borderId="28" xfId="5" applyNumberFormat="1" applyFont="1" applyFill="1" applyBorder="1" applyAlignment="1">
      <alignment horizontal="right" vertical="center" wrapText="1"/>
    </xf>
    <xf numFmtId="0" fontId="17" fillId="0" borderId="66" xfId="5" applyFont="1" applyFill="1" applyBorder="1" applyAlignment="1">
      <alignment horizontal="center" vertical="center"/>
    </xf>
    <xf numFmtId="0" fontId="17" fillId="0" borderId="43" xfId="5" applyFont="1" applyFill="1" applyBorder="1" applyAlignment="1">
      <alignment horizontal="center" vertical="center"/>
    </xf>
    <xf numFmtId="2" fontId="17" fillId="0" borderId="43" xfId="5" applyNumberFormat="1" applyFont="1" applyFill="1" applyBorder="1" applyAlignment="1">
      <alignment horizontal="center" vertical="center"/>
    </xf>
    <xf numFmtId="4" fontId="17" fillId="0" borderId="67" xfId="5" applyNumberFormat="1" applyFont="1" applyFill="1" applyBorder="1" applyAlignment="1">
      <alignment horizontal="right" vertical="center" wrapText="1"/>
    </xf>
    <xf numFmtId="4" fontId="36" fillId="0" borderId="68" xfId="5" applyNumberFormat="1" applyFont="1" applyFill="1" applyBorder="1" applyAlignment="1">
      <alignment horizontal="right" vertical="center" wrapText="1"/>
    </xf>
    <xf numFmtId="0" fontId="18" fillId="0" borderId="18" xfId="5" applyFont="1" applyFill="1" applyBorder="1" applyAlignment="1"/>
    <xf numFmtId="0" fontId="17" fillId="0" borderId="19" xfId="5" applyFont="1" applyFill="1" applyBorder="1" applyAlignment="1"/>
    <xf numFmtId="4" fontId="17" fillId="0" borderId="31" xfId="5" applyNumberFormat="1" applyFont="1" applyFill="1" applyBorder="1" applyAlignment="1">
      <alignment horizontal="right" vertical="center" wrapText="1"/>
    </xf>
    <xf numFmtId="4" fontId="17" fillId="0" borderId="20" xfId="5" applyNumberFormat="1" applyFont="1" applyFill="1" applyBorder="1" applyAlignment="1">
      <alignment horizontal="right" vertical="center" wrapText="1"/>
    </xf>
    <xf numFmtId="0" fontId="18" fillId="0" borderId="19" xfId="5" applyFont="1" applyFill="1" applyBorder="1" applyAlignment="1"/>
    <xf numFmtId="0" fontId="18" fillId="0" borderId="18" xfId="25" applyFont="1" applyFill="1" applyBorder="1" applyAlignment="1"/>
    <xf numFmtId="0" fontId="17" fillId="0" borderId="19" xfId="25" applyFont="1" applyFill="1" applyBorder="1" applyAlignment="1"/>
    <xf numFmtId="0" fontId="17" fillId="0" borderId="20" xfId="25" applyFont="1" applyFill="1" applyBorder="1" applyAlignment="1"/>
    <xf numFmtId="0" fontId="14" fillId="0" borderId="0" xfId="25" applyFont="1" applyFill="1" applyBorder="1" applyAlignment="1">
      <alignment horizontal="left" wrapText="1"/>
    </xf>
    <xf numFmtId="0" fontId="17" fillId="0" borderId="0" xfId="25" applyFont="1" applyFill="1" applyBorder="1" applyAlignment="1">
      <alignment horizontal="center" vertical="center"/>
    </xf>
    <xf numFmtId="2" fontId="17" fillId="0" borderId="0" xfId="25" applyNumberFormat="1" applyFont="1" applyFill="1" applyBorder="1" applyAlignment="1">
      <alignment horizontal="center" vertical="center"/>
    </xf>
    <xf numFmtId="0" fontId="17" fillId="0" borderId="13" xfId="25" applyFont="1" applyFill="1" applyBorder="1" applyAlignment="1">
      <alignment horizontal="center" vertical="center"/>
    </xf>
    <xf numFmtId="0" fontId="14" fillId="0" borderId="5" xfId="25" applyFont="1" applyFill="1" applyBorder="1" applyAlignment="1">
      <alignment horizontal="left" wrapText="1"/>
    </xf>
    <xf numFmtId="0" fontId="17" fillId="0" borderId="5" xfId="25" applyFont="1" applyFill="1" applyBorder="1" applyAlignment="1">
      <alignment horizontal="center" vertical="center"/>
    </xf>
    <xf numFmtId="2" fontId="17" fillId="0" borderId="5" xfId="25" applyNumberFormat="1" applyFont="1" applyFill="1" applyBorder="1" applyAlignment="1">
      <alignment horizontal="center" vertical="center"/>
    </xf>
    <xf numFmtId="0" fontId="14" fillId="0" borderId="35" xfId="25" applyFont="1" applyFill="1" applyBorder="1" applyAlignment="1">
      <alignment horizontal="left" wrapText="1"/>
    </xf>
    <xf numFmtId="0" fontId="17" fillId="0" borderId="35" xfId="25" applyFont="1" applyFill="1" applyBorder="1" applyAlignment="1">
      <alignment horizontal="center" vertical="center"/>
    </xf>
    <xf numFmtId="2" fontId="17" fillId="0" borderId="35" xfId="25" applyNumberFormat="1" applyFont="1" applyFill="1" applyBorder="1" applyAlignment="1">
      <alignment horizontal="center" vertical="center"/>
    </xf>
    <xf numFmtId="0" fontId="17" fillId="0" borderId="61" xfId="25" applyFont="1" applyFill="1" applyBorder="1" applyAlignment="1">
      <alignment horizontal="center" vertical="center"/>
    </xf>
    <xf numFmtId="0" fontId="10" fillId="0" borderId="42" xfId="25" applyFont="1" applyFill="1" applyBorder="1" applyAlignment="1">
      <alignment horizontal="left"/>
    </xf>
    <xf numFmtId="0" fontId="18" fillId="0" borderId="42" xfId="25" applyFont="1" applyFill="1" applyBorder="1" applyAlignment="1">
      <alignment horizontal="center" vertical="center"/>
    </xf>
    <xf numFmtId="2" fontId="18" fillId="0" borderId="42" xfId="25" applyNumberFormat="1" applyFont="1" applyFill="1" applyBorder="1" applyAlignment="1">
      <alignment horizontal="center" vertical="center"/>
    </xf>
    <xf numFmtId="0" fontId="17" fillId="0" borderId="13" xfId="25" applyFont="1" applyFill="1" applyBorder="1" applyAlignment="1">
      <alignment horizontal="center" vertical="center" wrapText="1"/>
    </xf>
    <xf numFmtId="49" fontId="17" fillId="0" borderId="5" xfId="25" applyNumberFormat="1" applyFont="1" applyFill="1" applyBorder="1" applyAlignment="1">
      <alignment wrapText="1"/>
    </xf>
    <xf numFmtId="49" fontId="17" fillId="0" borderId="5" xfId="25" applyNumberFormat="1" applyFont="1" applyFill="1" applyBorder="1" applyAlignment="1">
      <alignment horizontal="center" vertical="center" wrapText="1"/>
    </xf>
    <xf numFmtId="2" fontId="17" fillId="0" borderId="5" xfId="25" applyNumberFormat="1" applyFont="1" applyFill="1" applyBorder="1" applyAlignment="1">
      <alignment horizontal="center" vertical="center" wrapText="1"/>
    </xf>
    <xf numFmtId="0" fontId="17" fillId="0" borderId="34" xfId="25" applyFont="1" applyFill="1" applyBorder="1" applyAlignment="1">
      <alignment horizontal="center" vertical="center" wrapText="1"/>
    </xf>
    <xf numFmtId="49" fontId="17" fillId="0" borderId="35" xfId="25" applyNumberFormat="1" applyFont="1" applyFill="1" applyBorder="1" applyAlignment="1">
      <alignment wrapText="1"/>
    </xf>
    <xf numFmtId="49" fontId="17" fillId="0" borderId="35" xfId="25" applyNumberFormat="1" applyFont="1" applyFill="1" applyBorder="1" applyAlignment="1">
      <alignment horizontal="center" vertical="center" wrapText="1"/>
    </xf>
    <xf numFmtId="2" fontId="17" fillId="0" borderId="35" xfId="25" applyNumberFormat="1" applyFont="1" applyFill="1" applyBorder="1" applyAlignment="1">
      <alignment horizontal="center" vertical="center" wrapText="1"/>
    </xf>
    <xf numFmtId="0" fontId="17" fillId="0" borderId="61" xfId="25" applyFont="1" applyFill="1" applyBorder="1" applyAlignment="1">
      <alignment horizontal="center" vertical="center" wrapText="1"/>
    </xf>
    <xf numFmtId="49" fontId="18" fillId="0" borderId="42" xfId="25" applyNumberFormat="1" applyFont="1" applyFill="1" applyBorder="1" applyAlignment="1"/>
    <xf numFmtId="49" fontId="18" fillId="0" borderId="42" xfId="25" applyNumberFormat="1" applyFont="1" applyFill="1" applyBorder="1" applyAlignment="1">
      <alignment horizontal="center" vertical="center" wrapText="1"/>
    </xf>
    <xf numFmtId="2" fontId="18" fillId="0" borderId="42" xfId="25" applyNumberFormat="1" applyFont="1" applyFill="1" applyBorder="1" applyAlignment="1">
      <alignment horizontal="center" vertical="center" wrapText="1"/>
    </xf>
    <xf numFmtId="0" fontId="17" fillId="0" borderId="33" xfId="25" applyFont="1" applyFill="1" applyBorder="1" applyAlignment="1">
      <alignment vertical="center" wrapText="1"/>
    </xf>
    <xf numFmtId="0" fontId="17" fillId="0" borderId="33" xfId="25" applyFont="1" applyFill="1" applyBorder="1" applyAlignment="1">
      <alignment horizontal="center" vertical="center"/>
    </xf>
    <xf numFmtId="2" fontId="17" fillId="0" borderId="33" xfId="25" applyNumberFormat="1" applyFont="1" applyFill="1" applyBorder="1" applyAlignment="1">
      <alignment horizontal="center" vertical="center"/>
    </xf>
    <xf numFmtId="0" fontId="17" fillId="0" borderId="5" xfId="25" applyFont="1" applyFill="1" applyBorder="1" applyAlignment="1">
      <alignment vertical="center" wrapText="1"/>
    </xf>
    <xf numFmtId="0" fontId="17" fillId="0" borderId="35" xfId="25" applyFont="1" applyFill="1" applyBorder="1" applyAlignment="1">
      <alignment vertical="center" wrapText="1"/>
    </xf>
    <xf numFmtId="0" fontId="18" fillId="0" borderId="42" xfId="25" applyFont="1" applyFill="1" applyBorder="1" applyAlignment="1">
      <alignment vertical="center"/>
    </xf>
    <xf numFmtId="0" fontId="11" fillId="0" borderId="17" xfId="25" applyFont="1" applyBorder="1" applyAlignment="1">
      <alignment horizontal="center"/>
    </xf>
    <xf numFmtId="0" fontId="11" fillId="0" borderId="16" xfId="25" applyFont="1" applyFill="1" applyBorder="1" applyAlignment="1">
      <alignment vertical="center" wrapText="1"/>
    </xf>
    <xf numFmtId="2" fontId="11" fillId="0" borderId="16" xfId="25" applyNumberFormat="1" applyFont="1" applyBorder="1" applyAlignment="1">
      <alignment horizontal="center"/>
    </xf>
    <xf numFmtId="0" fontId="11" fillId="0" borderId="61" xfId="25" applyFont="1" applyBorder="1" applyAlignment="1">
      <alignment horizontal="center"/>
    </xf>
    <xf numFmtId="0" fontId="10" fillId="0" borderId="42" xfId="25" applyFont="1" applyFill="1" applyBorder="1" applyAlignment="1">
      <alignment vertical="center"/>
    </xf>
    <xf numFmtId="0" fontId="10" fillId="0" borderId="42" xfId="25" applyFont="1" applyBorder="1" applyAlignment="1">
      <alignment horizontal="center"/>
    </xf>
    <xf numFmtId="2" fontId="10" fillId="0" borderId="42" xfId="25" applyNumberFormat="1" applyFont="1" applyBorder="1" applyAlignment="1">
      <alignment horizontal="center"/>
    </xf>
    <xf numFmtId="2" fontId="17" fillId="0" borderId="36" xfId="25" applyNumberFormat="1" applyFont="1" applyFill="1" applyBorder="1" applyAlignment="1">
      <alignment horizontal="center" vertical="center"/>
    </xf>
    <xf numFmtId="0" fontId="17" fillId="0" borderId="33" xfId="25" applyFont="1" applyFill="1" applyBorder="1" applyAlignment="1">
      <alignment horizontal="left" wrapText="1"/>
    </xf>
    <xf numFmtId="4" fontId="17" fillId="0" borderId="56" xfId="25" applyNumberFormat="1" applyFont="1" applyFill="1" applyBorder="1" applyAlignment="1">
      <alignment horizontal="center" vertical="center" wrapText="1"/>
    </xf>
    <xf numFmtId="4" fontId="17" fillId="0" borderId="55" xfId="25" applyNumberFormat="1" applyFont="1" applyFill="1" applyBorder="1" applyAlignment="1">
      <alignment horizontal="center" vertical="center" wrapText="1"/>
    </xf>
    <xf numFmtId="0" fontId="17" fillId="0" borderId="5" xfId="25" applyFont="1" applyFill="1" applyBorder="1" applyAlignment="1">
      <alignment horizontal="left" wrapText="1"/>
    </xf>
    <xf numFmtId="0" fontId="17" fillId="0" borderId="5" xfId="25" applyFont="1" applyFill="1" applyBorder="1" applyAlignment="1">
      <alignment horizontal="center" vertical="center" wrapText="1"/>
    </xf>
    <xf numFmtId="4" fontId="17" fillId="0" borderId="5" xfId="25" applyNumberFormat="1" applyFont="1" applyFill="1" applyBorder="1" applyAlignment="1">
      <alignment horizontal="center" vertical="center" wrapText="1"/>
    </xf>
    <xf numFmtId="4" fontId="17" fillId="0" borderId="12" xfId="25" applyNumberFormat="1" applyFont="1" applyFill="1" applyBorder="1" applyAlignment="1">
      <alignment horizontal="center" vertical="center" wrapText="1"/>
    </xf>
    <xf numFmtId="0" fontId="17" fillId="0" borderId="35" xfId="25" applyFont="1" applyFill="1" applyBorder="1" applyAlignment="1">
      <alignment horizontal="left" wrapText="1"/>
    </xf>
    <xf numFmtId="0" fontId="17" fillId="0" borderId="35" xfId="25" applyFont="1" applyFill="1" applyBorder="1" applyAlignment="1">
      <alignment horizontal="center" vertical="center" wrapText="1"/>
    </xf>
    <xf numFmtId="4" fontId="17" fillId="0" borderId="35" xfId="25" applyNumberFormat="1" applyFont="1" applyFill="1" applyBorder="1" applyAlignment="1">
      <alignment horizontal="center" vertical="center" wrapText="1"/>
    </xf>
    <xf numFmtId="4" fontId="17" fillId="0" borderId="36" xfId="25" applyNumberFormat="1" applyFont="1" applyFill="1" applyBorder="1" applyAlignment="1">
      <alignment horizontal="center" vertical="center" wrapText="1"/>
    </xf>
    <xf numFmtId="0" fontId="18" fillId="0" borderId="42" xfId="25" applyFont="1" applyFill="1" applyBorder="1" applyAlignment="1">
      <alignment horizontal="left" wrapText="1"/>
    </xf>
    <xf numFmtId="0" fontId="18" fillId="0" borderId="42" xfId="25" applyFont="1" applyFill="1" applyBorder="1" applyAlignment="1">
      <alignment horizontal="center" vertical="center" wrapText="1"/>
    </xf>
    <xf numFmtId="4" fontId="18" fillId="0" borderId="42" xfId="25" applyNumberFormat="1" applyFont="1" applyFill="1" applyBorder="1" applyAlignment="1">
      <alignment horizontal="center" vertical="center" wrapText="1"/>
    </xf>
    <xf numFmtId="4" fontId="18" fillId="0" borderId="59" xfId="25" applyNumberFormat="1" applyFont="1" applyFill="1" applyBorder="1" applyAlignment="1">
      <alignment horizontal="center" vertical="center" wrapText="1"/>
    </xf>
    <xf numFmtId="0" fontId="18" fillId="0" borderId="53" xfId="25" applyFont="1" applyFill="1" applyBorder="1" applyAlignment="1"/>
    <xf numFmtId="0" fontId="11" fillId="0" borderId="54" xfId="25" applyFont="1" applyFill="1" applyBorder="1" applyAlignment="1"/>
    <xf numFmtId="49" fontId="17" fillId="0" borderId="5" xfId="25" applyNumberFormat="1" applyFont="1" applyFill="1" applyBorder="1" applyAlignment="1">
      <alignment vertical="center" wrapText="1"/>
    </xf>
    <xf numFmtId="49" fontId="17" fillId="0" borderId="35" xfId="25" applyNumberFormat="1" applyFont="1" applyFill="1" applyBorder="1" applyAlignment="1">
      <alignment vertical="center" wrapText="1"/>
    </xf>
    <xf numFmtId="49" fontId="18" fillId="0" borderId="42" xfId="25" applyNumberFormat="1" applyFont="1" applyFill="1" applyBorder="1" applyAlignment="1">
      <alignment vertical="center"/>
    </xf>
    <xf numFmtId="0" fontId="17" fillId="0" borderId="32" xfId="25" applyFont="1" applyFill="1" applyBorder="1" applyAlignment="1">
      <alignment horizontal="center" vertical="center"/>
    </xf>
    <xf numFmtId="0" fontId="11" fillId="0" borderId="13" xfId="25" applyFont="1" applyBorder="1"/>
    <xf numFmtId="0" fontId="11" fillId="0" borderId="5" xfId="25" applyFont="1" applyBorder="1"/>
    <xf numFmtId="0" fontId="11" fillId="0" borderId="34" xfId="25" applyFont="1" applyBorder="1"/>
    <xf numFmtId="0" fontId="11" fillId="0" borderId="35" xfId="25" applyFont="1" applyBorder="1" applyAlignment="1">
      <alignment wrapText="1"/>
    </xf>
    <xf numFmtId="0" fontId="11" fillId="0" borderId="35" xfId="25" applyFont="1" applyBorder="1"/>
    <xf numFmtId="0" fontId="11" fillId="0" borderId="36" xfId="25" applyFont="1" applyBorder="1"/>
    <xf numFmtId="0" fontId="11" fillId="0" borderId="61" xfId="25" applyFont="1" applyBorder="1"/>
    <xf numFmtId="0" fontId="10" fillId="0" borderId="42" xfId="25" applyFont="1" applyBorder="1"/>
    <xf numFmtId="4" fontId="10" fillId="0" borderId="59" xfId="25" applyNumberFormat="1" applyFont="1" applyBorder="1"/>
    <xf numFmtId="0" fontId="18" fillId="0" borderId="4" xfId="0" applyFont="1" applyFill="1" applyBorder="1" applyAlignment="1">
      <alignment horizontal="center"/>
    </xf>
    <xf numFmtId="4" fontId="18" fillId="0" borderId="4" xfId="0" applyNumberFormat="1" applyFont="1" applyFill="1" applyBorder="1"/>
    <xf numFmtId="2" fontId="9" fillId="0" borderId="0" xfId="3" applyNumberFormat="1" applyFont="1" applyFill="1" applyBorder="1" applyAlignment="1">
      <alignment horizontal="center" vertical="top"/>
    </xf>
    <xf numFmtId="4" fontId="94" fillId="0" borderId="14" xfId="0" applyNumberFormat="1" applyFont="1" applyBorder="1"/>
    <xf numFmtId="4" fontId="9" fillId="0" borderId="0" xfId="3" applyNumberFormat="1" applyFont="1" applyFill="1" applyBorder="1" applyAlignment="1">
      <alignment horizontal="center" vertical="top"/>
    </xf>
    <xf numFmtId="4" fontId="12" fillId="0" borderId="0" xfId="3" applyNumberFormat="1" applyFont="1" applyFill="1" applyBorder="1" applyAlignment="1">
      <alignment horizontal="center" vertical="top"/>
    </xf>
    <xf numFmtId="4" fontId="9" fillId="0" borderId="2" xfId="3" applyNumberFormat="1" applyFont="1" applyFill="1" applyBorder="1" applyAlignment="1">
      <alignment horizontal="center" vertical="top"/>
    </xf>
    <xf numFmtId="4" fontId="10" fillId="0" borderId="0" xfId="3" applyNumberFormat="1" applyFont="1" applyFill="1" applyBorder="1" applyAlignment="1">
      <alignment horizontal="right" vertical="top"/>
    </xf>
    <xf numFmtId="4" fontId="12" fillId="0" borderId="0" xfId="3" applyNumberFormat="1" applyFont="1" applyFill="1" applyBorder="1" applyAlignment="1">
      <alignment horizontal="right" vertical="top"/>
    </xf>
    <xf numFmtId="4" fontId="9" fillId="0" borderId="2" xfId="3" applyNumberFormat="1" applyFont="1" applyFill="1" applyBorder="1" applyAlignment="1">
      <alignment horizontal="right" vertical="top"/>
    </xf>
    <xf numFmtId="4" fontId="0" fillId="0" borderId="0" xfId="0" applyNumberFormat="1"/>
    <xf numFmtId="4" fontId="15" fillId="0" borderId="0" xfId="3" applyNumberFormat="1" applyFont="1" applyFill="1" applyBorder="1" applyAlignment="1">
      <alignment horizontal="center" vertical="top"/>
    </xf>
    <xf numFmtId="4" fontId="17" fillId="0" borderId="0" xfId="4" applyNumberFormat="1" applyFont="1" applyFill="1" applyBorder="1"/>
    <xf numFmtId="4" fontId="17" fillId="0" borderId="15" xfId="5" applyNumberFormat="1" applyFont="1" applyFill="1" applyBorder="1" applyAlignment="1">
      <alignment horizontal="right"/>
    </xf>
    <xf numFmtId="4" fontId="17" fillId="0" borderId="23" xfId="5" applyNumberFormat="1" applyFont="1" applyFill="1" applyBorder="1" applyAlignment="1">
      <alignment horizontal="right" vertical="center"/>
    </xf>
    <xf numFmtId="4" fontId="17" fillId="0" borderId="31" xfId="5" applyNumberFormat="1" applyFont="1" applyFill="1" applyBorder="1" applyAlignment="1">
      <alignment horizontal="right" vertical="center"/>
    </xf>
    <xf numFmtId="4" fontId="17" fillId="0" borderId="14" xfId="5" applyNumberFormat="1" applyFont="1" applyFill="1" applyBorder="1" applyAlignment="1">
      <alignment horizontal="right"/>
    </xf>
    <xf numFmtId="4" fontId="17" fillId="0" borderId="14" xfId="5" applyNumberFormat="1" applyFont="1" applyFill="1" applyBorder="1" applyAlignment="1">
      <alignment horizontal="right" vertical="center"/>
    </xf>
    <xf numFmtId="4" fontId="18" fillId="0" borderId="59" xfId="5" applyNumberFormat="1" applyFont="1" applyFill="1" applyBorder="1" applyAlignment="1">
      <alignment horizontal="right" vertical="center"/>
    </xf>
    <xf numFmtId="4" fontId="17" fillId="0" borderId="20" xfId="5" applyNumberFormat="1" applyFont="1" applyFill="1" applyBorder="1" applyAlignment="1">
      <alignment horizontal="right"/>
    </xf>
    <xf numFmtId="4" fontId="17" fillId="0" borderId="25" xfId="5" applyNumberFormat="1" applyFont="1" applyFill="1" applyBorder="1" applyAlignment="1">
      <alignment horizontal="right" vertical="center"/>
    </xf>
    <xf numFmtId="4" fontId="17" fillId="0" borderId="28" xfId="5" applyNumberFormat="1" applyFont="1" applyFill="1" applyBorder="1" applyAlignment="1">
      <alignment horizontal="right" vertical="center"/>
    </xf>
    <xf numFmtId="4" fontId="17" fillId="0" borderId="15" xfId="5" applyNumberFormat="1" applyFont="1" applyFill="1" applyBorder="1" applyAlignment="1">
      <alignment horizontal="right" vertical="center"/>
    </xf>
    <xf numFmtId="4" fontId="17" fillId="0" borderId="23" xfId="25" applyNumberFormat="1" applyFont="1" applyFill="1" applyBorder="1" applyAlignment="1">
      <alignment horizontal="right"/>
    </xf>
    <xf numFmtId="4" fontId="17" fillId="0" borderId="51" xfId="25" applyNumberFormat="1" applyFont="1" applyFill="1" applyBorder="1" applyAlignment="1">
      <alignment horizontal="right"/>
    </xf>
    <xf numFmtId="4" fontId="17" fillId="0" borderId="12" xfId="25" applyNumberFormat="1" applyFont="1" applyFill="1" applyBorder="1" applyAlignment="1">
      <alignment horizontal="right"/>
    </xf>
    <xf numFmtId="4" fontId="18" fillId="0" borderId="59" xfId="25" applyNumberFormat="1" applyFont="1" applyFill="1" applyBorder="1" applyAlignment="1">
      <alignment horizontal="right"/>
    </xf>
    <xf numFmtId="4" fontId="17" fillId="0" borderId="36" xfId="25" applyNumberFormat="1" applyFont="1" applyFill="1" applyBorder="1" applyAlignment="1">
      <alignment horizontal="right"/>
    </xf>
    <xf numFmtId="4" fontId="17" fillId="0" borderId="55" xfId="25" applyNumberFormat="1" applyFont="1" applyFill="1" applyBorder="1" applyAlignment="1">
      <alignment horizontal="right"/>
    </xf>
    <xf numFmtId="4" fontId="17" fillId="0" borderId="67" xfId="25" applyNumberFormat="1" applyFont="1" applyFill="1" applyBorder="1" applyAlignment="1">
      <alignment horizontal="right"/>
    </xf>
    <xf numFmtId="4" fontId="17" fillId="0" borderId="25" xfId="25" applyNumberFormat="1" applyFont="1" applyFill="1" applyBorder="1" applyAlignment="1">
      <alignment horizontal="right"/>
    </xf>
    <xf numFmtId="4" fontId="17" fillId="0" borderId="28" xfId="25" applyNumberFormat="1" applyFont="1" applyFill="1" applyBorder="1" applyAlignment="1">
      <alignment horizontal="right"/>
    </xf>
    <xf numFmtId="4" fontId="11" fillId="0" borderId="15" xfId="25" applyNumberFormat="1" applyFont="1" applyBorder="1" applyAlignment="1">
      <alignment horizontal="right"/>
    </xf>
    <xf numFmtId="4" fontId="10" fillId="0" borderId="59" xfId="25" applyNumberFormat="1" applyFont="1" applyBorder="1" applyAlignment="1"/>
    <xf numFmtId="4" fontId="17" fillId="0" borderId="23" xfId="25" applyNumberFormat="1" applyFont="1" applyFill="1" applyBorder="1" applyAlignment="1">
      <alignment horizontal="center" vertical="center"/>
    </xf>
    <xf numFmtId="4" fontId="17" fillId="0" borderId="12" xfId="25" applyNumberFormat="1" applyFont="1" applyFill="1" applyBorder="1" applyAlignment="1">
      <alignment horizontal="center" vertical="center"/>
    </xf>
    <xf numFmtId="4" fontId="18" fillId="0" borderId="59" xfId="25" applyNumberFormat="1" applyFont="1" applyFill="1" applyBorder="1" applyAlignment="1">
      <alignment horizontal="center" vertical="center"/>
    </xf>
    <xf numFmtId="4" fontId="11" fillId="0" borderId="12" xfId="25" applyNumberFormat="1" applyFont="1" applyBorder="1"/>
    <xf numFmtId="4" fontId="9" fillId="0" borderId="40" xfId="3" applyNumberFormat="1" applyFont="1" applyFill="1" applyBorder="1" applyAlignment="1">
      <alignment horizontal="center" vertical="top"/>
    </xf>
    <xf numFmtId="4" fontId="24" fillId="0" borderId="41" xfId="3" applyNumberFormat="1" applyFont="1" applyFill="1" applyBorder="1" applyAlignment="1">
      <alignment horizontal="right" vertical="top"/>
    </xf>
    <xf numFmtId="4" fontId="13" fillId="0" borderId="0" xfId="0" applyNumberFormat="1" applyFont="1" applyFill="1" applyBorder="1" applyAlignment="1">
      <alignment vertical="top"/>
    </xf>
    <xf numFmtId="4" fontId="9" fillId="0" borderId="0" xfId="13" applyNumberFormat="1" applyFont="1" applyFill="1" applyBorder="1" applyAlignment="1">
      <alignment horizontal="center" vertical="top"/>
    </xf>
    <xf numFmtId="4" fontId="12" fillId="0" borderId="0" xfId="13" applyNumberFormat="1" applyFont="1" applyFill="1" applyBorder="1" applyAlignment="1">
      <alignment horizontal="center" vertical="top"/>
    </xf>
    <xf numFmtId="4" fontId="24" fillId="0" borderId="3" xfId="13" applyNumberFormat="1" applyFont="1" applyFill="1" applyBorder="1" applyAlignment="1">
      <alignment horizontal="right" vertical="top"/>
    </xf>
    <xf numFmtId="4" fontId="9" fillId="0" borderId="2" xfId="13" applyNumberFormat="1" applyFont="1" applyFill="1" applyBorder="1" applyAlignment="1">
      <alignment horizontal="center" vertical="top"/>
    </xf>
    <xf numFmtId="4" fontId="10" fillId="0" borderId="0" xfId="0" applyNumberFormat="1" applyFont="1" applyFill="1" applyBorder="1" applyAlignment="1">
      <alignment horizontal="right" vertical="top"/>
    </xf>
    <xf numFmtId="4" fontId="12" fillId="0" borderId="0" xfId="0" applyNumberFormat="1" applyFont="1" applyFill="1" applyBorder="1" applyAlignment="1">
      <alignment horizontal="right" vertical="top"/>
    </xf>
    <xf numFmtId="4" fontId="9" fillId="0" borderId="2" xfId="0" applyNumberFormat="1" applyFont="1" applyFill="1" applyBorder="1" applyAlignment="1">
      <alignment horizontal="right" vertical="top"/>
    </xf>
    <xf numFmtId="4" fontId="24" fillId="0" borderId="3" xfId="0" applyNumberFormat="1" applyFont="1" applyFill="1" applyBorder="1" applyAlignment="1">
      <alignment horizontal="right" vertical="top"/>
    </xf>
    <xf numFmtId="4" fontId="17" fillId="0" borderId="0" xfId="14" applyNumberFormat="1" applyFont="1" applyFill="1" applyBorder="1"/>
    <xf numFmtId="4" fontId="14" fillId="0" borderId="0" xfId="8" applyNumberFormat="1" applyFont="1" applyBorder="1" applyAlignment="1">
      <alignment horizontal="center" vertical="top"/>
    </xf>
    <xf numFmtId="4" fontId="63" fillId="0" borderId="6" xfId="8" applyNumberFormat="1" applyFont="1" applyBorder="1" applyAlignment="1">
      <alignment vertical="top"/>
    </xf>
    <xf numFmtId="4" fontId="7" fillId="0" borderId="0" xfId="8" applyNumberFormat="1" applyFont="1" applyAlignment="1">
      <alignment vertical="top"/>
    </xf>
    <xf numFmtId="4" fontId="8" fillId="11" borderId="0" xfId="8" applyNumberFormat="1" applyFont="1" applyFill="1" applyBorder="1" applyAlignment="1">
      <alignment horizontal="center" vertical="top"/>
    </xf>
    <xf numFmtId="4" fontId="14" fillId="0" borderId="0" xfId="8" applyNumberFormat="1" applyFont="1" applyFill="1" applyBorder="1" applyAlignment="1">
      <alignment horizontal="center" vertical="top"/>
    </xf>
    <xf numFmtId="4" fontId="63" fillId="0" borderId="6" xfId="8" applyNumberFormat="1" applyFont="1" applyFill="1" applyBorder="1" applyAlignment="1">
      <alignment vertical="top"/>
    </xf>
    <xf numFmtId="4" fontId="7" fillId="0" borderId="0" xfId="8" applyNumberFormat="1" applyFont="1" applyFill="1" applyAlignment="1">
      <alignment vertical="top"/>
    </xf>
    <xf numFmtId="4" fontId="7" fillId="0" borderId="0" xfId="8" applyNumberFormat="1" applyFont="1" applyFill="1" applyBorder="1" applyAlignment="1">
      <alignment horizontal="right" vertical="top"/>
    </xf>
    <xf numFmtId="4" fontId="17" fillId="0" borderId="1" xfId="22" applyNumberFormat="1" applyFont="1" applyBorder="1" applyAlignment="1">
      <alignment vertical="center"/>
    </xf>
    <xf numFmtId="0" fontId="11" fillId="4" borderId="0" xfId="25" applyFont="1" applyFill="1"/>
    <xf numFmtId="0" fontId="17" fillId="0" borderId="18" xfId="5" applyFont="1" applyFill="1" applyBorder="1" applyAlignment="1">
      <alignment horizontal="center" vertical="center"/>
    </xf>
    <xf numFmtId="0" fontId="17" fillId="0" borderId="19" xfId="5" applyFont="1" applyFill="1" applyBorder="1" applyAlignment="1">
      <alignment horizontal="center" vertical="center"/>
    </xf>
    <xf numFmtId="2" fontId="17" fillId="0" borderId="19" xfId="5" applyNumberFormat="1" applyFont="1" applyFill="1" applyBorder="1" applyAlignment="1">
      <alignment horizontal="center" vertical="center"/>
    </xf>
    <xf numFmtId="4" fontId="17" fillId="0" borderId="20" xfId="5" applyNumberFormat="1" applyFont="1" applyFill="1" applyBorder="1" applyAlignment="1">
      <alignment horizontal="right" vertical="center"/>
    </xf>
    <xf numFmtId="0" fontId="18" fillId="0" borderId="11" xfId="25" applyFont="1" applyFill="1" applyBorder="1" applyAlignment="1">
      <alignment horizontal="left"/>
    </xf>
    <xf numFmtId="0" fontId="11" fillId="0" borderId="0" xfId="25" applyFill="1" applyBorder="1" applyAlignment="1"/>
    <xf numFmtId="0" fontId="11" fillId="0" borderId="14" xfId="25" applyFill="1" applyBorder="1" applyAlignment="1"/>
    <xf numFmtId="0" fontId="17" fillId="0" borderId="0" xfId="0" applyFont="1" applyAlignment="1">
      <alignment vertical="top" wrapText="1"/>
    </xf>
    <xf numFmtId="4" fontId="18" fillId="0" borderId="0" xfId="0" applyNumberFormat="1" applyFont="1" applyBorder="1" applyAlignment="1">
      <alignment horizontal="justify" vertical="center" wrapText="1"/>
    </xf>
    <xf numFmtId="0" fontId="17" fillId="0" borderId="0" xfId="0" applyFont="1" applyAlignment="1">
      <alignment horizontal="left" vertical="center" wrapText="1"/>
    </xf>
    <xf numFmtId="0" fontId="17" fillId="0" borderId="0" xfId="0" applyFont="1" applyAlignment="1">
      <alignment vertical="center" wrapText="1"/>
    </xf>
    <xf numFmtId="4" fontId="17" fillId="0" borderId="0" xfId="0" applyNumberFormat="1" applyFont="1" applyBorder="1" applyAlignment="1">
      <alignment horizontal="left" vertical="center" wrapText="1"/>
    </xf>
    <xf numFmtId="0" fontId="17" fillId="0" borderId="0" xfId="0" applyFont="1" applyBorder="1" applyAlignment="1">
      <alignment vertical="center" wrapText="1"/>
    </xf>
    <xf numFmtId="0" fontId="18" fillId="0" borderId="0" xfId="0" applyNumberFormat="1" applyFont="1" applyAlignment="1">
      <alignment horizontal="justify" vertical="center" wrapText="1"/>
    </xf>
    <xf numFmtId="0" fontId="91" fillId="0" borderId="0" xfId="0" applyFont="1" applyAlignment="1">
      <alignment horizontal="left" vertical="center" wrapText="1"/>
    </xf>
    <xf numFmtId="0" fontId="17" fillId="0" borderId="0" xfId="0" applyNumberFormat="1" applyFont="1" applyAlignment="1">
      <alignment horizontal="left" vertical="center" wrapText="1"/>
    </xf>
    <xf numFmtId="4" fontId="18" fillId="0" borderId="0" xfId="0" applyNumberFormat="1" applyFont="1" applyBorder="1" applyAlignment="1">
      <alignment horizontal="left" vertical="center" wrapText="1"/>
    </xf>
    <xf numFmtId="0" fontId="13" fillId="0" borderId="0" xfId="0" applyFont="1" applyAlignment="1">
      <alignment horizontal="left" vertical="top" wrapText="1"/>
    </xf>
    <xf numFmtId="0" fontId="0" fillId="0" borderId="0" xfId="0"/>
    <xf numFmtId="0" fontId="6" fillId="0" borderId="0" xfId="23" applyFont="1" applyFill="1" applyBorder="1" applyAlignment="1">
      <alignment horizontal="left" vertical="top"/>
    </xf>
    <xf numFmtId="0" fontId="6" fillId="0" borderId="0" xfId="23" applyFont="1" applyFill="1" applyBorder="1" applyAlignment="1">
      <alignment vertical="top"/>
    </xf>
    <xf numFmtId="0" fontId="6" fillId="0" borderId="0" xfId="23" applyFont="1" applyFill="1" applyBorder="1" applyAlignment="1">
      <alignment horizontal="center" vertical="top"/>
    </xf>
    <xf numFmtId="0" fontId="6" fillId="0" borderId="0" xfId="23" applyNumberFormat="1" applyFont="1" applyFill="1" applyBorder="1" applyAlignment="1">
      <alignment vertical="top"/>
    </xf>
    <xf numFmtId="0" fontId="6" fillId="0" borderId="0" xfId="23" applyFont="1" applyFill="1" applyAlignment="1">
      <alignment vertical="top"/>
    </xf>
    <xf numFmtId="0" fontId="6" fillId="0" borderId="0" xfId="23" applyFont="1" applyFill="1" applyBorder="1" applyAlignment="1">
      <alignment horizontal="right" vertical="top"/>
    </xf>
    <xf numFmtId="1" fontId="31" fillId="0" borderId="0" xfId="23" applyNumberFormat="1" applyFont="1" applyFill="1" applyBorder="1" applyAlignment="1">
      <alignment horizontal="left" vertical="top"/>
    </xf>
    <xf numFmtId="0" fontId="31" fillId="0" borderId="0" xfId="23" applyFont="1" applyFill="1" applyBorder="1" applyAlignment="1">
      <alignment horizontal="right" vertical="top"/>
    </xf>
    <xf numFmtId="0" fontId="31" fillId="0" borderId="0" xfId="23" applyFont="1" applyFill="1" applyBorder="1" applyAlignment="1">
      <alignment horizontal="left" vertical="top"/>
    </xf>
    <xf numFmtId="0" fontId="31" fillId="0" borderId="0" xfId="23" applyFont="1" applyFill="1" applyBorder="1" applyAlignment="1">
      <alignment vertical="top"/>
    </xf>
    <xf numFmtId="0" fontId="31" fillId="0" borderId="0" xfId="23" applyFont="1" applyFill="1" applyBorder="1" applyAlignment="1">
      <alignment horizontal="center" vertical="top"/>
    </xf>
    <xf numFmtId="0" fontId="31" fillId="0" borderId="0" xfId="23" applyNumberFormat="1" applyFont="1" applyFill="1" applyBorder="1" applyAlignment="1">
      <alignment vertical="top"/>
    </xf>
    <xf numFmtId="0" fontId="31" fillId="0" borderId="0" xfId="23" applyFont="1" applyFill="1" applyAlignment="1">
      <alignment vertical="top"/>
    </xf>
    <xf numFmtId="0" fontId="13" fillId="0" borderId="0" xfId="23" applyNumberFormat="1" applyFont="1" applyFill="1" applyBorder="1" applyAlignment="1">
      <alignment vertical="top"/>
    </xf>
    <xf numFmtId="49" fontId="14" fillId="0" borderId="0" xfId="23" applyNumberFormat="1" applyFont="1" applyFill="1" applyBorder="1" applyAlignment="1">
      <alignment horizontal="left" vertical="top"/>
    </xf>
    <xf numFmtId="0" fontId="14" fillId="0" borderId="0" xfId="23" applyFont="1" applyFill="1" applyBorder="1" applyAlignment="1">
      <alignment vertical="top"/>
    </xf>
    <xf numFmtId="0" fontId="14" fillId="0" borderId="0" xfId="23" applyFont="1" applyFill="1" applyBorder="1" applyAlignment="1">
      <alignment horizontal="center" vertical="top"/>
    </xf>
    <xf numFmtId="0" fontId="14" fillId="0" borderId="0" xfId="23" applyNumberFormat="1" applyFont="1" applyFill="1" applyBorder="1" applyAlignment="1">
      <alignment vertical="top"/>
    </xf>
    <xf numFmtId="0" fontId="13" fillId="0" borderId="0" xfId="23" applyNumberFormat="1" applyFont="1" applyFill="1" applyBorder="1" applyAlignment="1">
      <alignment vertical="top" wrapText="1"/>
    </xf>
    <xf numFmtId="0" fontId="13" fillId="0" borderId="0" xfId="23" applyFont="1" applyFill="1" applyAlignment="1">
      <alignment vertical="top"/>
    </xf>
    <xf numFmtId="0" fontId="15" fillId="11" borderId="0" xfId="23" applyFont="1" applyFill="1" applyBorder="1" applyAlignment="1">
      <alignment vertical="top"/>
    </xf>
    <xf numFmtId="49" fontId="15" fillId="11" borderId="0" xfId="23" applyNumberFormat="1" applyFont="1" applyFill="1" applyBorder="1" applyAlignment="1">
      <alignment horizontal="left" vertical="top" wrapText="1"/>
    </xf>
    <xf numFmtId="0" fontId="15" fillId="11" borderId="0" xfId="23" applyFont="1" applyFill="1" applyBorder="1" applyAlignment="1">
      <alignment horizontal="center" vertical="top"/>
    </xf>
    <xf numFmtId="0" fontId="15" fillId="11" borderId="0" xfId="23" applyNumberFormat="1" applyFont="1" applyFill="1" applyBorder="1" applyAlignment="1">
      <alignment horizontal="center" vertical="top"/>
    </xf>
    <xf numFmtId="0" fontId="15" fillId="0" borderId="0" xfId="23" applyFont="1" applyFill="1" applyBorder="1" applyAlignment="1">
      <alignment vertical="top"/>
    </xf>
    <xf numFmtId="0" fontId="15" fillId="0" borderId="0" xfId="23" applyNumberFormat="1" applyFont="1" applyFill="1" applyBorder="1" applyAlignment="1">
      <alignment horizontal="center" vertical="top"/>
    </xf>
    <xf numFmtId="0" fontId="13" fillId="0" borderId="0" xfId="23" applyFont="1" applyFill="1" applyBorder="1" applyAlignment="1">
      <alignment horizontal="right" vertical="top"/>
    </xf>
    <xf numFmtId="0" fontId="13" fillId="0" borderId="0" xfId="23" applyFont="1" applyFill="1" applyBorder="1" applyAlignment="1">
      <alignment horizontal="left" vertical="top"/>
    </xf>
    <xf numFmtId="49" fontId="13" fillId="0" borderId="0" xfId="23" applyNumberFormat="1" applyFont="1" applyFill="1" applyBorder="1" applyAlignment="1">
      <alignment horizontal="left" vertical="top" wrapText="1"/>
    </xf>
    <xf numFmtId="0" fontId="13" fillId="0" borderId="0" xfId="23" applyFont="1" applyFill="1" applyBorder="1" applyAlignment="1">
      <alignment vertical="top"/>
    </xf>
    <xf numFmtId="0" fontId="13" fillId="0" borderId="0" xfId="23" applyFont="1" applyFill="1" applyBorder="1" applyAlignment="1">
      <alignment horizontal="center" vertical="top"/>
    </xf>
    <xf numFmtId="49" fontId="43" fillId="0" borderId="6" xfId="23" applyNumberFormat="1" applyFont="1" applyFill="1" applyBorder="1" applyAlignment="1">
      <alignment horizontal="right" vertical="top"/>
    </xf>
    <xf numFmtId="49" fontId="43" fillId="0" borderId="6" xfId="23" applyNumberFormat="1" applyFont="1" applyFill="1" applyBorder="1" applyAlignment="1">
      <alignment vertical="top"/>
    </xf>
    <xf numFmtId="0" fontId="43" fillId="0" borderId="6" xfId="23" applyFont="1" applyFill="1" applyBorder="1" applyAlignment="1">
      <alignment vertical="top" wrapText="1"/>
    </xf>
    <xf numFmtId="0" fontId="11" fillId="0" borderId="6" xfId="23" applyFont="1" applyFill="1" applyBorder="1" applyAlignment="1">
      <alignment vertical="top"/>
    </xf>
    <xf numFmtId="3" fontId="11" fillId="0" borderId="6" xfId="23" applyNumberFormat="1" applyFont="1" applyFill="1" applyBorder="1" applyAlignment="1">
      <alignment horizontal="center" vertical="top"/>
    </xf>
    <xf numFmtId="0" fontId="11" fillId="0" borderId="6" xfId="23" applyNumberFormat="1" applyFont="1" applyFill="1" applyBorder="1" applyAlignment="1">
      <alignment horizontal="center" vertical="top"/>
    </xf>
    <xf numFmtId="0" fontId="11" fillId="0" borderId="0" xfId="23" applyFont="1" applyFill="1" applyBorder="1" applyAlignment="1">
      <alignment vertical="top"/>
    </xf>
    <xf numFmtId="49" fontId="43" fillId="0" borderId="0" xfId="23" applyNumberFormat="1" applyFont="1" applyFill="1" applyBorder="1" applyAlignment="1">
      <alignment horizontal="right" vertical="top"/>
    </xf>
    <xf numFmtId="49" fontId="43" fillId="0" borderId="0" xfId="23" applyNumberFormat="1" applyFont="1" applyFill="1" applyBorder="1" applyAlignment="1">
      <alignment vertical="top"/>
    </xf>
    <xf numFmtId="0" fontId="43" fillId="0" borderId="0" xfId="23" applyFont="1" applyFill="1" applyBorder="1" applyAlignment="1">
      <alignment vertical="top" wrapText="1"/>
    </xf>
    <xf numFmtId="3" fontId="11" fillId="0" borderId="0" xfId="23" applyNumberFormat="1" applyFont="1" applyFill="1" applyBorder="1" applyAlignment="1">
      <alignment horizontal="center" vertical="top"/>
    </xf>
    <xf numFmtId="0" fontId="11" fillId="0" borderId="0" xfId="23" applyNumberFormat="1" applyFont="1" applyFill="1" applyBorder="1" applyAlignment="1">
      <alignment horizontal="center" vertical="top"/>
    </xf>
    <xf numFmtId="0" fontId="23" fillId="0" borderId="0" xfId="23" applyFont="1" applyFill="1" applyBorder="1" applyAlignment="1">
      <alignment vertical="top"/>
    </xf>
    <xf numFmtId="0" fontId="17" fillId="0" borderId="0" xfId="23" applyFont="1" applyFill="1" applyBorder="1" applyAlignment="1">
      <alignment horizontal="left" vertical="top" wrapText="1"/>
    </xf>
    <xf numFmtId="0" fontId="23" fillId="0" borderId="0" xfId="23" applyFont="1" applyFill="1" applyBorder="1" applyAlignment="1">
      <alignment horizontal="right" vertical="top"/>
    </xf>
    <xf numFmtId="0" fontId="14" fillId="0" borderId="0" xfId="23" applyFont="1" applyBorder="1" applyAlignment="1">
      <alignment horizontal="right" vertical="top"/>
    </xf>
    <xf numFmtId="0" fontId="14" fillId="0" borderId="0" xfId="23" applyFont="1" applyBorder="1" applyAlignment="1">
      <alignment vertical="top"/>
    </xf>
    <xf numFmtId="3" fontId="14" fillId="0" borderId="0" xfId="23" applyNumberFormat="1" applyFont="1" applyBorder="1" applyAlignment="1">
      <alignment horizontal="center" vertical="top"/>
    </xf>
    <xf numFmtId="0" fontId="14" fillId="0" borderId="0" xfId="23" applyNumberFormat="1" applyFont="1" applyBorder="1" applyAlignment="1">
      <alignment horizontal="center" vertical="top"/>
    </xf>
    <xf numFmtId="0" fontId="14" fillId="0" borderId="0" xfId="23" applyFont="1" applyFill="1" applyBorder="1" applyAlignment="1">
      <alignment horizontal="right" vertical="top"/>
    </xf>
    <xf numFmtId="3" fontId="14" fillId="0" borderId="0" xfId="23" applyNumberFormat="1" applyFont="1" applyFill="1" applyBorder="1" applyAlignment="1">
      <alignment horizontal="center" vertical="top"/>
    </xf>
    <xf numFmtId="0" fontId="14" fillId="0" borderId="0" xfId="23" applyNumberFormat="1" applyFont="1" applyFill="1" applyBorder="1" applyAlignment="1">
      <alignment horizontal="center" vertical="top"/>
    </xf>
    <xf numFmtId="49" fontId="13" fillId="0" borderId="0" xfId="23" applyNumberFormat="1" applyFont="1" applyFill="1" applyBorder="1" applyAlignment="1">
      <alignment horizontal="right" vertical="top"/>
    </xf>
    <xf numFmtId="1" fontId="29" fillId="0" borderId="0" xfId="23" applyNumberFormat="1" applyFont="1" applyFill="1" applyBorder="1" applyAlignment="1">
      <alignment horizontal="center" vertical="top"/>
    </xf>
    <xf numFmtId="3" fontId="29" fillId="0" borderId="0" xfId="23" applyNumberFormat="1" applyFont="1" applyFill="1" applyBorder="1" applyAlignment="1">
      <alignment horizontal="center" vertical="top"/>
    </xf>
    <xf numFmtId="4" fontId="27" fillId="0" borderId="0" xfId="23" applyNumberFormat="1" applyFont="1" applyFill="1" applyBorder="1" applyAlignment="1">
      <alignment horizontal="center" vertical="top"/>
    </xf>
    <xf numFmtId="0" fontId="29" fillId="0" borderId="0" xfId="23" applyFont="1" applyFill="1" applyBorder="1" applyAlignment="1">
      <alignment horizontal="center" vertical="top"/>
    </xf>
    <xf numFmtId="0" fontId="16" fillId="0" borderId="0" xfId="23" applyFont="1" applyFill="1" applyBorder="1" applyAlignment="1">
      <alignment horizontal="center" vertical="top"/>
    </xf>
    <xf numFmtId="2" fontId="7" fillId="0" borderId="0" xfId="23" applyNumberFormat="1" applyFont="1" applyFill="1" applyBorder="1" applyAlignment="1">
      <alignment horizontal="center"/>
    </xf>
    <xf numFmtId="3" fontId="44" fillId="0" borderId="0" xfId="23" applyNumberFormat="1" applyFont="1" applyFill="1" applyBorder="1" applyAlignment="1">
      <alignment vertical="top"/>
    </xf>
    <xf numFmtId="0" fontId="27" fillId="0" borderId="0" xfId="23" applyFont="1" applyFill="1" applyBorder="1" applyAlignment="1">
      <alignment horizontal="right" vertical="top"/>
    </xf>
    <xf numFmtId="0" fontId="27" fillId="0" borderId="0" xfId="23" applyFont="1" applyFill="1" applyBorder="1" applyAlignment="1">
      <alignment vertical="top"/>
    </xf>
    <xf numFmtId="3" fontId="27" fillId="0" borderId="0" xfId="23" applyNumberFormat="1" applyFont="1" applyFill="1" applyBorder="1" applyAlignment="1">
      <alignment vertical="top"/>
    </xf>
    <xf numFmtId="0" fontId="8" fillId="0" borderId="0" xfId="23" applyNumberFormat="1" applyFont="1" applyFill="1" applyBorder="1" applyAlignment="1">
      <alignment horizontal="center"/>
    </xf>
    <xf numFmtId="0" fontId="29" fillId="0" borderId="0" xfId="23" applyFont="1" applyFill="1" applyBorder="1" applyAlignment="1">
      <alignment horizontal="center"/>
    </xf>
    <xf numFmtId="3" fontId="60" fillId="0" borderId="0" xfId="23" applyNumberFormat="1" applyFont="1" applyFill="1" applyBorder="1" applyAlignment="1">
      <alignment vertical="top"/>
    </xf>
    <xf numFmtId="49" fontId="67" fillId="0" borderId="0" xfId="23" applyNumberFormat="1" applyFont="1" applyFill="1" applyBorder="1" applyAlignment="1" applyProtection="1">
      <alignment horizontal="left" vertical="top"/>
    </xf>
    <xf numFmtId="1" fontId="67" fillId="0" borderId="0" xfId="23" applyNumberFormat="1" applyFont="1" applyFill="1" applyBorder="1" applyAlignment="1" applyProtection="1">
      <alignment horizontal="left" vertical="top"/>
    </xf>
    <xf numFmtId="0" fontId="66" fillId="0" borderId="0" xfId="23" applyFont="1" applyFill="1" applyBorder="1" applyAlignment="1" applyProtection="1">
      <alignment horizontal="center" vertical="top"/>
    </xf>
    <xf numFmtId="4" fontId="66" fillId="0" borderId="0" xfId="23" applyNumberFormat="1" applyFont="1" applyFill="1" applyBorder="1" applyAlignment="1" applyProtection="1">
      <alignment horizontal="center" vertical="top"/>
    </xf>
    <xf numFmtId="169" fontId="66" fillId="0" borderId="0" xfId="23" applyNumberFormat="1" applyFont="1" applyFill="1" applyBorder="1" applyAlignment="1" applyProtection="1">
      <alignment vertical="top"/>
      <protection locked="0"/>
    </xf>
    <xf numFmtId="169" fontId="66" fillId="0" borderId="0" xfId="23" applyNumberFormat="1" applyFont="1" applyFill="1" applyBorder="1" applyAlignment="1" applyProtection="1">
      <alignment vertical="top"/>
    </xf>
    <xf numFmtId="49" fontId="40" fillId="0" borderId="0" xfId="23" applyNumberFormat="1" applyAlignment="1">
      <alignment vertical="top"/>
    </xf>
    <xf numFmtId="0" fontId="8" fillId="0" borderId="0" xfId="23" applyFont="1" applyFill="1" applyBorder="1" applyAlignment="1">
      <alignment vertical="top"/>
    </xf>
    <xf numFmtId="0" fontId="63" fillId="0" borderId="0" xfId="23" applyFont="1" applyFill="1" applyBorder="1" applyAlignment="1">
      <alignment vertical="top"/>
    </xf>
    <xf numFmtId="0" fontId="7" fillId="0" borderId="0" xfId="23" applyFont="1" applyFill="1" applyBorder="1" applyAlignment="1">
      <alignment vertical="top"/>
    </xf>
    <xf numFmtId="0" fontId="66" fillId="0" borderId="0" xfId="23" applyFont="1" applyFill="1" applyBorder="1" applyAlignment="1" applyProtection="1">
      <alignment vertical="top"/>
    </xf>
    <xf numFmtId="0" fontId="69" fillId="0" borderId="0" xfId="23" applyFont="1" applyFill="1" applyBorder="1" applyAlignment="1" applyProtection="1">
      <alignment horizontal="center" vertical="top"/>
    </xf>
    <xf numFmtId="4" fontId="69" fillId="0" borderId="0" xfId="23" applyNumberFormat="1" applyFont="1" applyFill="1" applyBorder="1" applyAlignment="1" applyProtection="1">
      <alignment horizontal="center" vertical="top"/>
    </xf>
    <xf numFmtId="169" fontId="69" fillId="0" borderId="0" xfId="23" applyNumberFormat="1" applyFont="1" applyFill="1" applyBorder="1" applyAlignment="1" applyProtection="1">
      <alignment vertical="top"/>
      <protection locked="0"/>
    </xf>
    <xf numFmtId="0" fontId="8" fillId="0" borderId="0" xfId="23" applyNumberFormat="1" applyFont="1" applyFill="1" applyBorder="1" applyAlignment="1">
      <alignment horizontal="center" vertical="top"/>
    </xf>
    <xf numFmtId="0" fontId="67" fillId="0" borderId="0" xfId="23" applyFont="1" applyFill="1" applyBorder="1" applyAlignment="1" applyProtection="1">
      <alignment horizontal="left" vertical="top"/>
    </xf>
    <xf numFmtId="0" fontId="69" fillId="0" borderId="0" xfId="23" applyNumberFormat="1" applyFont="1" applyFill="1" applyBorder="1" applyAlignment="1" applyProtection="1">
      <alignment horizontal="center" vertical="top"/>
    </xf>
    <xf numFmtId="0" fontId="9" fillId="0" borderId="0" xfId="23" applyFont="1" applyFill="1" applyBorder="1" applyAlignment="1">
      <alignment vertical="top"/>
    </xf>
    <xf numFmtId="0" fontId="67" fillId="0" borderId="0" xfId="23" applyFont="1" applyFill="1" applyBorder="1" applyAlignment="1" applyProtection="1">
      <alignment vertical="top" wrapText="1"/>
    </xf>
    <xf numFmtId="4" fontId="66" fillId="0" borderId="0" xfId="23" applyNumberFormat="1" applyFont="1" applyFill="1" applyBorder="1" applyAlignment="1" applyProtection="1">
      <alignment horizontal="center" vertical="top" wrapText="1"/>
    </xf>
    <xf numFmtId="49" fontId="62" fillId="0" borderId="0" xfId="23" applyNumberFormat="1" applyFont="1" applyFill="1" applyBorder="1" applyAlignment="1" applyProtection="1">
      <alignment horizontal="left" vertical="top" wrapText="1"/>
    </xf>
    <xf numFmtId="171" fontId="62" fillId="0" borderId="0" xfId="27" applyNumberFormat="1" applyFont="1" applyFill="1" applyBorder="1" applyAlignment="1" applyProtection="1">
      <alignment horizontal="left" vertical="top" wrapText="1"/>
    </xf>
    <xf numFmtId="171" fontId="72" fillId="0" borderId="0" xfId="27" applyNumberFormat="1" applyFont="1" applyFill="1" applyBorder="1" applyAlignment="1" applyProtection="1">
      <alignment horizontal="center" vertical="top"/>
    </xf>
    <xf numFmtId="4" fontId="72" fillId="0" borderId="0" xfId="27" applyNumberFormat="1" applyFont="1" applyFill="1" applyBorder="1" applyAlignment="1" applyProtection="1">
      <alignment horizontal="center" vertical="top"/>
    </xf>
    <xf numFmtId="169" fontId="73" fillId="0" borderId="0" xfId="23" applyNumberFormat="1" applyFont="1" applyFill="1" applyBorder="1" applyAlignment="1" applyProtection="1">
      <alignment horizontal="right" vertical="top" wrapText="1"/>
      <protection locked="0"/>
    </xf>
    <xf numFmtId="3" fontId="65" fillId="0" borderId="0" xfId="23" applyNumberFormat="1" applyFont="1" applyFill="1" applyBorder="1" applyAlignment="1">
      <alignment vertical="top"/>
    </xf>
    <xf numFmtId="171" fontId="67" fillId="0" borderId="0" xfId="27" applyNumberFormat="1" applyFont="1" applyFill="1" applyBorder="1" applyAlignment="1" applyProtection="1">
      <alignment vertical="top" wrapText="1"/>
    </xf>
    <xf numFmtId="49" fontId="67" fillId="0" borderId="0" xfId="23" applyNumberFormat="1" applyFont="1" applyFill="1" applyBorder="1" applyAlignment="1" applyProtection="1">
      <alignment horizontal="left" vertical="top" wrapText="1"/>
    </xf>
    <xf numFmtId="0" fontId="73" fillId="0" borderId="0" xfId="23" applyFont="1" applyFill="1" applyBorder="1" applyAlignment="1" applyProtection="1">
      <alignment horizontal="center" vertical="top" wrapText="1"/>
    </xf>
    <xf numFmtId="4" fontId="73" fillId="0" borderId="0" xfId="23" applyNumberFormat="1" applyFont="1" applyFill="1" applyBorder="1" applyAlignment="1" applyProtection="1">
      <alignment horizontal="center" vertical="top" wrapText="1"/>
    </xf>
    <xf numFmtId="49" fontId="13" fillId="0" borderId="0" xfId="23" applyNumberFormat="1" applyFont="1" applyFill="1" applyBorder="1" applyAlignment="1">
      <alignment vertical="top"/>
    </xf>
    <xf numFmtId="49" fontId="73" fillId="0" borderId="0" xfId="23" applyNumberFormat="1" applyFont="1" applyFill="1" applyBorder="1" applyAlignment="1" applyProtection="1">
      <alignment horizontal="left" vertical="top" wrapText="1"/>
    </xf>
    <xf numFmtId="0" fontId="73" fillId="0" borderId="0" xfId="23" applyFont="1" applyFill="1" applyBorder="1" applyAlignment="1" applyProtection="1">
      <alignment vertical="top" wrapText="1"/>
    </xf>
    <xf numFmtId="1" fontId="66" fillId="0" borderId="0" xfId="23" applyNumberFormat="1" applyFont="1" applyFill="1" applyBorder="1" applyAlignment="1" applyProtection="1">
      <alignment vertical="top" wrapText="1"/>
    </xf>
    <xf numFmtId="0" fontId="77" fillId="0" borderId="0" xfId="23" applyFont="1" applyFill="1" applyBorder="1" applyAlignment="1" applyProtection="1">
      <alignment vertical="top" wrapText="1"/>
    </xf>
    <xf numFmtId="171" fontId="67" fillId="0" borderId="0" xfId="27" applyNumberFormat="1" applyFont="1" applyFill="1" applyBorder="1" applyAlignment="1" applyProtection="1">
      <alignment vertical="top"/>
    </xf>
    <xf numFmtId="49" fontId="13" fillId="0" borderId="0" xfId="23" applyNumberFormat="1" applyFont="1" applyFill="1" applyBorder="1" applyAlignment="1">
      <alignment horizontal="left" vertical="top"/>
    </xf>
    <xf numFmtId="49" fontId="79" fillId="0" borderId="0" xfId="23" applyNumberFormat="1" applyFont="1" applyFill="1" applyBorder="1" applyAlignment="1">
      <alignment horizontal="left" vertical="top"/>
    </xf>
    <xf numFmtId="0" fontId="66" fillId="0" borderId="0" xfId="23" applyFont="1" applyFill="1" applyBorder="1" applyAlignment="1" applyProtection="1">
      <alignment horizontal="center" vertical="top" wrapText="1"/>
    </xf>
    <xf numFmtId="169" fontId="67" fillId="0" borderId="0" xfId="23" applyNumberFormat="1" applyFont="1" applyFill="1" applyBorder="1" applyAlignment="1" applyProtection="1">
      <alignment horizontal="right" vertical="top"/>
      <protection locked="0"/>
    </xf>
    <xf numFmtId="169" fontId="67" fillId="0" borderId="0" xfId="23" applyNumberFormat="1" applyFont="1" applyFill="1" applyBorder="1" applyAlignment="1" applyProtection="1">
      <alignment horizontal="right" vertical="top"/>
    </xf>
    <xf numFmtId="171" fontId="66" fillId="0" borderId="0" xfId="27" applyNumberFormat="1" applyFont="1" applyFill="1" applyBorder="1" applyAlignment="1" applyProtection="1">
      <alignment horizontal="center" vertical="top"/>
    </xf>
    <xf numFmtId="4" fontId="66" fillId="0" borderId="0" xfId="27" applyNumberFormat="1" applyFont="1" applyFill="1" applyBorder="1" applyAlignment="1" applyProtection="1">
      <alignment horizontal="center" vertical="top"/>
    </xf>
    <xf numFmtId="169" fontId="66" fillId="0" borderId="0" xfId="27" applyNumberFormat="1" applyFont="1" applyFill="1" applyBorder="1" applyAlignment="1" applyProtection="1">
      <alignment horizontal="right" vertical="top"/>
      <protection locked="0"/>
    </xf>
    <xf numFmtId="171" fontId="66" fillId="0" borderId="0" xfId="27" applyNumberFormat="1" applyFont="1" applyFill="1" applyBorder="1" applyAlignment="1" applyProtection="1">
      <alignment vertical="top" wrapText="1"/>
    </xf>
    <xf numFmtId="0" fontId="81" fillId="0" borderId="0" xfId="23" applyFont="1" applyFill="1" applyBorder="1"/>
    <xf numFmtId="49" fontId="77" fillId="0" borderId="0" xfId="23" applyNumberFormat="1" applyFont="1" applyFill="1" applyBorder="1" applyAlignment="1" applyProtection="1">
      <alignment horizontal="left" vertical="top" wrapText="1"/>
    </xf>
    <xf numFmtId="49" fontId="78" fillId="0" borderId="0" xfId="23" applyNumberFormat="1" applyFont="1" applyFill="1" applyBorder="1" applyAlignment="1">
      <alignment horizontal="left" vertical="top"/>
    </xf>
    <xf numFmtId="4" fontId="18" fillId="0" borderId="45" xfId="22" applyNumberFormat="1" applyFont="1" applyBorder="1" applyAlignment="1">
      <alignment vertical="center"/>
    </xf>
    <xf numFmtId="0" fontId="13" fillId="0" borderId="0" xfId="28" applyNumberFormat="1" applyFont="1" applyFill="1" applyBorder="1" applyAlignment="1">
      <alignment vertical="top"/>
    </xf>
    <xf numFmtId="49" fontId="14" fillId="0" borderId="0" xfId="28" applyNumberFormat="1" applyFont="1" applyFill="1" applyBorder="1" applyAlignment="1">
      <alignment horizontal="left" vertical="top"/>
    </xf>
    <xf numFmtId="0" fontId="15" fillId="0" borderId="0" xfId="28" applyFont="1" applyFill="1" applyBorder="1" applyAlignment="1">
      <alignment vertical="top"/>
    </xf>
    <xf numFmtId="3" fontId="15" fillId="0" borderId="0" xfId="28" applyNumberFormat="1" applyFont="1" applyFill="1" applyBorder="1" applyAlignment="1">
      <alignment horizontal="center" vertical="top"/>
    </xf>
    <xf numFmtId="0" fontId="14" fillId="0" borderId="0" xfId="28" applyNumberFormat="1" applyFont="1" applyFill="1" applyBorder="1" applyAlignment="1">
      <alignment vertical="top"/>
    </xf>
    <xf numFmtId="0" fontId="5" fillId="0" borderId="0" xfId="28" applyFont="1" applyFill="1"/>
    <xf numFmtId="0" fontId="1" fillId="0" borderId="0" xfId="28" applyBorder="1" applyAlignment="1">
      <alignment horizontal="center" vertical="top" wrapText="1"/>
    </xf>
    <xf numFmtId="0" fontId="7" fillId="0" borderId="0" xfId="28" applyNumberFormat="1" applyFont="1" applyFill="1" applyAlignment="1">
      <alignment vertical="top"/>
    </xf>
    <xf numFmtId="49" fontId="7" fillId="0" borderId="0" xfId="28" applyNumberFormat="1" applyFont="1" applyFill="1" applyAlignment="1">
      <alignment horizontal="left" vertical="top" wrapText="1"/>
    </xf>
    <xf numFmtId="0" fontId="8" fillId="0" borderId="0" xfId="28" applyFont="1" applyFill="1" applyAlignment="1">
      <alignment vertical="top"/>
    </xf>
    <xf numFmtId="3" fontId="8" fillId="0" borderId="0" xfId="28" applyNumberFormat="1" applyFont="1" applyFill="1" applyAlignment="1">
      <alignment horizontal="center" vertical="top"/>
    </xf>
    <xf numFmtId="49" fontId="9" fillId="0" borderId="0" xfId="28" applyNumberFormat="1" applyFont="1" applyFill="1" applyBorder="1" applyAlignment="1">
      <alignment vertical="top"/>
    </xf>
    <xf numFmtId="0" fontId="9" fillId="0" borderId="0" xfId="28" applyNumberFormat="1" applyFont="1" applyFill="1" applyBorder="1" applyAlignment="1">
      <alignment vertical="top"/>
    </xf>
    <xf numFmtId="0" fontId="9" fillId="0" borderId="0" xfId="28" applyNumberFormat="1" applyFont="1" applyFill="1" applyBorder="1" applyAlignment="1">
      <alignment horizontal="left" vertical="top" wrapText="1"/>
    </xf>
    <xf numFmtId="0" fontId="9" fillId="0" borderId="0" xfId="28" applyFont="1" applyFill="1" applyBorder="1" applyAlignment="1">
      <alignment vertical="top"/>
    </xf>
    <xf numFmtId="3" fontId="9" fillId="0" borderId="0" xfId="28" applyNumberFormat="1" applyFont="1" applyFill="1" applyBorder="1" applyAlignment="1">
      <alignment horizontal="right" vertical="top"/>
    </xf>
    <xf numFmtId="164" fontId="9" fillId="0" borderId="0" xfId="28" applyNumberFormat="1" applyFont="1" applyFill="1" applyBorder="1" applyAlignment="1">
      <alignment horizontal="center" vertical="top"/>
    </xf>
    <xf numFmtId="4" fontId="5" fillId="0" borderId="0" xfId="28" applyNumberFormat="1" applyFont="1" applyFill="1" applyAlignment="1">
      <alignment vertical="top"/>
    </xf>
    <xf numFmtId="0" fontId="5" fillId="0" borderId="0" xfId="28" applyFont="1" applyFill="1" applyAlignment="1">
      <alignment vertical="top"/>
    </xf>
    <xf numFmtId="0" fontId="10" fillId="0" borderId="0" xfId="28" applyNumberFormat="1" applyFont="1" applyFill="1" applyBorder="1" applyAlignment="1">
      <alignment vertical="top"/>
    </xf>
    <xf numFmtId="0" fontId="10" fillId="0" borderId="0" xfId="28" applyNumberFormat="1" applyFont="1" applyFill="1" applyBorder="1" applyAlignment="1">
      <alignment horizontal="left" vertical="top" wrapText="1"/>
    </xf>
    <xf numFmtId="0" fontId="11" fillId="0" borderId="0" xfId="28" applyFont="1" applyFill="1" applyBorder="1" applyAlignment="1">
      <alignment vertical="top"/>
    </xf>
    <xf numFmtId="3" fontId="11" fillId="0" borderId="0" xfId="28" applyNumberFormat="1" applyFont="1" applyFill="1" applyBorder="1" applyAlignment="1">
      <alignment horizontal="right" vertical="top"/>
    </xf>
    <xf numFmtId="164" fontId="10" fillId="0" borderId="0" xfId="28" applyNumberFormat="1" applyFont="1" applyFill="1" applyBorder="1" applyAlignment="1">
      <alignment horizontal="right" vertical="top"/>
    </xf>
    <xf numFmtId="0" fontId="12" fillId="0" borderId="0" xfId="28" applyNumberFormat="1" applyFont="1" applyFill="1" applyBorder="1" applyAlignment="1">
      <alignment horizontal="right" vertical="top" wrapText="1"/>
    </xf>
    <xf numFmtId="0" fontId="12" fillId="0" borderId="0" xfId="28" applyFont="1" applyFill="1" applyBorder="1" applyAlignment="1">
      <alignment vertical="top"/>
    </xf>
    <xf numFmtId="3" fontId="12" fillId="0" borderId="0" xfId="28" applyNumberFormat="1" applyFont="1" applyFill="1" applyBorder="1" applyAlignment="1">
      <alignment horizontal="right" vertical="top"/>
    </xf>
    <xf numFmtId="164" fontId="12" fillId="0" borderId="0" xfId="28" applyNumberFormat="1" applyFont="1" applyFill="1" applyBorder="1" applyAlignment="1">
      <alignment horizontal="right" vertical="top"/>
    </xf>
    <xf numFmtId="0" fontId="7" fillId="0" borderId="0" xfId="28" applyFont="1" applyFill="1" applyBorder="1" applyAlignment="1">
      <alignment vertical="top"/>
    </xf>
    <xf numFmtId="0" fontId="8" fillId="0" borderId="0" xfId="28" applyNumberFormat="1" applyFont="1" applyFill="1" applyBorder="1" applyAlignment="1">
      <alignment vertical="top"/>
    </xf>
    <xf numFmtId="0" fontId="8" fillId="0" borderId="2" xfId="28" applyFont="1" applyFill="1" applyBorder="1" applyAlignment="1">
      <alignment horizontal="left" vertical="top" wrapText="1"/>
    </xf>
    <xf numFmtId="0" fontId="8" fillId="0" borderId="2" xfId="28" applyFont="1" applyFill="1" applyBorder="1" applyAlignment="1">
      <alignment horizontal="right" vertical="top"/>
    </xf>
    <xf numFmtId="3" fontId="8" fillId="0" borderId="2" xfId="28" applyNumberFormat="1" applyFont="1" applyFill="1" applyBorder="1" applyAlignment="1">
      <alignment horizontal="right" vertical="top"/>
    </xf>
    <xf numFmtId="164" fontId="9" fillId="0" borderId="2" xfId="28" applyNumberFormat="1" applyFont="1" applyFill="1" applyBorder="1" applyAlignment="1">
      <alignment horizontal="right" vertical="top"/>
    </xf>
    <xf numFmtId="4" fontId="5" fillId="0" borderId="0" xfId="28" applyNumberFormat="1" applyFont="1" applyFill="1"/>
    <xf numFmtId="49" fontId="7" fillId="0" borderId="0" xfId="28" applyNumberFormat="1" applyFont="1" applyFill="1" applyBorder="1" applyAlignment="1">
      <alignment vertical="top"/>
    </xf>
    <xf numFmtId="0" fontId="7" fillId="0" borderId="0" xfId="28" applyNumberFormat="1" applyFont="1" applyFill="1" applyBorder="1" applyAlignment="1">
      <alignment vertical="top"/>
    </xf>
    <xf numFmtId="49" fontId="7" fillId="0" borderId="0" xfId="28" applyNumberFormat="1" applyFont="1" applyFill="1" applyBorder="1" applyAlignment="1">
      <alignment horizontal="left" vertical="top" wrapText="1"/>
    </xf>
    <xf numFmtId="0" fontId="8" fillId="0" borderId="0" xfId="28" applyFont="1" applyFill="1" applyBorder="1" applyAlignment="1">
      <alignment vertical="top"/>
    </xf>
    <xf numFmtId="3" fontId="8" fillId="0" borderId="0" xfId="28" applyNumberFormat="1" applyFont="1" applyFill="1" applyBorder="1" applyAlignment="1">
      <alignment horizontal="center" vertical="top"/>
    </xf>
    <xf numFmtId="164" fontId="7" fillId="0" borderId="0" xfId="28" applyNumberFormat="1" applyFont="1" applyFill="1" applyBorder="1" applyAlignment="1">
      <alignment horizontal="right" vertical="top"/>
    </xf>
    <xf numFmtId="0" fontId="14" fillId="0" borderId="0" xfId="28" applyFont="1" applyFill="1" applyBorder="1" applyAlignment="1">
      <alignment vertical="top"/>
    </xf>
    <xf numFmtId="0" fontId="16" fillId="0" borderId="0" xfId="28" applyNumberFormat="1" applyFont="1" applyFill="1" applyBorder="1" applyAlignment="1">
      <alignment vertical="top"/>
    </xf>
    <xf numFmtId="3" fontId="16" fillId="0" borderId="0" xfId="28" applyNumberFormat="1" applyFont="1" applyFill="1" applyBorder="1" applyAlignment="1">
      <alignment vertical="top"/>
    </xf>
    <xf numFmtId="0" fontId="21" fillId="0" borderId="0" xfId="28" applyNumberFormat="1" applyFont="1" applyFill="1" applyBorder="1" applyAlignment="1">
      <alignment vertical="top"/>
    </xf>
    <xf numFmtId="0" fontId="14" fillId="0" borderId="5" xfId="28" applyFont="1" applyFill="1" applyBorder="1" applyAlignment="1">
      <alignment vertical="top"/>
    </xf>
    <xf numFmtId="0" fontId="13" fillId="0" borderId="5" xfId="28" applyNumberFormat="1" applyFont="1" applyFill="1" applyBorder="1" applyAlignment="1">
      <alignment vertical="top"/>
    </xf>
    <xf numFmtId="0" fontId="21" fillId="0" borderId="5" xfId="28" applyNumberFormat="1" applyFont="1" applyFill="1" applyBorder="1" applyAlignment="1">
      <alignment vertical="top"/>
    </xf>
    <xf numFmtId="0" fontId="16" fillId="0" borderId="5" xfId="28" applyNumberFormat="1" applyFont="1" applyFill="1" applyBorder="1" applyAlignment="1">
      <alignment vertical="top"/>
    </xf>
    <xf numFmtId="3" fontId="16" fillId="0" borderId="5" xfId="28" applyNumberFormat="1" applyFont="1" applyFill="1" applyBorder="1" applyAlignment="1">
      <alignment vertical="top"/>
    </xf>
    <xf numFmtId="0" fontId="15" fillId="0" borderId="3" xfId="28" applyFont="1" applyFill="1" applyBorder="1" applyAlignment="1">
      <alignment vertical="top"/>
    </xf>
    <xf numFmtId="49" fontId="15" fillId="0" borderId="3" xfId="28" applyNumberFormat="1" applyFont="1" applyFill="1" applyBorder="1" applyAlignment="1">
      <alignment horizontal="left" vertical="top" wrapText="1"/>
    </xf>
    <xf numFmtId="3" fontId="15" fillId="0" borderId="3" xfId="28" applyNumberFormat="1" applyFont="1" applyFill="1" applyBorder="1" applyAlignment="1">
      <alignment horizontal="center" vertical="top"/>
    </xf>
    <xf numFmtId="0" fontId="15" fillId="0" borderId="3" xfId="28" applyNumberFormat="1" applyFont="1" applyFill="1" applyBorder="1" applyAlignment="1">
      <alignment horizontal="center" vertical="top"/>
    </xf>
    <xf numFmtId="49" fontId="15" fillId="0" borderId="0" xfId="28" applyNumberFormat="1" applyFont="1" applyFill="1" applyBorder="1" applyAlignment="1">
      <alignment horizontal="left" vertical="top" wrapText="1"/>
    </xf>
    <xf numFmtId="0" fontId="15" fillId="0" borderId="0" xfId="28" applyNumberFormat="1" applyFont="1" applyFill="1" applyBorder="1" applyAlignment="1">
      <alignment horizontal="center" vertical="top"/>
    </xf>
    <xf numFmtId="49" fontId="17" fillId="0" borderId="0" xfId="28" applyNumberFormat="1" applyFont="1" applyFill="1" applyBorder="1" applyAlignment="1">
      <alignment horizontal="right" vertical="top"/>
    </xf>
    <xf numFmtId="0" fontId="18" fillId="0" borderId="0" xfId="28" applyFont="1" applyFill="1" applyBorder="1" applyAlignment="1">
      <alignment horizontal="left" vertical="center"/>
    </xf>
    <xf numFmtId="0" fontId="18" fillId="0" borderId="0" xfId="28" applyFont="1" applyFill="1" applyBorder="1" applyAlignment="1">
      <alignment vertical="center"/>
    </xf>
    <xf numFmtId="0" fontId="17" fillId="0" borderId="0" xfId="28" applyFont="1" applyFill="1" applyBorder="1" applyAlignment="1">
      <alignment horizontal="center"/>
    </xf>
    <xf numFmtId="4" fontId="17" fillId="0" borderId="0" xfId="28" applyNumberFormat="1" applyFont="1" applyFill="1" applyBorder="1"/>
    <xf numFmtId="0" fontId="17" fillId="0" borderId="0" xfId="28" applyFont="1" applyFill="1" applyBorder="1" applyAlignment="1">
      <alignment horizontal="left" vertical="top"/>
    </xf>
    <xf numFmtId="0" fontId="18" fillId="0" borderId="0" xfId="28" applyFont="1" applyFill="1" applyBorder="1" applyAlignment="1">
      <alignment vertical="top"/>
    </xf>
    <xf numFmtId="49" fontId="13" fillId="0" borderId="0" xfId="28" applyNumberFormat="1" applyFont="1" applyFill="1" applyBorder="1" applyAlignment="1">
      <alignment horizontal="right" vertical="top"/>
    </xf>
    <xf numFmtId="0" fontId="17" fillId="0" borderId="0" xfId="28" applyFont="1" applyFill="1" applyBorder="1" applyAlignment="1">
      <alignment vertical="top" wrapText="1"/>
    </xf>
    <xf numFmtId="0" fontId="17" fillId="0" borderId="4" xfId="2" applyFont="1" applyFill="1" applyBorder="1" applyAlignment="1">
      <alignment horizontal="justify" vertical="top" wrapText="1"/>
    </xf>
    <xf numFmtId="0" fontId="17" fillId="0" borderId="4" xfId="28" applyFont="1" applyFill="1" applyBorder="1" applyAlignment="1">
      <alignment horizontal="center"/>
    </xf>
    <xf numFmtId="4" fontId="17" fillId="0" borderId="4" xfId="28" applyNumberFormat="1" applyFont="1" applyFill="1" applyBorder="1"/>
    <xf numFmtId="0" fontId="17" fillId="0" borderId="0" xfId="28" applyFont="1" applyFill="1" applyBorder="1" applyAlignment="1">
      <alignment vertical="top"/>
    </xf>
    <xf numFmtId="0" fontId="18" fillId="0" borderId="0" xfId="28" applyFont="1" applyFill="1" applyBorder="1" applyAlignment="1">
      <alignment vertical="top" wrapText="1"/>
    </xf>
    <xf numFmtId="0" fontId="17" fillId="0" borderId="0" xfId="28" applyFont="1" applyFill="1" applyBorder="1" applyAlignment="1">
      <alignment horizontal="left"/>
    </xf>
    <xf numFmtId="165" fontId="17" fillId="0" borderId="0" xfId="28" applyNumberFormat="1" applyFont="1" applyFill="1" applyBorder="1"/>
    <xf numFmtId="4" fontId="17" fillId="0" borderId="0" xfId="28" applyNumberFormat="1" applyFont="1" applyFill="1" applyBorder="1" applyAlignment="1"/>
    <xf numFmtId="0" fontId="17" fillId="0" borderId="3" xfId="28" applyFont="1" applyFill="1" applyBorder="1" applyAlignment="1">
      <alignment vertical="top"/>
    </xf>
    <xf numFmtId="0" fontId="17" fillId="0" borderId="3" xfId="28" applyFont="1" applyFill="1" applyBorder="1" applyAlignment="1">
      <alignment horizontal="center"/>
    </xf>
    <xf numFmtId="4" fontId="17" fillId="0" borderId="3" xfId="28" applyNumberFormat="1" applyFont="1" applyFill="1" applyBorder="1"/>
    <xf numFmtId="0" fontId="17" fillId="0" borderId="5" xfId="28" applyFont="1" applyFill="1" applyBorder="1" applyAlignment="1">
      <alignment vertical="top"/>
    </xf>
    <xf numFmtId="0" fontId="17" fillId="0" borderId="5" xfId="28" applyFont="1" applyFill="1" applyBorder="1" applyAlignment="1">
      <alignment horizontal="center"/>
    </xf>
    <xf numFmtId="4" fontId="17" fillId="0" borderId="5" xfId="28" applyNumberFormat="1" applyFont="1" applyFill="1" applyBorder="1"/>
    <xf numFmtId="164" fontId="10" fillId="0" borderId="0" xfId="0" applyNumberFormat="1" applyFont="1" applyFill="1" applyBorder="1" applyAlignment="1">
      <alignment horizontal="right" vertical="top"/>
    </xf>
    <xf numFmtId="164" fontId="12" fillId="0" borderId="0" xfId="0" applyNumberFormat="1" applyFont="1" applyFill="1" applyBorder="1" applyAlignment="1">
      <alignment horizontal="right" vertical="top"/>
    </xf>
    <xf numFmtId="164" fontId="9" fillId="0" borderId="2" xfId="0" applyNumberFormat="1" applyFont="1" applyFill="1" applyBorder="1" applyAlignment="1">
      <alignment horizontal="right" vertical="top"/>
    </xf>
    <xf numFmtId="0" fontId="17" fillId="0" borderId="4" xfId="0" applyFont="1" applyFill="1" applyBorder="1" applyAlignment="1">
      <alignment horizontal="center"/>
    </xf>
    <xf numFmtId="4" fontId="17" fillId="0" borderId="4" xfId="0" applyNumberFormat="1" applyFont="1" applyFill="1" applyBorder="1"/>
    <xf numFmtId="164" fontId="9" fillId="0" borderId="0" xfId="0" applyNumberFormat="1" applyFont="1" applyFill="1" applyBorder="1" applyAlignment="1">
      <alignment horizontal="right" vertical="top"/>
    </xf>
    <xf numFmtId="164" fontId="9" fillId="0" borderId="6" xfId="0" applyNumberFormat="1" applyFont="1" applyFill="1" applyBorder="1" applyAlignment="1">
      <alignment horizontal="right" vertical="top"/>
    </xf>
    <xf numFmtId="4" fontId="17" fillId="0" borderId="55" xfId="25" applyNumberFormat="1" applyFont="1" applyFill="1" applyBorder="1" applyAlignment="1">
      <alignment horizontal="center" vertical="center"/>
    </xf>
    <xf numFmtId="4" fontId="17" fillId="0" borderId="31" xfId="25" applyNumberFormat="1" applyFont="1" applyFill="1" applyBorder="1" applyAlignment="1">
      <alignment horizontal="center" vertical="center" wrapText="1"/>
    </xf>
    <xf numFmtId="4" fontId="17" fillId="0" borderId="28" xfId="25" applyNumberFormat="1" applyFont="1" applyFill="1" applyBorder="1" applyAlignment="1">
      <alignment horizontal="center" vertical="center" wrapText="1"/>
    </xf>
    <xf numFmtId="0" fontId="13" fillId="0" borderId="21" xfId="5" applyFont="1" applyFill="1" applyBorder="1" applyAlignment="1">
      <alignment horizontal="center" vertical="center"/>
    </xf>
    <xf numFmtId="0" fontId="13" fillId="0" borderId="22" xfId="5" applyFont="1" applyFill="1" applyBorder="1" applyAlignment="1">
      <alignment horizontal="left" vertical="center" wrapText="1"/>
    </xf>
    <xf numFmtId="0" fontId="13" fillId="0" borderId="22" xfId="5" applyFont="1" applyFill="1" applyBorder="1" applyAlignment="1">
      <alignment horizontal="center" vertical="center"/>
    </xf>
    <xf numFmtId="2" fontId="13" fillId="0" borderId="22" xfId="5" applyNumberFormat="1" applyFont="1" applyFill="1" applyBorder="1" applyAlignment="1">
      <alignment horizontal="center" vertical="center"/>
    </xf>
    <xf numFmtId="4" fontId="13" fillId="0" borderId="23" xfId="5" applyNumberFormat="1" applyFont="1" applyFill="1" applyBorder="1" applyAlignment="1">
      <alignment horizontal="right" vertical="center" wrapText="1"/>
    </xf>
    <xf numFmtId="0" fontId="11" fillId="0" borderId="0" xfId="25" applyFont="1" applyFill="1"/>
    <xf numFmtId="4" fontId="13" fillId="0" borderId="23" xfId="5" applyNumberFormat="1" applyFont="1" applyFill="1" applyBorder="1" applyAlignment="1">
      <alignment horizontal="center" vertical="center" wrapText="1"/>
    </xf>
    <xf numFmtId="169" fontId="91" fillId="0" borderId="0" xfId="8" applyNumberFormat="1" applyFont="1" applyFill="1" applyBorder="1" applyAlignment="1" applyProtection="1">
      <alignment horizontal="right" vertical="top" wrapText="1"/>
      <protection locked="0"/>
    </xf>
    <xf numFmtId="49" fontId="67" fillId="0" borderId="3" xfId="8" applyNumberFormat="1" applyFont="1" applyFill="1" applyBorder="1" applyAlignment="1" applyProtection="1">
      <alignment horizontal="left" vertical="top"/>
    </xf>
    <xf numFmtId="0" fontId="67" fillId="0" borderId="3" xfId="8" applyFont="1" applyFill="1" applyBorder="1" applyAlignment="1" applyProtection="1">
      <alignment vertical="top" wrapText="1"/>
    </xf>
    <xf numFmtId="0" fontId="66" fillId="0" borderId="3" xfId="8" applyFont="1" applyFill="1" applyBorder="1" applyAlignment="1" applyProtection="1">
      <alignment horizontal="center" vertical="top" wrapText="1"/>
    </xf>
    <xf numFmtId="4" fontId="66" fillId="0" borderId="3" xfId="8" applyNumberFormat="1" applyFont="1" applyFill="1" applyBorder="1" applyAlignment="1" applyProtection="1">
      <alignment horizontal="center" vertical="top" wrapText="1"/>
    </xf>
    <xf numFmtId="169" fontId="67" fillId="0" borderId="3" xfId="8" applyNumberFormat="1" applyFont="1" applyFill="1" applyBorder="1" applyAlignment="1" applyProtection="1">
      <alignment horizontal="right" vertical="top"/>
      <protection locked="0"/>
    </xf>
    <xf numFmtId="49" fontId="67" fillId="0" borderId="3" xfId="23" applyNumberFormat="1" applyFont="1" applyFill="1" applyBorder="1" applyAlignment="1" applyProtection="1">
      <alignment horizontal="left" vertical="top"/>
    </xf>
    <xf numFmtId="0" fontId="67" fillId="0" borderId="3" xfId="23" applyFont="1" applyFill="1" applyBorder="1" applyAlignment="1" applyProtection="1">
      <alignment vertical="top" wrapText="1"/>
    </xf>
    <xf numFmtId="0" fontId="66" fillId="0" borderId="3" xfId="23" applyFont="1" applyFill="1" applyBorder="1" applyAlignment="1" applyProtection="1">
      <alignment horizontal="center" vertical="top" wrapText="1"/>
    </xf>
    <xf numFmtId="4" fontId="66" fillId="0" borderId="3" xfId="23" applyNumberFormat="1" applyFont="1" applyFill="1" applyBorder="1" applyAlignment="1" applyProtection="1">
      <alignment horizontal="center" vertical="top" wrapText="1"/>
    </xf>
    <xf numFmtId="169" fontId="67" fillId="0" borderId="3" xfId="23" applyNumberFormat="1" applyFont="1" applyFill="1" applyBorder="1" applyAlignment="1" applyProtection="1">
      <alignment horizontal="right" vertical="top"/>
      <protection locked="0"/>
    </xf>
    <xf numFmtId="169" fontId="67" fillId="0" borderId="3" xfId="23" applyNumberFormat="1" applyFont="1" applyFill="1" applyBorder="1" applyAlignment="1" applyProtection="1">
      <alignment horizontal="right" vertical="top"/>
    </xf>
    <xf numFmtId="4" fontId="18" fillId="0" borderId="43" xfId="0" applyNumberFormat="1" applyFont="1" applyBorder="1" applyAlignment="1">
      <alignment horizontal="center" vertical="center"/>
    </xf>
    <xf numFmtId="0" fontId="83" fillId="0" borderId="43" xfId="22" applyFont="1" applyBorder="1" applyAlignment="1">
      <alignment vertical="center"/>
    </xf>
    <xf numFmtId="4" fontId="17" fillId="0" borderId="43" xfId="22" applyNumberFormat="1" applyFont="1" applyBorder="1" applyAlignment="1">
      <alignment vertical="center"/>
    </xf>
    <xf numFmtId="0" fontId="17" fillId="0" borderId="43" xfId="22" applyFont="1" applyBorder="1" applyAlignment="1">
      <alignment vertical="center"/>
    </xf>
    <xf numFmtId="4" fontId="18" fillId="0" borderId="71" xfId="0" applyNumberFormat="1" applyFont="1" applyBorder="1" applyAlignment="1">
      <alignment horizontal="center" vertical="center"/>
    </xf>
    <xf numFmtId="0" fontId="83" fillId="0" borderId="71" xfId="22" applyFont="1" applyBorder="1" applyAlignment="1">
      <alignment vertical="center"/>
    </xf>
    <xf numFmtId="0" fontId="17" fillId="0" borderId="71" xfId="22" applyFont="1" applyBorder="1" applyAlignment="1">
      <alignment vertical="center"/>
    </xf>
    <xf numFmtId="0" fontId="14" fillId="0" borderId="0" xfId="5" applyFont="1" applyFill="1" applyAlignment="1">
      <alignment horizontal="left" wrapText="1"/>
    </xf>
    <xf numFmtId="0" fontId="14" fillId="0" borderId="22" xfId="25" applyFont="1" applyFill="1" applyBorder="1" applyAlignment="1" applyProtection="1">
      <alignment horizontal="left" wrapText="1"/>
    </xf>
    <xf numFmtId="4" fontId="17" fillId="0" borderId="23" xfId="25" applyNumberFormat="1" applyFont="1" applyFill="1" applyBorder="1" applyAlignment="1">
      <alignment horizontal="right" vertical="center"/>
    </xf>
    <xf numFmtId="0" fontId="14" fillId="0" borderId="27" xfId="25" applyFont="1" applyFill="1" applyBorder="1" applyAlignment="1" applyProtection="1">
      <alignment horizontal="left" wrapText="1"/>
    </xf>
    <xf numFmtId="4" fontId="17" fillId="0" borderId="28" xfId="25" applyNumberFormat="1" applyFont="1" applyFill="1" applyBorder="1" applyAlignment="1">
      <alignment horizontal="right" vertical="center"/>
    </xf>
    <xf numFmtId="0" fontId="14" fillId="0" borderId="22" xfId="25" applyFont="1" applyFill="1" applyBorder="1" applyAlignment="1">
      <alignment horizontal="left" wrapText="1"/>
    </xf>
    <xf numFmtId="0" fontId="11" fillId="0" borderId="0" xfId="25" applyFill="1" applyAlignment="1">
      <alignment horizontal="left" wrapText="1"/>
    </xf>
    <xf numFmtId="0" fontId="14" fillId="0" borderId="27" xfId="25" applyFont="1" applyFill="1" applyBorder="1" applyAlignment="1">
      <alignment horizontal="left" wrapText="1"/>
    </xf>
    <xf numFmtId="0" fontId="14" fillId="0" borderId="0" xfId="25" applyFont="1" applyFill="1" applyAlignment="1">
      <alignment horizontal="left" wrapText="1"/>
    </xf>
    <xf numFmtId="0" fontId="17" fillId="0" borderId="69" xfId="25" applyFont="1" applyFill="1" applyBorder="1" applyAlignment="1">
      <alignment horizontal="center" vertical="center"/>
    </xf>
    <xf numFmtId="0" fontId="14" fillId="0" borderId="70" xfId="25" applyFont="1" applyFill="1" applyBorder="1" applyAlignment="1">
      <alignment horizontal="left" wrapText="1"/>
    </xf>
    <xf numFmtId="0" fontId="17" fillId="0" borderId="70" xfId="25" applyFont="1" applyFill="1" applyBorder="1" applyAlignment="1">
      <alignment horizontal="center" vertical="center"/>
    </xf>
    <xf numFmtId="2" fontId="17" fillId="0" borderId="70" xfId="25" applyNumberFormat="1" applyFont="1" applyFill="1" applyBorder="1" applyAlignment="1">
      <alignment horizontal="center" vertical="center"/>
    </xf>
    <xf numFmtId="4" fontId="17" fillId="0" borderId="51" xfId="25" applyNumberFormat="1" applyFont="1" applyFill="1" applyBorder="1" applyAlignment="1">
      <alignment horizontal="right" vertical="center"/>
    </xf>
    <xf numFmtId="4" fontId="17" fillId="0" borderId="28" xfId="25" applyNumberFormat="1" applyFont="1" applyFill="1" applyBorder="1" applyAlignment="1">
      <alignment horizontal="center" vertical="center"/>
    </xf>
    <xf numFmtId="4" fontId="17" fillId="0" borderId="51" xfId="25" applyNumberFormat="1" applyFont="1" applyFill="1" applyBorder="1" applyAlignment="1">
      <alignment horizontal="center" vertical="center"/>
    </xf>
    <xf numFmtId="4" fontId="11" fillId="0" borderId="16" xfId="25" applyNumberFormat="1" applyFont="1" applyFill="1" applyBorder="1" applyAlignment="1">
      <alignment horizontal="right"/>
    </xf>
    <xf numFmtId="0" fontId="17" fillId="0" borderId="69" xfId="5" applyFont="1" applyFill="1" applyBorder="1" applyAlignment="1">
      <alignment horizontal="center" vertical="center"/>
    </xf>
    <xf numFmtId="0" fontId="17" fillId="0" borderId="70" xfId="5" applyFont="1" applyFill="1" applyBorder="1" applyAlignment="1">
      <alignment horizontal="center" vertical="center"/>
    </xf>
    <xf numFmtId="2" fontId="17" fillId="0" borderId="70" xfId="5" applyNumberFormat="1" applyFont="1" applyFill="1" applyBorder="1" applyAlignment="1">
      <alignment horizontal="center" vertical="center"/>
    </xf>
    <xf numFmtId="4" fontId="17" fillId="0" borderId="51" xfId="5" applyNumberFormat="1" applyFont="1" applyFill="1" applyBorder="1" applyAlignment="1">
      <alignment horizontal="right" vertical="center"/>
    </xf>
    <xf numFmtId="0" fontId="17" fillId="0" borderId="17" xfId="5" applyFont="1" applyFill="1" applyBorder="1" applyAlignment="1">
      <alignment horizontal="center" vertical="center"/>
    </xf>
    <xf numFmtId="0" fontId="3" fillId="0" borderId="0" xfId="3" applyBorder="1" applyAlignment="1">
      <alignment horizontal="center" vertical="center"/>
    </xf>
    <xf numFmtId="0" fontId="6" fillId="0" borderId="0" xfId="3" applyFont="1" applyFill="1" applyBorder="1" applyAlignment="1">
      <alignment horizontal="left" vertical="center"/>
    </xf>
    <xf numFmtId="0" fontId="3" fillId="0" borderId="0" xfId="3" applyBorder="1" applyAlignment="1">
      <alignment horizontal="left" vertical="center"/>
    </xf>
    <xf numFmtId="0" fontId="66" fillId="0" borderId="0" xfId="3" applyFont="1" applyFill="1"/>
    <xf numFmtId="0" fontId="17" fillId="0" borderId="0" xfId="3" applyNumberFormat="1" applyFont="1" applyFill="1" applyBorder="1" applyAlignment="1">
      <alignment vertical="top"/>
    </xf>
    <xf numFmtId="49" fontId="11" fillId="0" borderId="0" xfId="3" applyNumberFormat="1" applyFont="1" applyFill="1" applyBorder="1" applyAlignment="1">
      <alignment horizontal="left" vertical="top"/>
    </xf>
    <xf numFmtId="0" fontId="10" fillId="0" borderId="0" xfId="3" applyFont="1" applyFill="1" applyBorder="1" applyAlignment="1">
      <alignment vertical="top"/>
    </xf>
    <xf numFmtId="3" fontId="10" fillId="0" borderId="0" xfId="3" applyNumberFormat="1" applyFont="1" applyFill="1" applyBorder="1" applyAlignment="1">
      <alignment horizontal="center" vertical="top"/>
    </xf>
    <xf numFmtId="0" fontId="11" fillId="0" borderId="0" xfId="3" applyNumberFormat="1" applyFont="1" applyFill="1" applyBorder="1" applyAlignment="1">
      <alignment vertical="top"/>
    </xf>
    <xf numFmtId="0" fontId="31" fillId="0" borderId="6" xfId="3" applyFont="1" applyFill="1" applyBorder="1" applyAlignment="1">
      <alignment horizontal="left" vertical="top"/>
    </xf>
    <xf numFmtId="0" fontId="31" fillId="0" borderId="6" xfId="3" applyNumberFormat="1" applyFont="1" applyFill="1" applyBorder="1" applyAlignment="1">
      <alignment horizontal="left" vertical="top"/>
    </xf>
    <xf numFmtId="0" fontId="31" fillId="0" borderId="6" xfId="3" applyFont="1" applyFill="1" applyBorder="1" applyAlignment="1">
      <alignment vertical="top" wrapText="1"/>
    </xf>
    <xf numFmtId="0" fontId="31" fillId="0" borderId="6" xfId="3" applyFont="1" applyFill="1" applyBorder="1" applyAlignment="1">
      <alignment vertical="top"/>
    </xf>
    <xf numFmtId="3" fontId="31" fillId="0" borderId="6" xfId="3" applyNumberFormat="1" applyFont="1" applyFill="1" applyBorder="1" applyAlignment="1">
      <alignment horizontal="center" vertical="top"/>
    </xf>
    <xf numFmtId="0" fontId="31" fillId="0" borderId="6" xfId="3" applyNumberFormat="1" applyFont="1" applyFill="1" applyBorder="1" applyAlignment="1">
      <alignment vertical="top"/>
    </xf>
    <xf numFmtId="0" fontId="12" fillId="0" borderId="0" xfId="3" applyFont="1" applyFill="1" applyAlignment="1">
      <alignment vertical="top"/>
    </xf>
    <xf numFmtId="0" fontId="12" fillId="0" borderId="0" xfId="3" applyNumberFormat="1" applyFont="1" applyFill="1" applyAlignment="1">
      <alignment vertical="top"/>
    </xf>
    <xf numFmtId="49" fontId="12" fillId="0" borderId="0" xfId="3" applyNumberFormat="1" applyFont="1" applyFill="1" applyAlignment="1">
      <alignment horizontal="left" vertical="top" wrapText="1"/>
    </xf>
    <xf numFmtId="0" fontId="9" fillId="0" borderId="0" xfId="3" applyFont="1" applyFill="1" applyAlignment="1">
      <alignment vertical="top"/>
    </xf>
    <xf numFmtId="3" fontId="9" fillId="0" borderId="0" xfId="3" applyNumberFormat="1" applyFont="1" applyFill="1" applyAlignment="1">
      <alignment horizontal="center" vertical="top"/>
    </xf>
    <xf numFmtId="49" fontId="9" fillId="0" borderId="0" xfId="3" applyNumberFormat="1" applyFont="1" applyFill="1" applyBorder="1" applyAlignment="1">
      <alignment horizontal="left" vertical="top"/>
    </xf>
    <xf numFmtId="0" fontId="9" fillId="0" borderId="0" xfId="3" applyNumberFormat="1" applyFont="1" applyFill="1" applyBorder="1" applyAlignment="1">
      <alignment horizontal="left" vertical="top"/>
    </xf>
    <xf numFmtId="49" fontId="9" fillId="0" borderId="0" xfId="3" applyNumberFormat="1" applyFont="1" applyFill="1" applyBorder="1" applyAlignment="1">
      <alignment horizontal="left" vertical="top" wrapText="1"/>
    </xf>
    <xf numFmtId="3" fontId="9" fillId="0" borderId="0" xfId="3" applyNumberFormat="1" applyFont="1" applyFill="1" applyBorder="1" applyAlignment="1">
      <alignment horizontal="center" vertical="top"/>
    </xf>
    <xf numFmtId="0" fontId="9" fillId="0" borderId="0" xfId="3" applyNumberFormat="1" applyFont="1" applyFill="1" applyBorder="1" applyAlignment="1">
      <alignment horizontal="center" vertical="top"/>
    </xf>
    <xf numFmtId="0" fontId="66" fillId="0" borderId="0" xfId="3" applyFont="1" applyFill="1" applyAlignment="1">
      <alignment vertical="top"/>
    </xf>
    <xf numFmtId="4" fontId="66" fillId="0" borderId="0" xfId="3" applyNumberFormat="1" applyFont="1" applyFill="1" applyAlignment="1">
      <alignment vertical="top"/>
    </xf>
    <xf numFmtId="49" fontId="12" fillId="0" borderId="0" xfId="3" applyNumberFormat="1" applyFont="1" applyFill="1" applyBorder="1" applyAlignment="1">
      <alignment vertical="top"/>
    </xf>
    <xf numFmtId="49" fontId="12" fillId="0" borderId="0" xfId="3" applyNumberFormat="1" applyFont="1" applyFill="1" applyBorder="1" applyAlignment="1">
      <alignment horizontal="left" vertical="top" wrapText="1"/>
    </xf>
    <xf numFmtId="0" fontId="12" fillId="0" borderId="0" xfId="3" applyNumberFormat="1" applyFont="1" applyFill="1" applyBorder="1" applyAlignment="1">
      <alignment vertical="top"/>
    </xf>
    <xf numFmtId="4" fontId="66" fillId="0" borderId="0" xfId="3" applyNumberFormat="1" applyFont="1" applyFill="1"/>
    <xf numFmtId="49" fontId="12" fillId="0" borderId="3" xfId="3" applyNumberFormat="1" applyFont="1" applyFill="1" applyBorder="1" applyAlignment="1">
      <alignment vertical="top" wrapText="1"/>
    </xf>
    <xf numFmtId="0" fontId="9" fillId="0" borderId="3" xfId="3" applyFont="1" applyFill="1" applyBorder="1" applyAlignment="1">
      <alignment vertical="top"/>
    </xf>
    <xf numFmtId="3" fontId="9" fillId="0" borderId="3" xfId="3" applyNumberFormat="1" applyFont="1" applyFill="1" applyBorder="1" applyAlignment="1">
      <alignment vertical="top"/>
    </xf>
    <xf numFmtId="4" fontId="12" fillId="0" borderId="3" xfId="3" applyNumberFormat="1" applyFont="1" applyFill="1" applyBorder="1" applyAlignment="1">
      <alignment vertical="top"/>
    </xf>
    <xf numFmtId="4" fontId="12" fillId="0" borderId="3" xfId="3" applyNumberFormat="1" applyFont="1" applyFill="1" applyBorder="1" applyAlignment="1">
      <alignment horizontal="right" vertical="top"/>
    </xf>
    <xf numFmtId="0" fontId="9" fillId="0" borderId="2" xfId="3" applyFont="1" applyFill="1" applyBorder="1" applyAlignment="1">
      <alignment horizontal="left" vertical="top" wrapText="1"/>
    </xf>
    <xf numFmtId="0" fontId="9" fillId="0" borderId="2" xfId="3" applyFont="1" applyFill="1" applyBorder="1" applyAlignment="1">
      <alignment horizontal="right" vertical="top"/>
    </xf>
    <xf numFmtId="3" fontId="9" fillId="0" borderId="2" xfId="3" applyNumberFormat="1" applyFont="1" applyFill="1" applyBorder="1" applyAlignment="1">
      <alignment horizontal="right" vertical="top"/>
    </xf>
    <xf numFmtId="0" fontId="9" fillId="0" borderId="2" xfId="3" applyFont="1" applyFill="1" applyBorder="1" applyAlignment="1">
      <alignment vertical="top"/>
    </xf>
    <xf numFmtId="0" fontId="9" fillId="0" borderId="0" xfId="3" applyFont="1" applyFill="1" applyBorder="1" applyAlignment="1">
      <alignment horizontal="right" vertical="top" wrapText="1"/>
    </xf>
    <xf numFmtId="0" fontId="9" fillId="0" borderId="0" xfId="3" applyFont="1" applyFill="1" applyBorder="1" applyAlignment="1">
      <alignment horizontal="right" vertical="top"/>
    </xf>
    <xf numFmtId="0" fontId="18" fillId="0" borderId="0" xfId="3" applyNumberFormat="1" applyFont="1" applyFill="1" applyBorder="1" applyAlignment="1">
      <alignment vertical="top"/>
    </xf>
    <xf numFmtId="3" fontId="18" fillId="0" borderId="0" xfId="3" applyNumberFormat="1" applyFont="1" applyFill="1" applyBorder="1" applyAlignment="1">
      <alignment vertical="top"/>
    </xf>
    <xf numFmtId="0" fontId="11" fillId="0" borderId="0" xfId="5" applyNumberFormat="1" applyFont="1" applyProtection="1">
      <protection locked="0"/>
    </xf>
    <xf numFmtId="0" fontId="10" fillId="0" borderId="0" xfId="5" applyFont="1"/>
    <xf numFmtId="167" fontId="11" fillId="0" borderId="19" xfId="5" applyNumberFormat="1" applyFont="1" applyBorder="1"/>
    <xf numFmtId="167" fontId="11" fillId="0" borderId="0" xfId="5" applyNumberFormat="1" applyFont="1" applyBorder="1"/>
    <xf numFmtId="166" fontId="11" fillId="0" borderId="0" xfId="5" applyNumberFormat="1" applyFont="1" applyBorder="1"/>
    <xf numFmtId="0" fontId="11" fillId="0" borderId="0" xfId="5" applyFont="1" applyBorder="1"/>
    <xf numFmtId="0" fontId="11" fillId="0" borderId="0" xfId="5" applyFont="1" applyAlignment="1">
      <alignment horizontal="right"/>
    </xf>
    <xf numFmtId="4" fontId="100" fillId="0" borderId="0" xfId="0" applyNumberFormat="1" applyFont="1" applyBorder="1" applyAlignment="1">
      <alignment horizontal="center"/>
    </xf>
    <xf numFmtId="0" fontId="101" fillId="0" borderId="0" xfId="0" applyFont="1" applyFill="1" applyBorder="1" applyAlignment="1">
      <alignment vertical="top"/>
    </xf>
    <xf numFmtId="0" fontId="13" fillId="0" borderId="6" xfId="8" applyFont="1" applyBorder="1" applyAlignment="1">
      <alignment vertical="top"/>
    </xf>
    <xf numFmtId="49" fontId="13" fillId="0" borderId="6" xfId="8" applyNumberFormat="1" applyFont="1" applyBorder="1" applyAlignment="1">
      <alignment horizontal="left" vertical="top"/>
    </xf>
    <xf numFmtId="0" fontId="6" fillId="0" borderId="0" xfId="28" applyFont="1" applyFill="1" applyBorder="1" applyAlignment="1">
      <alignment horizontal="left" vertical="top"/>
    </xf>
    <xf numFmtId="0" fontId="0" fillId="0" borderId="0" xfId="0" applyBorder="1" applyAlignment="1">
      <alignment horizontal="center" vertical="top"/>
    </xf>
    <xf numFmtId="0" fontId="6" fillId="0" borderId="0" xfId="0" applyFont="1" applyFill="1" applyBorder="1" applyAlignment="1">
      <alignment horizontal="left" vertical="top"/>
    </xf>
    <xf numFmtId="0" fontId="11" fillId="0" borderId="0" xfId="0" applyFont="1" applyBorder="1" applyAlignment="1">
      <alignment vertical="center"/>
    </xf>
    <xf numFmtId="0" fontId="10" fillId="0" borderId="0" xfId="0" applyFont="1" applyBorder="1" applyAlignment="1">
      <alignment vertical="center"/>
    </xf>
    <xf numFmtId="0" fontId="14" fillId="0" borderId="6" xfId="8" applyNumberFormat="1" applyFont="1" applyFill="1" applyBorder="1" applyAlignment="1">
      <alignment horizontal="center" vertical="top"/>
    </xf>
    <xf numFmtId="169" fontId="102" fillId="0" borderId="0" xfId="8" applyNumberFormat="1" applyFont="1" applyFill="1" applyBorder="1" applyAlignment="1" applyProtection="1">
      <alignment vertical="top"/>
    </xf>
    <xf numFmtId="4" fontId="102" fillId="0" borderId="0" xfId="8" applyNumberFormat="1" applyFont="1" applyFill="1" applyBorder="1" applyAlignment="1" applyProtection="1">
      <alignment vertical="top"/>
    </xf>
    <xf numFmtId="4" fontId="103" fillId="0" borderId="0" xfId="8" applyNumberFormat="1" applyFont="1" applyFill="1" applyBorder="1" applyAlignment="1" applyProtection="1">
      <alignment vertical="top"/>
    </xf>
    <xf numFmtId="169" fontId="103" fillId="0" borderId="0" xfId="17" applyNumberFormat="1" applyFont="1" applyFill="1" applyBorder="1" applyAlignment="1" applyProtection="1">
      <alignment vertical="top"/>
    </xf>
    <xf numFmtId="169" fontId="102" fillId="0" borderId="0" xfId="8" applyNumberFormat="1" applyFont="1" applyFill="1" applyBorder="1" applyAlignment="1" applyProtection="1">
      <alignment vertical="top" wrapText="1"/>
    </xf>
    <xf numFmtId="4" fontId="103" fillId="0" borderId="3" xfId="8" applyNumberFormat="1" applyFont="1" applyFill="1" applyBorder="1" applyAlignment="1" applyProtection="1">
      <alignment vertical="top"/>
    </xf>
    <xf numFmtId="0" fontId="14" fillId="0" borderId="6" xfId="23" applyNumberFormat="1" applyFont="1" applyFill="1" applyBorder="1" applyAlignment="1">
      <alignment horizontal="center" vertical="top"/>
    </xf>
    <xf numFmtId="4" fontId="104" fillId="0" borderId="0" xfId="23" applyNumberFormat="1" applyFont="1" applyFill="1" applyBorder="1" applyAlignment="1">
      <alignment horizontal="center" vertical="top"/>
    </xf>
    <xf numFmtId="169" fontId="102" fillId="0" borderId="0" xfId="23" applyNumberFormat="1" applyFont="1" applyFill="1" applyBorder="1" applyAlignment="1" applyProtection="1">
      <alignment vertical="top"/>
    </xf>
    <xf numFmtId="169" fontId="103" fillId="0" borderId="0" xfId="23" applyNumberFormat="1" applyFont="1" applyFill="1" applyBorder="1" applyAlignment="1" applyProtection="1">
      <alignment vertical="top"/>
    </xf>
    <xf numFmtId="169" fontId="102" fillId="0" borderId="0" xfId="23" applyNumberFormat="1" applyFont="1" applyFill="1" applyBorder="1" applyAlignment="1" applyProtection="1">
      <alignment vertical="top" wrapText="1"/>
    </xf>
    <xf numFmtId="169" fontId="103" fillId="0" borderId="0" xfId="23" applyNumberFormat="1" applyFont="1" applyFill="1" applyBorder="1" applyAlignment="1" applyProtection="1">
      <alignment horizontal="right" vertical="top"/>
    </xf>
    <xf numFmtId="169" fontId="103" fillId="0" borderId="3" xfId="23" applyNumberFormat="1" applyFont="1" applyFill="1" applyBorder="1" applyAlignment="1" applyProtection="1">
      <alignment horizontal="right" vertical="top"/>
    </xf>
    <xf numFmtId="4" fontId="57" fillId="0" borderId="6" xfId="8" applyNumberFormat="1" applyFont="1" applyFill="1" applyBorder="1" applyAlignment="1">
      <alignment vertical="top"/>
    </xf>
    <xf numFmtId="4" fontId="104" fillId="0" borderId="6" xfId="8" applyNumberFormat="1" applyFont="1" applyFill="1" applyBorder="1" applyAlignment="1">
      <alignment horizontal="left" vertical="top"/>
    </xf>
    <xf numFmtId="0" fontId="105" fillId="0" borderId="0" xfId="0" applyFont="1"/>
    <xf numFmtId="0" fontId="17" fillId="0" borderId="17" xfId="25" applyFont="1" applyFill="1" applyBorder="1" applyAlignment="1">
      <alignment horizontal="center" vertical="center"/>
    </xf>
    <xf numFmtId="0" fontId="17" fillId="0" borderId="34" xfId="25" applyFont="1" applyFill="1" applyBorder="1" applyAlignment="1">
      <alignment horizontal="center" vertical="center"/>
    </xf>
    <xf numFmtId="0" fontId="14" fillId="0" borderId="0" xfId="3" applyNumberFormat="1" applyFont="1" applyFill="1" applyBorder="1" applyAlignment="1" applyProtection="1">
      <alignment vertical="top"/>
      <protection locked="0"/>
    </xf>
    <xf numFmtId="0" fontId="3" fillId="0" borderId="0" xfId="3" applyBorder="1" applyAlignment="1" applyProtection="1">
      <alignment horizontal="left" vertical="center"/>
      <protection locked="0"/>
    </xf>
    <xf numFmtId="0" fontId="7" fillId="0" borderId="0" xfId="3" applyNumberFormat="1" applyFont="1" applyFill="1" applyAlignment="1" applyProtection="1">
      <alignment vertical="top"/>
      <protection locked="0"/>
    </xf>
    <xf numFmtId="0" fontId="9" fillId="0" borderId="0" xfId="3" applyFont="1" applyFill="1" applyBorder="1" applyAlignment="1" applyProtection="1">
      <alignment vertical="top"/>
      <protection locked="0"/>
    </xf>
    <xf numFmtId="0" fontId="11" fillId="0" borderId="0" xfId="3" applyFont="1" applyFill="1" applyBorder="1" applyAlignment="1" applyProtection="1">
      <alignment vertical="top"/>
      <protection locked="0"/>
    </xf>
    <xf numFmtId="0" fontId="12" fillId="0" borderId="0" xfId="3" applyFont="1" applyFill="1" applyBorder="1" applyAlignment="1" applyProtection="1">
      <alignment vertical="top"/>
      <protection locked="0"/>
    </xf>
    <xf numFmtId="0" fontId="8" fillId="0" borderId="2" xfId="3" applyFont="1" applyFill="1" applyBorder="1" applyAlignment="1" applyProtection="1">
      <alignment vertical="top"/>
      <protection locked="0"/>
    </xf>
    <xf numFmtId="0" fontId="7" fillId="0" borderId="0" xfId="3" applyNumberFormat="1" applyFont="1" applyFill="1" applyBorder="1" applyAlignment="1" applyProtection="1">
      <alignment vertical="top"/>
      <protection locked="0"/>
    </xf>
    <xf numFmtId="0" fontId="13" fillId="0" borderId="0" xfId="3" applyNumberFormat="1" applyFont="1" applyFill="1" applyBorder="1" applyAlignment="1" applyProtection="1">
      <alignment vertical="top"/>
      <protection locked="0"/>
    </xf>
    <xf numFmtId="0" fontId="13" fillId="0" borderId="5" xfId="3" applyNumberFormat="1" applyFont="1" applyFill="1" applyBorder="1" applyAlignment="1" applyProtection="1">
      <alignment vertical="top"/>
      <protection locked="0"/>
    </xf>
    <xf numFmtId="0" fontId="15" fillId="0" borderId="3" xfId="3" applyNumberFormat="1" applyFont="1" applyFill="1" applyBorder="1" applyAlignment="1" applyProtection="1">
      <alignment horizontal="center" vertical="top"/>
      <protection locked="0"/>
    </xf>
    <xf numFmtId="0" fontId="15" fillId="0" borderId="0" xfId="3" applyNumberFormat="1" applyFont="1" applyFill="1" applyBorder="1" applyAlignment="1" applyProtection="1">
      <alignment horizontal="center" vertical="top"/>
      <protection locked="0"/>
    </xf>
    <xf numFmtId="4" fontId="17" fillId="0" borderId="0" xfId="3" applyNumberFormat="1" applyFont="1" applyFill="1" applyBorder="1" applyProtection="1">
      <protection locked="0"/>
    </xf>
    <xf numFmtId="4" fontId="19" fillId="0" borderId="0" xfId="3" applyNumberFormat="1" applyFont="1" applyBorder="1" applyProtection="1">
      <protection locked="0"/>
    </xf>
    <xf numFmtId="4" fontId="18" fillId="0" borderId="4" xfId="3" applyNumberFormat="1" applyFont="1" applyFill="1" applyBorder="1" applyProtection="1">
      <protection locked="0"/>
    </xf>
    <xf numFmtId="0" fontId="5" fillId="0" borderId="0" xfId="3" applyFont="1" applyFill="1" applyProtection="1">
      <protection locked="0"/>
    </xf>
    <xf numFmtId="0" fontId="0" fillId="0" borderId="0" xfId="0" applyProtection="1">
      <protection locked="0"/>
    </xf>
    <xf numFmtId="4" fontId="17" fillId="0" borderId="0" xfId="2" applyNumberFormat="1" applyFont="1" applyFill="1" applyBorder="1" applyAlignment="1" applyProtection="1">
      <alignment horizontal="right"/>
      <protection locked="0"/>
    </xf>
    <xf numFmtId="4" fontId="17" fillId="0" borderId="0" xfId="3" applyNumberFormat="1" applyFont="1" applyFill="1" applyBorder="1" applyAlignment="1" applyProtection="1">
      <alignment horizontal="right"/>
      <protection locked="0"/>
    </xf>
    <xf numFmtId="4" fontId="19" fillId="0" borderId="0" xfId="3" applyNumberFormat="1" applyFont="1" applyFill="1" applyBorder="1" applyProtection="1">
      <protection locked="0"/>
    </xf>
    <xf numFmtId="0" fontId="3" fillId="0" borderId="0" xfId="3" applyBorder="1" applyAlignment="1" applyProtection="1">
      <alignment horizontal="center" vertical="center"/>
      <protection locked="0"/>
    </xf>
    <xf numFmtId="4" fontId="17" fillId="0" borderId="0" xfId="3" applyNumberFormat="1" applyFont="1" applyBorder="1" applyProtection="1">
      <protection locked="0"/>
    </xf>
    <xf numFmtId="4" fontId="17" fillId="0" borderId="0" xfId="3" applyNumberFormat="1" applyFont="1" applyFill="1" applyBorder="1" applyAlignment="1" applyProtection="1">
      <protection locked="0"/>
    </xf>
    <xf numFmtId="4" fontId="17" fillId="0" borderId="3" xfId="3" applyNumberFormat="1" applyFont="1" applyFill="1" applyBorder="1" applyProtection="1">
      <protection locked="0"/>
    </xf>
    <xf numFmtId="4" fontId="18" fillId="0" borderId="3" xfId="3" applyNumberFormat="1" applyFont="1" applyFill="1" applyBorder="1" applyProtection="1">
      <protection locked="0"/>
    </xf>
    <xf numFmtId="4" fontId="27" fillId="0" borderId="0" xfId="3" applyNumberFormat="1" applyFont="1" applyBorder="1" applyAlignment="1" applyProtection="1">
      <alignment vertical="top"/>
      <protection locked="0"/>
    </xf>
    <xf numFmtId="0" fontId="67" fillId="0" borderId="0" xfId="5" applyFont="1" applyFill="1"/>
    <xf numFmtId="0" fontId="14" fillId="0" borderId="70" xfId="5" applyFont="1" applyFill="1" applyBorder="1" applyAlignment="1" applyProtection="1">
      <alignment horizontal="left" vertical="top" wrapText="1"/>
    </xf>
    <xf numFmtId="0" fontId="14" fillId="0" borderId="1" xfId="5" applyFont="1" applyFill="1" applyBorder="1" applyAlignment="1">
      <alignment horizontal="left" vertical="top" wrapText="1"/>
    </xf>
    <xf numFmtId="0" fontId="14" fillId="0" borderId="27" xfId="5" applyFont="1" applyFill="1" applyBorder="1" applyAlignment="1">
      <alignment horizontal="left" vertical="top" wrapText="1"/>
    </xf>
    <xf numFmtId="0" fontId="67" fillId="0" borderId="0" xfId="5" applyFont="1" applyFill="1" applyAlignment="1">
      <alignment vertical="top"/>
    </xf>
    <xf numFmtId="0" fontId="11" fillId="0" borderId="0" xfId="5" applyFont="1" applyFill="1" applyAlignment="1">
      <alignment vertical="top"/>
    </xf>
    <xf numFmtId="0" fontId="17" fillId="0" borderId="19" xfId="5" applyFont="1" applyFill="1" applyBorder="1" applyAlignment="1">
      <alignment horizontal="center" vertical="top" wrapText="1"/>
    </xf>
    <xf numFmtId="0" fontId="17" fillId="0" borderId="16" xfId="5" applyFont="1" applyFill="1" applyBorder="1" applyAlignment="1">
      <alignment vertical="top"/>
    </xf>
    <xf numFmtId="0" fontId="17" fillId="0" borderId="22" xfId="5" applyFont="1" applyFill="1" applyBorder="1" applyAlignment="1">
      <alignment horizontal="left" vertical="top" wrapText="1"/>
    </xf>
    <xf numFmtId="0" fontId="17" fillId="0" borderId="1" xfId="5" applyFont="1" applyFill="1" applyBorder="1" applyAlignment="1">
      <alignment horizontal="left" vertical="top" wrapText="1"/>
    </xf>
    <xf numFmtId="0" fontId="14" fillId="0" borderId="16" xfId="5" applyFont="1" applyFill="1" applyBorder="1" applyAlignment="1" applyProtection="1">
      <alignment horizontal="left" vertical="top" wrapText="1"/>
    </xf>
    <xf numFmtId="0" fontId="18" fillId="0" borderId="19" xfId="5" applyFont="1" applyFill="1" applyBorder="1" applyAlignment="1">
      <alignment vertical="top"/>
    </xf>
    <xf numFmtId="0" fontId="11" fillId="0" borderId="22" xfId="5" applyFill="1" applyBorder="1" applyAlignment="1" applyProtection="1">
      <alignment horizontal="left" vertical="top" wrapText="1"/>
    </xf>
    <xf numFmtId="0" fontId="14" fillId="0" borderId="1" xfId="5" applyFont="1" applyFill="1" applyBorder="1" applyAlignment="1" applyProtection="1">
      <alignment horizontal="left" vertical="top" wrapText="1"/>
    </xf>
    <xf numFmtId="0" fontId="18" fillId="0" borderId="18" xfId="5" applyFont="1" applyFill="1" applyBorder="1" applyAlignment="1">
      <alignment vertical="top"/>
    </xf>
    <xf numFmtId="0" fontId="17" fillId="0" borderId="0" xfId="5" applyFont="1" applyFill="1" applyBorder="1" applyAlignment="1">
      <alignment vertical="top"/>
    </xf>
    <xf numFmtId="0" fontId="14" fillId="0" borderId="22" xfId="5" applyFont="1" applyFill="1" applyBorder="1" applyAlignment="1">
      <alignment horizontal="left" vertical="top" wrapText="1"/>
    </xf>
    <xf numFmtId="0" fontId="10" fillId="0" borderId="42" xfId="5" applyFont="1" applyFill="1" applyBorder="1" applyAlignment="1">
      <alignment horizontal="center" vertical="top"/>
    </xf>
    <xf numFmtId="0" fontId="14" fillId="0" borderId="0" xfId="5" applyFont="1" applyFill="1" applyBorder="1" applyAlignment="1">
      <alignment horizontal="center" vertical="top"/>
    </xf>
    <xf numFmtId="0" fontId="17" fillId="0" borderId="19" xfId="5" applyFont="1" applyFill="1" applyBorder="1" applyAlignment="1">
      <alignment vertical="top"/>
    </xf>
    <xf numFmtId="0" fontId="17" fillId="0" borderId="27" xfId="5" applyFont="1" applyFill="1" applyBorder="1" applyAlignment="1">
      <alignment horizontal="left" vertical="top" wrapText="1"/>
    </xf>
    <xf numFmtId="0" fontId="17" fillId="0" borderId="16" xfId="5" applyFont="1" applyFill="1" applyBorder="1" applyAlignment="1">
      <alignment horizontal="left" vertical="top" wrapText="1"/>
    </xf>
    <xf numFmtId="0" fontId="18" fillId="0" borderId="42" xfId="5" applyFont="1" applyFill="1" applyBorder="1" applyAlignment="1">
      <alignment horizontal="left" vertical="top"/>
    </xf>
    <xf numFmtId="0" fontId="17" fillId="0" borderId="0" xfId="5" applyFont="1" applyFill="1" applyBorder="1" applyAlignment="1">
      <alignment horizontal="left" vertical="top" wrapText="1"/>
    </xf>
    <xf numFmtId="0" fontId="17" fillId="0" borderId="30" xfId="5" applyFont="1" applyFill="1" applyBorder="1" applyAlignment="1">
      <alignment horizontal="left" vertical="top" wrapText="1"/>
    </xf>
    <xf numFmtId="49" fontId="17" fillId="0" borderId="1" xfId="5" applyNumberFormat="1" applyFont="1" applyFill="1" applyBorder="1" applyAlignment="1">
      <alignment vertical="top" wrapText="1"/>
    </xf>
    <xf numFmtId="49" fontId="17" fillId="0" borderId="33" xfId="5" applyNumberFormat="1" applyFont="1" applyFill="1" applyBorder="1" applyAlignment="1">
      <alignment vertical="top" wrapText="1"/>
    </xf>
    <xf numFmtId="49" fontId="17" fillId="0" borderId="5" xfId="5" applyNumberFormat="1" applyFont="1" applyFill="1" applyBorder="1" applyAlignment="1">
      <alignment vertical="top" wrapText="1"/>
    </xf>
    <xf numFmtId="49" fontId="18" fillId="0" borderId="42" xfId="5" applyNumberFormat="1" applyFont="1" applyFill="1" applyBorder="1" applyAlignment="1">
      <alignment vertical="top"/>
    </xf>
    <xf numFmtId="49" fontId="17" fillId="0" borderId="0" xfId="5" applyNumberFormat="1" applyFont="1" applyFill="1" applyBorder="1" applyAlignment="1">
      <alignment vertical="top" wrapText="1"/>
    </xf>
    <xf numFmtId="0" fontId="17" fillId="0" borderId="43" xfId="5" applyFont="1" applyFill="1" applyBorder="1" applyAlignment="1">
      <alignment horizontal="left" vertical="top" wrapText="1"/>
    </xf>
    <xf numFmtId="0" fontId="17" fillId="0" borderId="5" xfId="5" applyFont="1" applyFill="1" applyBorder="1" applyAlignment="1">
      <alignment horizontal="left" vertical="top" wrapText="1"/>
    </xf>
    <xf numFmtId="0" fontId="18" fillId="0" borderId="42" xfId="5" applyFont="1" applyFill="1" applyBorder="1" applyAlignment="1">
      <alignment horizontal="left" vertical="top" wrapText="1"/>
    </xf>
    <xf numFmtId="0" fontId="17" fillId="0" borderId="27" xfId="5" applyFont="1" applyFill="1" applyBorder="1" applyAlignment="1">
      <alignment vertical="top" wrapText="1"/>
    </xf>
    <xf numFmtId="49" fontId="17" fillId="0" borderId="1" xfId="5" applyNumberFormat="1" applyFont="1" applyFill="1" applyBorder="1" applyAlignment="1">
      <alignment horizontal="left" vertical="top" wrapText="1"/>
    </xf>
    <xf numFmtId="49" fontId="18" fillId="0" borderId="42" xfId="5" applyNumberFormat="1" applyFont="1" applyFill="1" applyBorder="1" applyAlignment="1">
      <alignment vertical="top" wrapText="1"/>
    </xf>
    <xf numFmtId="49" fontId="17" fillId="0" borderId="27" xfId="5" applyNumberFormat="1" applyFont="1" applyFill="1" applyBorder="1" applyAlignment="1">
      <alignment vertical="top" wrapText="1"/>
    </xf>
    <xf numFmtId="0" fontId="17" fillId="0" borderId="1" xfId="5" applyFont="1" applyFill="1" applyBorder="1" applyAlignment="1">
      <alignment vertical="top" wrapText="1"/>
    </xf>
    <xf numFmtId="0" fontId="17" fillId="0" borderId="22" xfId="5" applyFont="1" applyFill="1" applyBorder="1" applyAlignment="1">
      <alignment vertical="top" wrapText="1"/>
    </xf>
    <xf numFmtId="0" fontId="17" fillId="0" borderId="33" xfId="5" applyFont="1" applyFill="1" applyBorder="1" applyAlignment="1">
      <alignment horizontal="left" vertical="top" wrapText="1"/>
    </xf>
    <xf numFmtId="0" fontId="17" fillId="0" borderId="22" xfId="5" applyFont="1" applyFill="1" applyBorder="1" applyAlignment="1">
      <alignment vertical="top"/>
    </xf>
    <xf numFmtId="0" fontId="18" fillId="0" borderId="16" xfId="5" applyFont="1" applyFill="1" applyBorder="1" applyAlignment="1">
      <alignment vertical="top"/>
    </xf>
    <xf numFmtId="0" fontId="17" fillId="0" borderId="33" xfId="5" applyFont="1" applyFill="1" applyBorder="1" applyAlignment="1">
      <alignment vertical="top" wrapText="1"/>
    </xf>
    <xf numFmtId="0" fontId="17" fillId="0" borderId="5" xfId="5" applyFont="1" applyFill="1" applyBorder="1" applyAlignment="1">
      <alignment vertical="top" wrapText="1"/>
    </xf>
    <xf numFmtId="0" fontId="18" fillId="0" borderId="42" xfId="5" applyFont="1" applyFill="1" applyBorder="1" applyAlignment="1">
      <alignment vertical="top"/>
    </xf>
    <xf numFmtId="0" fontId="17" fillId="0" borderId="0" xfId="5" applyFont="1" applyFill="1" applyBorder="1" applyAlignment="1">
      <alignment vertical="top" wrapText="1"/>
    </xf>
    <xf numFmtId="0" fontId="11" fillId="0" borderId="0" xfId="5" applyFont="1" applyFill="1" applyBorder="1" applyAlignment="1">
      <alignment vertical="top" wrapText="1"/>
    </xf>
    <xf numFmtId="4" fontId="11" fillId="0" borderId="0" xfId="5" applyNumberFormat="1" applyFont="1" applyFill="1" applyAlignment="1" applyProtection="1">
      <alignment horizontal="right"/>
      <protection locked="0"/>
    </xf>
    <xf numFmtId="4" fontId="17" fillId="0" borderId="16" xfId="5" applyNumberFormat="1" applyFont="1" applyFill="1" applyBorder="1" applyAlignment="1" applyProtection="1">
      <alignment horizontal="right" wrapText="1"/>
      <protection locked="0"/>
    </xf>
    <xf numFmtId="4" fontId="17" fillId="0" borderId="16" xfId="5" applyNumberFormat="1" applyFont="1" applyFill="1" applyBorder="1" applyAlignment="1" applyProtection="1">
      <alignment horizontal="right"/>
      <protection locked="0"/>
    </xf>
    <xf numFmtId="4" fontId="17" fillId="0" borderId="22" xfId="5" applyNumberFormat="1" applyFont="1" applyFill="1" applyBorder="1" applyAlignment="1" applyProtection="1">
      <alignment horizontal="right" vertical="center"/>
      <protection locked="0"/>
    </xf>
    <xf numFmtId="4" fontId="17" fillId="0" borderId="1" xfId="5" applyNumberFormat="1" applyFont="1" applyFill="1" applyBorder="1" applyAlignment="1" applyProtection="1">
      <alignment horizontal="right" vertical="center"/>
      <protection locked="0"/>
    </xf>
    <xf numFmtId="4" fontId="17" fillId="0" borderId="70" xfId="5" applyNumberFormat="1" applyFont="1" applyFill="1" applyBorder="1" applyAlignment="1" applyProtection="1">
      <alignment horizontal="right" vertical="center"/>
      <protection locked="0"/>
    </xf>
    <xf numFmtId="4" fontId="17" fillId="0" borderId="16" xfId="5" applyNumberFormat="1" applyFont="1" applyFill="1" applyBorder="1" applyAlignment="1" applyProtection="1">
      <alignment horizontal="right" vertical="center"/>
      <protection locked="0"/>
    </xf>
    <xf numFmtId="4" fontId="18" fillId="0" borderId="19" xfId="5" applyNumberFormat="1" applyFont="1" applyFill="1" applyBorder="1" applyAlignment="1" applyProtection="1">
      <alignment horizontal="right"/>
      <protection locked="0"/>
    </xf>
    <xf numFmtId="4" fontId="17" fillId="0" borderId="19" xfId="5" applyNumberFormat="1" applyFont="1" applyFill="1" applyBorder="1" applyAlignment="1" applyProtection="1">
      <alignment horizontal="right" vertical="center"/>
      <protection locked="0"/>
    </xf>
    <xf numFmtId="4" fontId="17" fillId="0" borderId="0" xfId="5" applyNumberFormat="1" applyFont="1" applyFill="1" applyBorder="1" applyAlignment="1" applyProtection="1">
      <alignment horizontal="right"/>
      <protection locked="0"/>
    </xf>
    <xf numFmtId="4" fontId="17" fillId="0" borderId="27" xfId="5" applyNumberFormat="1" applyFont="1" applyFill="1" applyBorder="1" applyAlignment="1" applyProtection="1">
      <alignment horizontal="right" vertical="center"/>
      <protection locked="0"/>
    </xf>
    <xf numFmtId="4" fontId="18" fillId="0" borderId="42" xfId="5" applyNumberFormat="1" applyFont="1" applyFill="1" applyBorder="1" applyAlignment="1" applyProtection="1">
      <alignment horizontal="right" vertical="center"/>
      <protection locked="0"/>
    </xf>
    <xf numFmtId="4" fontId="17" fillId="0" borderId="0" xfId="5" applyNumberFormat="1" applyFont="1" applyFill="1" applyBorder="1" applyAlignment="1" applyProtection="1">
      <alignment horizontal="right" vertical="center"/>
      <protection locked="0"/>
    </xf>
    <xf numFmtId="4" fontId="17" fillId="0" borderId="19" xfId="5" applyNumberFormat="1" applyFont="1" applyFill="1" applyBorder="1" applyAlignment="1" applyProtection="1">
      <alignment horizontal="right"/>
      <protection locked="0"/>
    </xf>
    <xf numFmtId="4" fontId="17" fillId="0" borderId="5" xfId="5" applyNumberFormat="1" applyFont="1" applyFill="1" applyBorder="1" applyAlignment="1" applyProtection="1">
      <alignment horizontal="right" vertical="center" wrapText="1"/>
      <protection locked="0"/>
    </xf>
    <xf numFmtId="4" fontId="18" fillId="0" borderId="42" xfId="5" applyNumberFormat="1" applyFont="1" applyFill="1" applyBorder="1" applyAlignment="1" applyProtection="1">
      <alignment horizontal="right" vertical="center" wrapText="1"/>
      <protection locked="0"/>
    </xf>
    <xf numFmtId="4" fontId="17" fillId="0" borderId="0" xfId="5" applyNumberFormat="1" applyFont="1" applyFill="1" applyBorder="1" applyAlignment="1" applyProtection="1">
      <alignment horizontal="right" vertical="center" wrapText="1"/>
      <protection locked="0"/>
    </xf>
    <xf numFmtId="4" fontId="17" fillId="0" borderId="5" xfId="5" applyNumberFormat="1" applyFont="1" applyFill="1" applyBorder="1" applyAlignment="1" applyProtection="1">
      <alignment horizontal="right" vertical="center"/>
      <protection locked="0"/>
    </xf>
    <xf numFmtId="4" fontId="17" fillId="0" borderId="22" xfId="5" applyNumberFormat="1" applyFont="1" applyFill="1" applyBorder="1" applyAlignment="1" applyProtection="1">
      <alignment horizontal="right"/>
      <protection locked="0"/>
    </xf>
    <xf numFmtId="4" fontId="18" fillId="0" borderId="16" xfId="5" applyNumberFormat="1" applyFont="1" applyFill="1" applyBorder="1" applyAlignment="1" applyProtection="1">
      <alignment horizontal="right"/>
      <protection locked="0"/>
    </xf>
    <xf numFmtId="4" fontId="36" fillId="0" borderId="0" xfId="5" applyNumberFormat="1" applyFont="1" applyFill="1" applyBorder="1" applyAlignment="1" applyProtection="1">
      <alignment horizontal="right" vertical="center" wrapText="1"/>
      <protection locked="0"/>
    </xf>
    <xf numFmtId="0" fontId="10" fillId="0" borderId="0" xfId="25" applyFont="1"/>
    <xf numFmtId="4" fontId="11" fillId="0" borderId="0" xfId="25" applyNumberFormat="1" applyAlignment="1" applyProtection="1">
      <alignment horizontal="right"/>
      <protection locked="0"/>
    </xf>
    <xf numFmtId="4" fontId="11" fillId="0" borderId="16" xfId="25" applyNumberFormat="1" applyFont="1" applyFill="1" applyBorder="1" applyAlignment="1" applyProtection="1">
      <alignment horizontal="right" wrapText="1"/>
      <protection locked="0"/>
    </xf>
    <xf numFmtId="4" fontId="11" fillId="0" borderId="16" xfId="25" applyNumberFormat="1" applyFont="1" applyFill="1" applyBorder="1" applyAlignment="1" applyProtection="1">
      <alignment horizontal="right"/>
      <protection locked="0"/>
    </xf>
    <xf numFmtId="4" fontId="17" fillId="0" borderId="19" xfId="25" applyNumberFormat="1" applyFont="1" applyFill="1" applyBorder="1" applyAlignment="1" applyProtection="1">
      <alignment horizontal="right"/>
      <protection locked="0"/>
    </xf>
    <xf numFmtId="4" fontId="17" fillId="0" borderId="16" xfId="25" applyNumberFormat="1" applyFont="1" applyFill="1" applyBorder="1" applyAlignment="1" applyProtection="1">
      <alignment horizontal="right"/>
      <protection locked="0"/>
    </xf>
    <xf numFmtId="4" fontId="17" fillId="0" borderId="22" xfId="25" applyNumberFormat="1" applyFont="1" applyFill="1" applyBorder="1" applyAlignment="1" applyProtection="1">
      <alignment horizontal="right" vertical="center"/>
      <protection locked="0"/>
    </xf>
    <xf numFmtId="4" fontId="17" fillId="0" borderId="27" xfId="25" applyNumberFormat="1" applyFont="1" applyFill="1" applyBorder="1" applyAlignment="1" applyProtection="1">
      <alignment horizontal="right" vertical="center"/>
      <protection locked="0"/>
    </xf>
    <xf numFmtId="4" fontId="17" fillId="0" borderId="0" xfId="25" applyNumberFormat="1" applyFont="1" applyFill="1" applyBorder="1" applyAlignment="1" applyProtection="1">
      <alignment horizontal="right"/>
      <protection locked="0"/>
    </xf>
    <xf numFmtId="4" fontId="17" fillId="0" borderId="70" xfId="25" applyNumberFormat="1" applyFont="1" applyFill="1" applyBorder="1" applyAlignment="1" applyProtection="1">
      <alignment horizontal="right" vertical="center"/>
      <protection locked="0"/>
    </xf>
    <xf numFmtId="4" fontId="17" fillId="0" borderId="5" xfId="25" applyNumberFormat="1" applyFont="1" applyFill="1" applyBorder="1" applyAlignment="1" applyProtection="1">
      <alignment horizontal="right" vertical="center"/>
      <protection locked="0"/>
    </xf>
    <xf numFmtId="4" fontId="18" fillId="0" borderId="42" xfId="25" applyNumberFormat="1" applyFont="1" applyFill="1" applyBorder="1" applyAlignment="1" applyProtection="1">
      <alignment horizontal="right" vertical="center"/>
      <protection locked="0"/>
    </xf>
    <xf numFmtId="4" fontId="17" fillId="0" borderId="35" xfId="25" applyNumberFormat="1" applyFont="1" applyFill="1" applyBorder="1" applyAlignment="1" applyProtection="1">
      <alignment horizontal="right" vertical="center"/>
      <protection locked="0"/>
    </xf>
    <xf numFmtId="4" fontId="17" fillId="0" borderId="0" xfId="25" applyNumberFormat="1" applyFont="1" applyFill="1" applyBorder="1" applyAlignment="1" applyProtection="1">
      <alignment horizontal="right" vertical="center"/>
      <protection locked="0"/>
    </xf>
    <xf numFmtId="4" fontId="17" fillId="0" borderId="1" xfId="25" applyNumberFormat="1" applyFont="1" applyFill="1" applyBorder="1" applyAlignment="1" applyProtection="1">
      <alignment horizontal="right" vertical="center"/>
      <protection locked="0"/>
    </xf>
    <xf numFmtId="4" fontId="11" fillId="0" borderId="0" xfId="25" applyNumberFormat="1" applyFont="1" applyFill="1" applyBorder="1" applyAlignment="1" applyProtection="1">
      <alignment horizontal="right" wrapText="1"/>
      <protection locked="0"/>
    </xf>
    <xf numFmtId="4" fontId="10" fillId="0" borderId="19" xfId="25" applyNumberFormat="1" applyFont="1" applyFill="1" applyBorder="1" applyAlignment="1" applyProtection="1">
      <alignment horizontal="right" vertical="center"/>
      <protection locked="0"/>
    </xf>
    <xf numFmtId="4" fontId="10" fillId="0" borderId="16" xfId="25" applyNumberFormat="1" applyFont="1" applyFill="1" applyBorder="1" applyAlignment="1" applyProtection="1">
      <alignment horizontal="right" vertical="center"/>
      <protection locked="0"/>
    </xf>
    <xf numFmtId="4" fontId="10" fillId="0" borderId="35" xfId="25" applyNumberFormat="1" applyFont="1" applyFill="1" applyBorder="1" applyAlignment="1" applyProtection="1">
      <alignment horizontal="right" vertical="center"/>
      <protection locked="0"/>
    </xf>
    <xf numFmtId="4" fontId="10" fillId="0" borderId="0" xfId="25" applyNumberFormat="1" applyFont="1" applyFill="1" applyBorder="1" applyAlignment="1" applyProtection="1">
      <alignment horizontal="right" vertical="center"/>
      <protection locked="0"/>
    </xf>
    <xf numFmtId="4" fontId="17" fillId="0" borderId="5" xfId="25" applyNumberFormat="1" applyFont="1" applyFill="1" applyBorder="1" applyAlignment="1" applyProtection="1">
      <alignment horizontal="right" vertical="center" wrapText="1"/>
      <protection locked="0"/>
    </xf>
    <xf numFmtId="4" fontId="18" fillId="0" borderId="42" xfId="25" applyNumberFormat="1" applyFont="1" applyFill="1" applyBorder="1" applyAlignment="1" applyProtection="1">
      <alignment horizontal="right" vertical="center" wrapText="1"/>
      <protection locked="0"/>
    </xf>
    <xf numFmtId="4" fontId="17" fillId="0" borderId="35" xfId="25" applyNumberFormat="1" applyFont="1" applyFill="1" applyBorder="1" applyAlignment="1" applyProtection="1">
      <alignment horizontal="right" vertical="center" wrapText="1"/>
      <protection locked="0"/>
    </xf>
    <xf numFmtId="4" fontId="11" fillId="0" borderId="0" xfId="25" applyNumberFormat="1" applyFont="1" applyFill="1" applyBorder="1" applyAlignment="1" applyProtection="1">
      <alignment horizontal="right"/>
      <protection locked="0"/>
    </xf>
    <xf numFmtId="4" fontId="11" fillId="0" borderId="16" xfId="25" applyNumberFormat="1" applyFont="1" applyBorder="1" applyAlignment="1" applyProtection="1">
      <alignment horizontal="right"/>
      <protection locked="0"/>
    </xf>
    <xf numFmtId="4" fontId="10" fillId="0" borderId="42" xfId="25" applyNumberFormat="1" applyFont="1" applyBorder="1" applyAlignment="1" applyProtection="1">
      <alignment horizontal="right"/>
      <protection locked="0"/>
    </xf>
    <xf numFmtId="4" fontId="10" fillId="0" borderId="0" xfId="25" applyNumberFormat="1" applyFont="1" applyBorder="1" applyAlignment="1" applyProtection="1">
      <alignment horizontal="right"/>
      <protection locked="0"/>
    </xf>
    <xf numFmtId="4" fontId="11" fillId="0" borderId="0" xfId="25" applyNumberFormat="1" applyBorder="1" applyAlignment="1" applyProtection="1">
      <alignment horizontal="right"/>
      <protection locked="0"/>
    </xf>
    <xf numFmtId="4" fontId="11" fillId="0" borderId="0" xfId="25" applyNumberFormat="1" applyFont="1" applyAlignment="1" applyProtection="1">
      <alignment horizontal="right"/>
      <protection locked="0"/>
    </xf>
    <xf numFmtId="4" fontId="11" fillId="0" borderId="19" xfId="25" applyNumberFormat="1" applyFont="1" applyFill="1" applyBorder="1" applyAlignment="1" applyProtection="1">
      <alignment horizontal="right" wrapText="1"/>
      <protection locked="0"/>
    </xf>
    <xf numFmtId="0" fontId="11" fillId="0" borderId="0" xfId="25" applyFill="1" applyBorder="1" applyAlignment="1" applyProtection="1">
      <protection locked="0"/>
    </xf>
    <xf numFmtId="4" fontId="11" fillId="0" borderId="16" xfId="25" applyNumberFormat="1" applyFill="1" applyBorder="1" applyAlignment="1" applyProtection="1">
      <alignment horizontal="right"/>
      <protection locked="0"/>
    </xf>
    <xf numFmtId="4" fontId="17" fillId="0" borderId="1" xfId="25" applyNumberFormat="1" applyFont="1" applyFill="1" applyBorder="1" applyAlignment="1" applyProtection="1">
      <alignment horizontal="right" vertical="center" wrapText="1"/>
      <protection locked="0"/>
    </xf>
    <xf numFmtId="4" fontId="39" fillId="0" borderId="0" xfId="25" applyNumberFormat="1" applyFont="1" applyFill="1" applyBorder="1" applyAlignment="1" applyProtection="1">
      <alignment horizontal="right"/>
      <protection locked="0"/>
    </xf>
    <xf numFmtId="4" fontId="39" fillId="0" borderId="16" xfId="25" applyNumberFormat="1" applyFont="1" applyFill="1" applyBorder="1" applyAlignment="1" applyProtection="1">
      <alignment horizontal="right"/>
      <protection locked="0"/>
    </xf>
    <xf numFmtId="4" fontId="17" fillId="0" borderId="27" xfId="25" applyNumberFormat="1" applyFont="1" applyFill="1" applyBorder="1" applyAlignment="1" applyProtection="1">
      <alignment horizontal="right" vertical="center" wrapText="1"/>
      <protection locked="0"/>
    </xf>
    <xf numFmtId="4" fontId="11" fillId="0" borderId="0" xfId="25" applyNumberFormat="1" applyFill="1" applyBorder="1" applyAlignment="1" applyProtection="1">
      <alignment horizontal="right"/>
      <protection locked="0"/>
    </xf>
    <xf numFmtId="4" fontId="11" fillId="0" borderId="54" xfId="25" applyNumberFormat="1" applyFont="1" applyFill="1" applyBorder="1" applyAlignment="1" applyProtection="1">
      <alignment horizontal="right"/>
      <protection locked="0"/>
    </xf>
    <xf numFmtId="4" fontId="11" fillId="0" borderId="5" xfId="25" applyNumberFormat="1" applyFont="1" applyBorder="1" applyAlignment="1" applyProtection="1">
      <alignment horizontal="right"/>
      <protection locked="0"/>
    </xf>
    <xf numFmtId="4" fontId="11" fillId="0" borderId="35" xfId="25" applyNumberFormat="1" applyFont="1" applyBorder="1" applyAlignment="1" applyProtection="1">
      <alignment horizontal="right"/>
      <protection locked="0"/>
    </xf>
    <xf numFmtId="0" fontId="28" fillId="0" borderId="0" xfId="8" applyFont="1" applyBorder="1" applyAlignment="1">
      <alignment horizontal="left" vertical="top"/>
    </xf>
    <xf numFmtId="0" fontId="28" fillId="0" borderId="0" xfId="8" applyFont="1" applyFill="1" applyBorder="1" applyAlignment="1">
      <alignment vertical="top"/>
    </xf>
    <xf numFmtId="0" fontId="28" fillId="0" borderId="0" xfId="8" applyFont="1" applyBorder="1" applyAlignment="1">
      <alignment horizontal="right" vertical="top"/>
    </xf>
    <xf numFmtId="1" fontId="28" fillId="0" borderId="0" xfId="8" applyNumberFormat="1" applyFont="1" applyBorder="1" applyAlignment="1">
      <alignment horizontal="left" vertical="top"/>
    </xf>
    <xf numFmtId="0" fontId="6" fillId="0" borderId="0" xfId="8" applyNumberFormat="1" applyFont="1" applyBorder="1" applyAlignment="1" applyProtection="1">
      <protection locked="0"/>
    </xf>
    <xf numFmtId="0" fontId="31" fillId="0" borderId="0" xfId="8" applyNumberFormat="1" applyFont="1" applyBorder="1" applyAlignment="1" applyProtection="1">
      <protection locked="0"/>
    </xf>
    <xf numFmtId="0" fontId="14" fillId="0" borderId="0" xfId="8" applyNumberFormat="1" applyFont="1" applyBorder="1" applyAlignment="1" applyProtection="1">
      <protection locked="0"/>
    </xf>
    <xf numFmtId="0" fontId="13" fillId="0" borderId="0" xfId="8" applyNumberFormat="1" applyFont="1" applyBorder="1" applyAlignment="1" applyProtection="1">
      <protection locked="0"/>
    </xf>
    <xf numFmtId="0" fontId="15" fillId="7" borderId="0" xfId="8" applyNumberFormat="1" applyFont="1" applyFill="1" applyBorder="1" applyAlignment="1" applyProtection="1">
      <alignment horizontal="center"/>
      <protection locked="0"/>
    </xf>
    <xf numFmtId="0" fontId="11" fillId="0" borderId="6" xfId="8" applyNumberFormat="1" applyFont="1" applyBorder="1" applyAlignment="1" applyProtection="1">
      <protection locked="0"/>
    </xf>
    <xf numFmtId="4" fontId="27" fillId="0" borderId="0" xfId="8" applyNumberFormat="1" applyFont="1" applyBorder="1" applyAlignment="1" applyProtection="1">
      <alignment horizontal="center"/>
      <protection locked="0"/>
    </xf>
    <xf numFmtId="4" fontId="48" fillId="0" borderId="0" xfId="8" applyNumberFormat="1" applyFont="1" applyBorder="1" applyAlignment="1" applyProtection="1">
      <alignment horizontal="center"/>
      <protection locked="0"/>
    </xf>
    <xf numFmtId="4" fontId="45" fillId="0" borderId="0" xfId="8" applyNumberFormat="1" applyFont="1" applyFill="1" applyProtection="1">
      <protection locked="0"/>
    </xf>
    <xf numFmtId="0" fontId="8" fillId="0" borderId="6" xfId="8" applyFont="1" applyBorder="1" applyAlignment="1" applyProtection="1">
      <protection locked="0"/>
    </xf>
    <xf numFmtId="0" fontId="9" fillId="0" borderId="0" xfId="8" applyFont="1" applyBorder="1" applyAlignment="1" applyProtection="1">
      <protection locked="0"/>
    </xf>
    <xf numFmtId="0" fontId="13" fillId="0" borderId="0" xfId="0" applyNumberFormat="1" applyFont="1" applyBorder="1" applyAlignment="1" applyProtection="1">
      <protection locked="0"/>
    </xf>
    <xf numFmtId="0" fontId="15" fillId="7" borderId="0" xfId="0" applyNumberFormat="1" applyFont="1" applyFill="1" applyBorder="1" applyAlignment="1" applyProtection="1">
      <alignment horizontal="center"/>
      <protection locked="0"/>
    </xf>
    <xf numFmtId="0" fontId="14" fillId="0" borderId="0" xfId="0" applyNumberFormat="1" applyFont="1" applyBorder="1" applyAlignment="1" applyProtection="1">
      <protection locked="0"/>
    </xf>
    <xf numFmtId="0" fontId="11" fillId="0" borderId="6" xfId="0" applyNumberFormat="1" applyFont="1" applyBorder="1" applyAlignment="1" applyProtection="1">
      <protection locked="0"/>
    </xf>
    <xf numFmtId="4" fontId="27" fillId="0" borderId="0" xfId="0" applyNumberFormat="1" applyFont="1" applyBorder="1" applyAlignment="1" applyProtection="1">
      <alignment horizontal="center"/>
      <protection locked="0"/>
    </xf>
    <xf numFmtId="0" fontId="8" fillId="0" borderId="6" xfId="0" applyFont="1" applyBorder="1" applyAlignment="1" applyProtection="1">
      <protection locked="0"/>
    </xf>
    <xf numFmtId="4" fontId="31" fillId="0" borderId="0" xfId="0" applyNumberFormat="1" applyFont="1" applyBorder="1" applyAlignment="1" applyProtection="1">
      <protection locked="0"/>
    </xf>
    <xf numFmtId="4" fontId="14" fillId="0" borderId="0" xfId="0" applyNumberFormat="1" applyFont="1" applyBorder="1" applyAlignment="1" applyProtection="1">
      <protection locked="0"/>
    </xf>
    <xf numFmtId="4" fontId="13" fillId="0" borderId="0" xfId="0" applyNumberFormat="1" applyFont="1" applyBorder="1" applyAlignment="1" applyProtection="1">
      <protection locked="0"/>
    </xf>
    <xf numFmtId="4" fontId="15" fillId="7" borderId="0" xfId="0" applyNumberFormat="1" applyFont="1" applyFill="1" applyBorder="1" applyAlignment="1" applyProtection="1">
      <alignment horizontal="center"/>
      <protection locked="0"/>
    </xf>
    <xf numFmtId="4" fontId="11" fillId="0" borderId="6" xfId="0" applyNumberFormat="1" applyFont="1" applyBorder="1" applyAlignment="1" applyProtection="1">
      <protection locked="0"/>
    </xf>
    <xf numFmtId="4" fontId="27" fillId="0" borderId="0" xfId="0" applyNumberFormat="1" applyFont="1" applyBorder="1" applyAlignment="1" applyProtection="1">
      <protection locked="0"/>
    </xf>
    <xf numFmtId="4" fontId="8" fillId="0" borderId="6" xfId="0" applyNumberFormat="1" applyFont="1" applyBorder="1" applyAlignment="1" applyProtection="1">
      <protection locked="0"/>
    </xf>
    <xf numFmtId="0" fontId="106" fillId="0" borderId="0" xfId="8" applyFont="1" applyFill="1" applyBorder="1" applyAlignment="1">
      <alignment vertical="top"/>
    </xf>
    <xf numFmtId="0" fontId="28" fillId="0" borderId="0" xfId="8" applyFont="1" applyBorder="1" applyAlignment="1">
      <alignment vertical="top"/>
    </xf>
    <xf numFmtId="0" fontId="14" fillId="0" borderId="0" xfId="8" applyFont="1" applyFill="1" applyBorder="1" applyAlignment="1" applyProtection="1">
      <alignment vertical="top"/>
      <protection locked="0"/>
    </xf>
    <xf numFmtId="0" fontId="14" fillId="0" borderId="0" xfId="0" applyFont="1" applyFill="1" applyBorder="1" applyAlignment="1" applyProtection="1">
      <alignment vertical="top"/>
      <protection locked="0"/>
    </xf>
    <xf numFmtId="0" fontId="8" fillId="0" borderId="0" xfId="0" applyFont="1" applyBorder="1" applyAlignment="1" applyProtection="1">
      <protection locked="0"/>
    </xf>
    <xf numFmtId="0" fontId="13" fillId="0" borderId="0" xfId="0" applyFont="1" applyFill="1" applyBorder="1" applyAlignment="1" applyProtection="1">
      <alignment vertical="top"/>
      <protection locked="0"/>
    </xf>
    <xf numFmtId="4" fontId="50" fillId="0" borderId="0" xfId="0" applyNumberFormat="1" applyFont="1" applyBorder="1" applyAlignment="1" applyProtection="1">
      <alignment horizontal="left" vertical="center" wrapText="1"/>
      <protection locked="0"/>
    </xf>
    <xf numFmtId="0" fontId="14" fillId="0" borderId="0" xfId="28" applyNumberFormat="1" applyFont="1" applyFill="1" applyBorder="1" applyAlignment="1" applyProtection="1">
      <alignment vertical="top"/>
      <protection locked="0"/>
    </xf>
    <xf numFmtId="0" fontId="1" fillId="0" borderId="0" xfId="28" applyBorder="1" applyAlignment="1" applyProtection="1">
      <alignment horizontal="center" vertical="top" wrapText="1"/>
      <protection locked="0"/>
    </xf>
    <xf numFmtId="0" fontId="7" fillId="0" borderId="0" xfId="28" applyNumberFormat="1" applyFont="1" applyFill="1" applyAlignment="1" applyProtection="1">
      <alignment vertical="top"/>
      <protection locked="0"/>
    </xf>
    <xf numFmtId="0" fontId="9" fillId="0" borderId="0" xfId="28" applyFont="1" applyFill="1" applyBorder="1" applyAlignment="1" applyProtection="1">
      <alignment vertical="top"/>
      <protection locked="0"/>
    </xf>
    <xf numFmtId="0" fontId="11" fillId="0" borderId="0" xfId="28" applyFont="1" applyFill="1" applyBorder="1" applyAlignment="1" applyProtection="1">
      <alignment vertical="top"/>
      <protection locked="0"/>
    </xf>
    <xf numFmtId="0" fontId="12" fillId="0" borderId="0" xfId="28" applyFont="1" applyFill="1" applyBorder="1" applyAlignment="1" applyProtection="1">
      <alignment vertical="top"/>
      <protection locked="0"/>
    </xf>
    <xf numFmtId="0" fontId="8" fillId="0" borderId="2" xfId="28" applyFont="1" applyFill="1" applyBorder="1" applyAlignment="1" applyProtection="1">
      <alignment vertical="top"/>
      <protection locked="0"/>
    </xf>
    <xf numFmtId="0" fontId="7" fillId="0" borderId="0" xfId="28" applyNumberFormat="1" applyFont="1" applyFill="1" applyBorder="1" applyAlignment="1" applyProtection="1">
      <alignment vertical="top"/>
      <protection locked="0"/>
    </xf>
    <xf numFmtId="0" fontId="13" fillId="0" borderId="0" xfId="28" applyNumberFormat="1" applyFont="1" applyFill="1" applyBorder="1" applyAlignment="1" applyProtection="1">
      <alignment vertical="top"/>
      <protection locked="0"/>
    </xf>
    <xf numFmtId="0" fontId="13" fillId="0" borderId="5" xfId="28" applyNumberFormat="1" applyFont="1" applyFill="1" applyBorder="1" applyAlignment="1" applyProtection="1">
      <alignment vertical="top"/>
      <protection locked="0"/>
    </xf>
    <xf numFmtId="0" fontId="15" fillId="0" borderId="3" xfId="28" applyNumberFormat="1" applyFont="1" applyFill="1" applyBorder="1" applyAlignment="1" applyProtection="1">
      <alignment horizontal="center" vertical="top"/>
      <protection locked="0"/>
    </xf>
    <xf numFmtId="0" fontId="15" fillId="0" borderId="0" xfId="28" applyNumberFormat="1" applyFont="1" applyFill="1" applyBorder="1" applyAlignment="1" applyProtection="1">
      <alignment horizontal="center" vertical="top"/>
      <protection locked="0"/>
    </xf>
    <xf numFmtId="4" fontId="17" fillId="0" borderId="0" xfId="28" applyNumberFormat="1" applyFont="1" applyFill="1" applyBorder="1" applyProtection="1">
      <protection locked="0"/>
    </xf>
    <xf numFmtId="4" fontId="17" fillId="0" borderId="4" xfId="28" applyNumberFormat="1" applyFont="1" applyFill="1" applyBorder="1" applyProtection="1">
      <protection locked="0"/>
    </xf>
    <xf numFmtId="4" fontId="17" fillId="0" borderId="3" xfId="28" applyNumberFormat="1" applyFont="1" applyFill="1" applyBorder="1" applyProtection="1">
      <protection locked="0"/>
    </xf>
    <xf numFmtId="4" fontId="17" fillId="0" borderId="5" xfId="28" applyNumberFormat="1" applyFont="1" applyFill="1" applyBorder="1" applyProtection="1">
      <protection locked="0"/>
    </xf>
    <xf numFmtId="0" fontId="14" fillId="0" borderId="0" xfId="0" applyNumberFormat="1" applyFont="1" applyFill="1" applyBorder="1" applyAlignment="1" applyProtection="1">
      <alignment vertical="top"/>
      <protection locked="0"/>
    </xf>
    <xf numFmtId="0" fontId="0" fillId="0" borderId="0" xfId="0" applyBorder="1" applyAlignment="1" applyProtection="1">
      <alignment horizontal="center" vertical="top"/>
      <protection locked="0"/>
    </xf>
    <xf numFmtId="0" fontId="7" fillId="0" borderId="0" xfId="0" applyNumberFormat="1" applyFont="1" applyFill="1" applyAlignment="1" applyProtection="1">
      <alignment vertical="top"/>
      <protection locked="0"/>
    </xf>
    <xf numFmtId="0" fontId="9" fillId="0" borderId="0" xfId="0" applyFont="1" applyFill="1" applyBorder="1" applyAlignment="1" applyProtection="1">
      <alignment vertical="top"/>
      <protection locked="0"/>
    </xf>
    <xf numFmtId="0" fontId="11" fillId="0" borderId="0" xfId="0" applyFont="1" applyFill="1" applyBorder="1" applyAlignment="1" applyProtection="1">
      <alignment vertical="top"/>
      <protection locked="0"/>
    </xf>
    <xf numFmtId="0" fontId="12" fillId="0" borderId="0" xfId="0" applyFont="1" applyFill="1" applyBorder="1" applyAlignment="1" applyProtection="1">
      <alignment vertical="top"/>
      <protection locked="0"/>
    </xf>
    <xf numFmtId="0" fontId="8" fillId="0" borderId="2" xfId="0" applyFont="1" applyFill="1" applyBorder="1" applyAlignment="1" applyProtection="1">
      <alignment vertical="top"/>
      <protection locked="0"/>
    </xf>
    <xf numFmtId="0" fontId="7" fillId="0" borderId="0" xfId="0" applyNumberFormat="1" applyFont="1" applyFill="1" applyBorder="1" applyAlignment="1" applyProtection="1">
      <alignment vertical="top"/>
      <protection locked="0"/>
    </xf>
    <xf numFmtId="0" fontId="13" fillId="0" borderId="0" xfId="0" applyNumberFormat="1" applyFont="1" applyFill="1" applyBorder="1" applyAlignment="1" applyProtection="1">
      <alignment vertical="top"/>
      <protection locked="0"/>
    </xf>
    <xf numFmtId="0" fontId="13" fillId="0" borderId="5" xfId="0" applyNumberFormat="1" applyFont="1" applyFill="1" applyBorder="1" applyAlignment="1" applyProtection="1">
      <alignment vertical="top"/>
      <protection locked="0"/>
    </xf>
    <xf numFmtId="0" fontId="15" fillId="0" borderId="3" xfId="0" applyNumberFormat="1" applyFont="1" applyFill="1" applyBorder="1" applyAlignment="1" applyProtection="1">
      <alignment horizontal="center" vertical="top"/>
      <protection locked="0"/>
    </xf>
    <xf numFmtId="0" fontId="15" fillId="0" borderId="0" xfId="0" applyNumberFormat="1" applyFont="1" applyFill="1" applyBorder="1" applyAlignment="1" applyProtection="1">
      <alignment horizontal="center" vertical="top"/>
      <protection locked="0"/>
    </xf>
    <xf numFmtId="4" fontId="17" fillId="0" borderId="0" xfId="0" applyNumberFormat="1" applyFont="1" applyFill="1" applyBorder="1" applyProtection="1">
      <protection locked="0"/>
    </xf>
    <xf numFmtId="4" fontId="17" fillId="0" borderId="4" xfId="0" applyNumberFormat="1" applyFont="1" applyFill="1" applyBorder="1" applyProtection="1">
      <protection locked="0"/>
    </xf>
    <xf numFmtId="4" fontId="17" fillId="0" borderId="0" xfId="0" applyNumberFormat="1" applyFont="1" applyFill="1" applyBorder="1" applyAlignment="1" applyProtection="1">
      <alignment horizontal="right"/>
      <protection locked="0"/>
    </xf>
    <xf numFmtId="4" fontId="17" fillId="0" borderId="3" xfId="0" applyNumberFormat="1" applyFont="1" applyFill="1" applyBorder="1" applyProtection="1">
      <protection locked="0"/>
    </xf>
    <xf numFmtId="4" fontId="24" fillId="0" borderId="3" xfId="0" applyNumberFormat="1" applyFont="1" applyFill="1" applyBorder="1" applyAlignment="1" applyProtection="1">
      <alignment vertical="top"/>
      <protection locked="0"/>
    </xf>
    <xf numFmtId="0" fontId="8" fillId="0" borderId="6" xfId="0" applyFont="1" applyFill="1" applyBorder="1" applyAlignment="1" applyProtection="1">
      <alignment vertical="top"/>
      <protection locked="0"/>
    </xf>
    <xf numFmtId="0" fontId="5" fillId="0" borderId="0" xfId="28" applyFont="1" applyFill="1" applyProtection="1">
      <protection locked="0"/>
    </xf>
    <xf numFmtId="4" fontId="17" fillId="0" borderId="0" xfId="0" applyNumberFormat="1" applyFont="1" applyFill="1" applyBorder="1" applyAlignment="1" applyProtection="1">
      <protection locked="0"/>
    </xf>
    <xf numFmtId="4" fontId="18" fillId="0" borderId="4" xfId="0" applyNumberFormat="1" applyFont="1" applyFill="1" applyBorder="1" applyProtection="1">
      <protection locked="0"/>
    </xf>
    <xf numFmtId="4" fontId="17" fillId="5" borderId="0" xfId="0" applyNumberFormat="1" applyFont="1" applyFill="1" applyBorder="1" applyProtection="1">
      <protection locked="0"/>
    </xf>
    <xf numFmtId="0" fontId="6" fillId="0" borderId="0" xfId="8" applyNumberFormat="1" applyFont="1" applyBorder="1" applyAlignment="1" applyProtection="1">
      <alignment vertical="top"/>
      <protection locked="0"/>
    </xf>
    <xf numFmtId="0" fontId="31" fillId="0" borderId="0" xfId="8" applyNumberFormat="1" applyFont="1" applyBorder="1" applyAlignment="1" applyProtection="1">
      <alignment vertical="top"/>
      <protection locked="0"/>
    </xf>
    <xf numFmtId="0" fontId="13" fillId="0" borderId="0" xfId="8" applyNumberFormat="1" applyFont="1" applyBorder="1" applyAlignment="1" applyProtection="1">
      <alignment vertical="top"/>
      <protection locked="0"/>
    </xf>
    <xf numFmtId="0" fontId="15" fillId="11" borderId="0" xfId="8" applyNumberFormat="1" applyFont="1" applyFill="1" applyBorder="1" applyAlignment="1" applyProtection="1">
      <alignment horizontal="center" vertical="top"/>
      <protection locked="0"/>
    </xf>
    <xf numFmtId="0" fontId="11" fillId="0" borderId="6" xfId="8" applyNumberFormat="1" applyFont="1" applyBorder="1" applyAlignment="1" applyProtection="1">
      <alignment vertical="top"/>
      <protection locked="0"/>
    </xf>
    <xf numFmtId="0" fontId="11" fillId="0" borderId="0" xfId="8" applyNumberFormat="1" applyFont="1" applyBorder="1" applyAlignment="1" applyProtection="1">
      <alignment vertical="top"/>
      <protection locked="0"/>
    </xf>
    <xf numFmtId="0" fontId="14" fillId="0" borderId="0" xfId="8" applyNumberFormat="1" applyFont="1" applyBorder="1" applyAlignment="1" applyProtection="1">
      <alignment vertical="top"/>
      <protection locked="0"/>
    </xf>
    <xf numFmtId="4" fontId="27" fillId="0" borderId="0" xfId="8" applyNumberFormat="1" applyFont="1" applyBorder="1" applyAlignment="1" applyProtection="1">
      <alignment horizontal="center" vertical="top"/>
      <protection locked="0"/>
    </xf>
    <xf numFmtId="0" fontId="27" fillId="0" borderId="0" xfId="8" applyFont="1" applyFill="1" applyBorder="1" applyAlignment="1" applyProtection="1">
      <alignment vertical="top"/>
      <protection locked="0"/>
    </xf>
    <xf numFmtId="0" fontId="13" fillId="0" borderId="0" xfId="8" applyFont="1" applyFill="1" applyBorder="1" applyAlignment="1" applyProtection="1">
      <alignment vertical="top"/>
      <protection locked="0"/>
    </xf>
    <xf numFmtId="4" fontId="27" fillId="0" borderId="0" xfId="8" applyNumberFormat="1" applyFont="1" applyBorder="1" applyAlignment="1" applyProtection="1">
      <alignment vertical="top"/>
      <protection locked="0"/>
    </xf>
    <xf numFmtId="0" fontId="8" fillId="0" borderId="6" xfId="8" applyFont="1" applyBorder="1" applyAlignment="1" applyProtection="1">
      <alignment vertical="top"/>
      <protection locked="0"/>
    </xf>
    <xf numFmtId="0" fontId="23" fillId="0" borderId="0" xfId="8" applyFont="1" applyBorder="1" applyAlignment="1" applyProtection="1">
      <alignment vertical="top"/>
      <protection locked="0"/>
    </xf>
    <xf numFmtId="0" fontId="63" fillId="0" borderId="6" xfId="8" applyNumberFormat="1" applyFont="1" applyBorder="1" applyAlignment="1" applyProtection="1">
      <alignment vertical="top"/>
      <protection locked="0"/>
    </xf>
    <xf numFmtId="0" fontId="7" fillId="0" borderId="0" xfId="8" applyNumberFormat="1" applyFont="1" applyAlignment="1" applyProtection="1">
      <alignment vertical="top"/>
      <protection locked="0"/>
    </xf>
    <xf numFmtId="0" fontId="27" fillId="0" borderId="0" xfId="8" applyNumberFormat="1" applyFont="1" applyBorder="1" applyAlignment="1" applyProtection="1">
      <alignment vertical="top"/>
      <protection locked="0"/>
    </xf>
    <xf numFmtId="0" fontId="8" fillId="11" borderId="0" xfId="8" applyNumberFormat="1" applyFont="1" applyFill="1" applyBorder="1" applyAlignment="1" applyProtection="1">
      <alignment horizontal="center" vertical="top"/>
      <protection locked="0"/>
    </xf>
    <xf numFmtId="0" fontId="8" fillId="0" borderId="0" xfId="8" applyNumberFormat="1" applyFont="1" applyFill="1" applyBorder="1" applyAlignment="1" applyProtection="1">
      <alignment horizontal="center" vertical="top"/>
      <protection locked="0"/>
    </xf>
    <xf numFmtId="0" fontId="9" fillId="0" borderId="42" xfId="8" applyFont="1" applyBorder="1" applyAlignment="1" applyProtection="1">
      <alignment vertical="top"/>
      <protection locked="0"/>
    </xf>
    <xf numFmtId="4" fontId="24" fillId="0" borderId="0" xfId="8" applyNumberFormat="1" applyFont="1" applyFill="1" applyAlignment="1" applyProtection="1">
      <alignment vertical="top"/>
      <protection locked="0"/>
    </xf>
    <xf numFmtId="0" fontId="9" fillId="0" borderId="0" xfId="8" applyFont="1" applyBorder="1" applyAlignment="1" applyProtection="1">
      <alignment vertical="top"/>
      <protection locked="0"/>
    </xf>
    <xf numFmtId="0" fontId="7" fillId="0" borderId="0" xfId="8" applyNumberFormat="1" applyFont="1" applyBorder="1" applyAlignment="1" applyProtection="1">
      <alignment vertical="top"/>
      <protection locked="0"/>
    </xf>
    <xf numFmtId="0" fontId="6" fillId="0" borderId="0" xfId="8" applyNumberFormat="1" applyFont="1" applyFill="1" applyBorder="1" applyAlignment="1" applyProtection="1">
      <alignment vertical="top"/>
      <protection locked="0"/>
    </xf>
    <xf numFmtId="0" fontId="31" fillId="0" borderId="0" xfId="8" applyNumberFormat="1" applyFont="1" applyFill="1" applyBorder="1" applyAlignment="1" applyProtection="1">
      <alignment vertical="top"/>
      <protection locked="0"/>
    </xf>
    <xf numFmtId="0" fontId="14" fillId="0" borderId="0" xfId="8" applyNumberFormat="1" applyFont="1" applyFill="1" applyBorder="1" applyAlignment="1" applyProtection="1">
      <alignment vertical="top"/>
      <protection locked="0"/>
    </xf>
    <xf numFmtId="0" fontId="13" fillId="0" borderId="0" xfId="8" applyNumberFormat="1" applyFont="1" applyFill="1" applyBorder="1" applyAlignment="1" applyProtection="1">
      <alignment vertical="top"/>
      <protection locked="0"/>
    </xf>
    <xf numFmtId="0" fontId="11" fillId="0" borderId="6" xfId="8" applyNumberFormat="1" applyFont="1" applyFill="1" applyBorder="1" applyAlignment="1" applyProtection="1">
      <alignment vertical="top"/>
      <protection locked="0"/>
    </xf>
    <xf numFmtId="4" fontId="27" fillId="0" borderId="0" xfId="8" applyNumberFormat="1" applyFont="1" applyFill="1" applyBorder="1" applyAlignment="1" applyProtection="1">
      <alignment horizontal="center" vertical="top"/>
      <protection locked="0"/>
    </xf>
    <xf numFmtId="4" fontId="27" fillId="0" borderId="0" xfId="8" applyNumberFormat="1" applyFont="1" applyFill="1" applyBorder="1" applyAlignment="1" applyProtection="1">
      <alignment vertical="top"/>
      <protection locked="0"/>
    </xf>
    <xf numFmtId="0" fontId="8" fillId="0" borderId="6" xfId="8" applyFont="1" applyFill="1" applyBorder="1" applyAlignment="1" applyProtection="1">
      <alignment vertical="top"/>
      <protection locked="0"/>
    </xf>
    <xf numFmtId="0" fontId="63" fillId="0" borderId="6" xfId="8" applyNumberFormat="1" applyFont="1" applyFill="1" applyBorder="1" applyAlignment="1" applyProtection="1">
      <alignment vertical="top"/>
      <protection locked="0"/>
    </xf>
    <xf numFmtId="0" fontId="7" fillId="0" borderId="0" xfId="8" applyNumberFormat="1" applyFont="1" applyFill="1" applyAlignment="1" applyProtection="1">
      <alignment vertical="top"/>
      <protection locked="0"/>
    </xf>
    <xf numFmtId="0" fontId="27" fillId="0" borderId="0" xfId="8" applyNumberFormat="1" applyFont="1" applyFill="1" applyBorder="1" applyAlignment="1" applyProtection="1">
      <alignment vertical="top"/>
      <protection locked="0"/>
    </xf>
    <xf numFmtId="0" fontId="7" fillId="0" borderId="0" xfId="8" applyNumberFormat="1" applyFont="1" applyFill="1" applyBorder="1" applyAlignment="1" applyProtection="1">
      <alignment vertical="top"/>
      <protection locked="0"/>
    </xf>
    <xf numFmtId="0" fontId="9" fillId="0" borderId="0" xfId="8" applyFont="1" applyFill="1" applyBorder="1" applyAlignment="1" applyProtection="1">
      <alignment vertical="top"/>
      <protection locked="0"/>
    </xf>
    <xf numFmtId="0" fontId="9" fillId="0" borderId="42" xfId="8" applyFont="1" applyFill="1" applyBorder="1" applyAlignment="1" applyProtection="1">
      <alignment vertical="top"/>
      <protection locked="0"/>
    </xf>
    <xf numFmtId="0" fontId="23" fillId="0" borderId="0" xfId="8" applyFont="1" applyFill="1" applyBorder="1" applyAlignment="1" applyProtection="1">
      <alignment vertical="top"/>
      <protection locked="0"/>
    </xf>
    <xf numFmtId="0" fontId="11" fillId="0" borderId="0" xfId="8" applyNumberFormat="1" applyFont="1" applyFill="1" applyBorder="1" applyAlignment="1" applyProtection="1">
      <alignment vertical="top"/>
      <protection locked="0"/>
    </xf>
    <xf numFmtId="4" fontId="13" fillId="0" borderId="0" xfId="8" applyNumberFormat="1" applyFont="1" applyFill="1" applyBorder="1" applyAlignment="1" applyProtection="1">
      <alignment horizontal="center" vertical="top"/>
      <protection locked="0"/>
    </xf>
    <xf numFmtId="0" fontId="23" fillId="0" borderId="6" xfId="8" applyFont="1" applyFill="1" applyBorder="1" applyAlignment="1" applyProtection="1">
      <alignment horizontal="left" vertical="top"/>
      <protection locked="0"/>
    </xf>
    <xf numFmtId="0" fontId="31" fillId="0" borderId="0" xfId="8" applyFont="1" applyFill="1" applyBorder="1" applyAlignment="1" applyProtection="1">
      <alignment vertical="top" wrapText="1"/>
      <protection locked="0"/>
    </xf>
    <xf numFmtId="0" fontId="6" fillId="0" borderId="0" xfId="23" applyNumberFormat="1" applyFont="1" applyFill="1" applyBorder="1" applyAlignment="1" applyProtection="1">
      <alignment vertical="top"/>
      <protection locked="0"/>
    </xf>
    <xf numFmtId="0" fontId="31" fillId="0" borderId="0" xfId="23" applyNumberFormat="1" applyFont="1" applyFill="1" applyBorder="1" applyAlignment="1" applyProtection="1">
      <alignment vertical="top"/>
      <protection locked="0"/>
    </xf>
    <xf numFmtId="0" fontId="14" fillId="0" borderId="0" xfId="23" applyNumberFormat="1" applyFont="1" applyFill="1" applyBorder="1" applyAlignment="1" applyProtection="1">
      <alignment vertical="top"/>
      <protection locked="0"/>
    </xf>
    <xf numFmtId="0" fontId="13" fillId="0" borderId="0" xfId="23" applyNumberFormat="1" applyFont="1" applyFill="1" applyBorder="1" applyAlignment="1" applyProtection="1">
      <alignment vertical="top"/>
      <protection locked="0"/>
    </xf>
    <xf numFmtId="0" fontId="15" fillId="11" borderId="0" xfId="23" applyNumberFormat="1" applyFont="1" applyFill="1" applyBorder="1" applyAlignment="1" applyProtection="1">
      <alignment horizontal="center" vertical="top"/>
      <protection locked="0"/>
    </xf>
    <xf numFmtId="0" fontId="11" fillId="0" borderId="6" xfId="23" applyNumberFormat="1" applyFont="1" applyFill="1" applyBorder="1" applyAlignment="1" applyProtection="1">
      <alignment vertical="top"/>
      <protection locked="0"/>
    </xf>
    <xf numFmtId="0" fontId="11" fillId="0" borderId="0" xfId="23" applyNumberFormat="1" applyFont="1" applyFill="1" applyBorder="1" applyAlignment="1" applyProtection="1">
      <alignment vertical="top"/>
      <protection locked="0"/>
    </xf>
    <xf numFmtId="0" fontId="23" fillId="0" borderId="0" xfId="23" applyFont="1" applyFill="1" applyBorder="1" applyAlignment="1" applyProtection="1">
      <alignment vertical="top"/>
      <protection locked="0"/>
    </xf>
    <xf numFmtId="0" fontId="14" fillId="0" borderId="0" xfId="23" applyNumberFormat="1" applyFont="1" applyBorder="1" applyAlignment="1" applyProtection="1">
      <alignment vertical="top"/>
      <protection locked="0"/>
    </xf>
    <xf numFmtId="4" fontId="27" fillId="0" borderId="0" xfId="23" applyNumberFormat="1" applyFont="1" applyFill="1" applyBorder="1" applyAlignment="1" applyProtection="1">
      <alignment horizontal="center" vertical="top"/>
      <protection locked="0"/>
    </xf>
    <xf numFmtId="4" fontId="27" fillId="0" borderId="0" xfId="23" applyNumberFormat="1" applyFont="1" applyFill="1" applyBorder="1" applyAlignment="1" applyProtection="1">
      <alignment vertical="top"/>
      <protection locked="0"/>
    </xf>
    <xf numFmtId="0" fontId="17" fillId="0" borderId="0" xfId="23" applyFont="1" applyFill="1" applyBorder="1" applyAlignment="1" applyProtection="1">
      <alignment horizontal="left" vertical="top" wrapText="1"/>
      <protection locked="0"/>
    </xf>
    <xf numFmtId="4" fontId="27" fillId="0" borderId="0" xfId="0" applyNumberFormat="1" applyFont="1" applyFill="1" applyBorder="1" applyAlignment="1" applyProtection="1">
      <alignment horizontal="center" vertical="top"/>
      <protection locked="0"/>
    </xf>
    <xf numFmtId="4" fontId="11" fillId="0" borderId="0" xfId="8" applyNumberFormat="1" applyFont="1" applyFill="1" applyAlignment="1" applyProtection="1">
      <alignment horizontal="right" wrapText="1"/>
      <protection locked="0"/>
    </xf>
    <xf numFmtId="0" fontId="40" fillId="0" borderId="0" xfId="8" applyFill="1" applyProtection="1">
      <protection locked="0"/>
    </xf>
    <xf numFmtId="4" fontId="14" fillId="0" borderId="0" xfId="8" applyNumberFormat="1" applyFont="1" applyFill="1" applyBorder="1" applyAlignment="1" applyProtection="1">
      <alignment vertical="top"/>
      <protection locked="0"/>
    </xf>
    <xf numFmtId="4" fontId="11" fillId="0" borderId="0" xfId="22" applyNumberFormat="1" applyFont="1" applyAlignment="1" applyProtection="1">
      <alignment vertical="center"/>
      <protection locked="0"/>
    </xf>
    <xf numFmtId="4" fontId="11" fillId="0" borderId="0" xfId="22" applyNumberFormat="1" applyFont="1" applyAlignment="1" applyProtection="1">
      <alignment vertical="top"/>
      <protection locked="0"/>
    </xf>
    <xf numFmtId="4" fontId="18" fillId="0" borderId="1" xfId="24" applyNumberFormat="1" applyFont="1" applyBorder="1" applyAlignment="1" applyProtection="1">
      <alignment horizontal="center" vertical="center"/>
      <protection locked="0"/>
    </xf>
    <xf numFmtId="4" fontId="17" fillId="0" borderId="1" xfId="22" applyNumberFormat="1" applyFont="1" applyBorder="1" applyAlignment="1" applyProtection="1">
      <alignment vertical="center"/>
      <protection locked="0"/>
    </xf>
    <xf numFmtId="4" fontId="17" fillId="0" borderId="33" xfId="22" applyNumberFormat="1" applyFont="1" applyBorder="1" applyAlignment="1" applyProtection="1">
      <alignment vertical="center"/>
      <protection locked="0"/>
    </xf>
    <xf numFmtId="4" fontId="17" fillId="0" borderId="46" xfId="22" applyNumberFormat="1" applyFont="1" applyBorder="1" applyAlignment="1" applyProtection="1">
      <alignment vertical="center"/>
      <protection locked="0"/>
    </xf>
    <xf numFmtId="4" fontId="17" fillId="0" borderId="0" xfId="22" applyNumberFormat="1" applyFont="1" applyAlignment="1" applyProtection="1">
      <alignment vertical="center"/>
      <protection locked="0"/>
    </xf>
    <xf numFmtId="4" fontId="17" fillId="0" borderId="0" xfId="22" applyNumberFormat="1" applyFont="1" applyAlignment="1" applyProtection="1">
      <alignment vertical="top"/>
      <protection locked="0"/>
    </xf>
    <xf numFmtId="4" fontId="18" fillId="0" borderId="0" xfId="22" applyNumberFormat="1" applyFont="1" applyAlignment="1" applyProtection="1">
      <alignment vertical="top"/>
      <protection locked="0"/>
    </xf>
    <xf numFmtId="4" fontId="17" fillId="0" borderId="43" xfId="22" applyNumberFormat="1" applyFont="1" applyBorder="1" applyAlignment="1" applyProtection="1">
      <alignment vertical="center"/>
      <protection locked="0"/>
    </xf>
    <xf numFmtId="4" fontId="17" fillId="0" borderId="71" xfId="22" applyNumberFormat="1" applyFont="1" applyBorder="1" applyAlignment="1" applyProtection="1">
      <alignment vertical="center"/>
      <protection locked="0"/>
    </xf>
    <xf numFmtId="4" fontId="14" fillId="0" borderId="0" xfId="3" applyNumberFormat="1" applyFont="1" applyFill="1" applyBorder="1" applyAlignment="1" applyProtection="1">
      <alignment vertical="top"/>
      <protection locked="0"/>
    </xf>
    <xf numFmtId="4" fontId="3" fillId="0" borderId="0" xfId="3" applyNumberFormat="1" applyBorder="1" applyAlignment="1" applyProtection="1">
      <alignment horizontal="left" vertical="center"/>
      <protection locked="0"/>
    </xf>
    <xf numFmtId="4" fontId="7" fillId="0" borderId="0" xfId="3" applyNumberFormat="1" applyFont="1" applyFill="1" applyAlignment="1" applyProtection="1">
      <alignment vertical="top"/>
      <protection locked="0"/>
    </xf>
    <xf numFmtId="4" fontId="9" fillId="0" borderId="0" xfId="3" applyNumberFormat="1" applyFont="1" applyFill="1" applyBorder="1" applyAlignment="1" applyProtection="1">
      <alignment vertical="top"/>
      <protection locked="0"/>
    </xf>
    <xf numFmtId="4" fontId="11" fillId="0" borderId="0" xfId="3" applyNumberFormat="1" applyFont="1" applyFill="1" applyBorder="1" applyAlignment="1" applyProtection="1">
      <alignment vertical="top"/>
      <protection locked="0"/>
    </xf>
    <xf numFmtId="4" fontId="12" fillId="0" borderId="0" xfId="3" applyNumberFormat="1" applyFont="1" applyFill="1" applyBorder="1" applyAlignment="1" applyProtection="1">
      <alignment vertical="top"/>
      <protection locked="0"/>
    </xf>
    <xf numFmtId="4" fontId="8" fillId="0" borderId="2" xfId="3" applyNumberFormat="1" applyFont="1" applyFill="1" applyBorder="1" applyAlignment="1" applyProtection="1">
      <alignment vertical="top"/>
      <protection locked="0"/>
    </xf>
    <xf numFmtId="4" fontId="7" fillId="0" borderId="0" xfId="3" applyNumberFormat="1" applyFont="1" applyFill="1" applyBorder="1" applyAlignment="1" applyProtection="1">
      <alignment vertical="top"/>
      <protection locked="0"/>
    </xf>
    <xf numFmtId="4" fontId="13" fillId="0" borderId="0" xfId="3" applyNumberFormat="1" applyFont="1" applyFill="1" applyBorder="1" applyAlignment="1" applyProtection="1">
      <alignment vertical="top"/>
      <protection locked="0"/>
    </xf>
    <xf numFmtId="4" fontId="13" fillId="0" borderId="5" xfId="3" applyNumberFormat="1" applyFont="1" applyFill="1" applyBorder="1" applyAlignment="1" applyProtection="1">
      <alignment vertical="top"/>
      <protection locked="0"/>
    </xf>
    <xf numFmtId="4" fontId="15" fillId="0" borderId="3" xfId="3" applyNumberFormat="1" applyFont="1" applyFill="1" applyBorder="1" applyAlignment="1" applyProtection="1">
      <alignment horizontal="center" vertical="top"/>
      <protection locked="0"/>
    </xf>
    <xf numFmtId="4" fontId="15" fillId="0" borderId="0" xfId="3" applyNumberFormat="1" applyFont="1" applyFill="1" applyBorder="1" applyAlignment="1" applyProtection="1">
      <alignment horizontal="center" vertical="top"/>
      <protection locked="0"/>
    </xf>
    <xf numFmtId="4" fontId="0" fillId="0" borderId="0" xfId="0" applyNumberFormat="1" applyProtection="1">
      <protection locked="0"/>
    </xf>
    <xf numFmtId="4" fontId="5" fillId="0" borderId="0" xfId="3" applyNumberFormat="1" applyFont="1" applyFill="1" applyProtection="1">
      <protection locked="0"/>
    </xf>
    <xf numFmtId="0" fontId="96" fillId="0" borderId="64" xfId="0" applyFont="1" applyBorder="1"/>
    <xf numFmtId="0" fontId="96" fillId="0" borderId="1" xfId="0" applyFont="1" applyBorder="1"/>
    <xf numFmtId="0" fontId="94" fillId="19" borderId="60" xfId="0" applyFont="1" applyFill="1" applyBorder="1"/>
    <xf numFmtId="0" fontId="96" fillId="19" borderId="58" xfId="0" applyFont="1" applyFill="1" applyBorder="1"/>
    <xf numFmtId="4" fontId="67" fillId="16" borderId="23" xfId="6" applyNumberFormat="1" applyFont="1" applyFill="1" applyBorder="1" applyAlignment="1">
      <alignment horizontal="right" vertical="center"/>
    </xf>
    <xf numFmtId="4" fontId="66" fillId="0" borderId="55" xfId="6" applyNumberFormat="1" applyFont="1" applyFill="1" applyBorder="1" applyAlignment="1">
      <alignment horizontal="right" vertical="center"/>
    </xf>
    <xf numFmtId="4" fontId="66" fillId="0" borderId="25" xfId="6" applyNumberFormat="1" applyFont="1" applyFill="1" applyBorder="1" applyAlignment="1">
      <alignment horizontal="right" vertical="center"/>
    </xf>
    <xf numFmtId="4" fontId="66" fillId="0" borderId="28" xfId="6" applyNumberFormat="1" applyFont="1" applyFill="1" applyBorder="1" applyAlignment="1">
      <alignment horizontal="right" vertical="center"/>
    </xf>
    <xf numFmtId="4" fontId="67" fillId="13" borderId="52" xfId="6" applyNumberFormat="1" applyFont="1" applyFill="1" applyBorder="1" applyAlignment="1">
      <alignment horizontal="right" vertical="center"/>
    </xf>
    <xf numFmtId="4" fontId="67" fillId="9" borderId="52" xfId="6" applyNumberFormat="1" applyFont="1" applyFill="1" applyBorder="1" applyAlignment="1">
      <alignment horizontal="right" vertical="center"/>
    </xf>
    <xf numFmtId="4" fontId="67" fillId="10" borderId="57" xfId="6" applyNumberFormat="1" applyFont="1" applyFill="1" applyBorder="1" applyAlignment="1">
      <alignment horizontal="right" vertical="center"/>
    </xf>
    <xf numFmtId="4" fontId="67" fillId="18" borderId="23" xfId="6" applyNumberFormat="1" applyFont="1" applyFill="1" applyBorder="1" applyAlignment="1">
      <alignment horizontal="right" vertical="center"/>
    </xf>
    <xf numFmtId="4" fontId="67" fillId="17" borderId="23" xfId="6" applyNumberFormat="1" applyFont="1" applyFill="1" applyBorder="1" applyAlignment="1">
      <alignment horizontal="right" vertical="center"/>
    </xf>
    <xf numFmtId="4" fontId="67" fillId="14" borderId="23" xfId="6" applyNumberFormat="1" applyFont="1" applyFill="1" applyBorder="1" applyAlignment="1">
      <alignment horizontal="right" vertical="center"/>
    </xf>
    <xf numFmtId="4" fontId="67" fillId="15" borderId="23" xfId="6" applyNumberFormat="1" applyFont="1" applyFill="1" applyBorder="1" applyAlignment="1">
      <alignment horizontal="right" vertical="center"/>
    </xf>
    <xf numFmtId="4" fontId="66" fillId="0" borderId="56" xfId="6" applyNumberFormat="1" applyFont="1" applyFill="1" applyBorder="1" applyAlignment="1">
      <alignment horizontal="right" vertical="center"/>
    </xf>
    <xf numFmtId="4" fontId="66" fillId="0" borderId="65" xfId="6" applyNumberFormat="1" applyFont="1" applyFill="1" applyBorder="1" applyAlignment="1">
      <alignment horizontal="right" vertical="center"/>
    </xf>
    <xf numFmtId="4" fontId="67" fillId="19" borderId="62" xfId="6" applyNumberFormat="1" applyFont="1" applyFill="1" applyBorder="1" applyAlignment="1">
      <alignment horizontal="right" vertical="center"/>
    </xf>
    <xf numFmtId="0" fontId="43" fillId="0" borderId="0" xfId="0" applyFont="1" applyAlignment="1">
      <alignment horizontal="left" vertical="top"/>
    </xf>
    <xf numFmtId="0" fontId="10" fillId="0" borderId="4" xfId="5" applyFont="1" applyBorder="1" applyAlignment="1">
      <alignment horizontal="left" vertical="top" wrapText="1"/>
    </xf>
    <xf numFmtId="0" fontId="10" fillId="0" borderId="4" xfId="5" applyFont="1" applyBorder="1" applyAlignment="1">
      <alignment horizontal="left" vertical="top"/>
    </xf>
    <xf numFmtId="0" fontId="18" fillId="0" borderId="18" xfId="5" applyFont="1" applyFill="1" applyBorder="1" applyAlignment="1">
      <alignment horizontal="left"/>
    </xf>
    <xf numFmtId="0" fontId="18" fillId="0" borderId="19" xfId="5" applyFont="1" applyFill="1" applyBorder="1" applyAlignment="1">
      <alignment horizontal="left"/>
    </xf>
    <xf numFmtId="0" fontId="10" fillId="0" borderId="4" xfId="25" applyFont="1" applyBorder="1" applyAlignment="1">
      <alignment horizontal="left" vertical="top" wrapText="1"/>
    </xf>
    <xf numFmtId="0" fontId="17" fillId="0" borderId="17" xfId="25" applyFont="1" applyFill="1" applyBorder="1" applyAlignment="1">
      <alignment horizontal="center" vertical="center"/>
    </xf>
    <xf numFmtId="0" fontId="17" fillId="0" borderId="34" xfId="25" applyFont="1" applyFill="1" applyBorder="1" applyAlignment="1">
      <alignment horizontal="center" vertical="center"/>
    </xf>
    <xf numFmtId="0" fontId="17" fillId="0" borderId="16" xfId="25" applyFont="1" applyFill="1" applyBorder="1" applyAlignment="1">
      <alignment horizontal="left" vertical="center" wrapText="1"/>
    </xf>
    <xf numFmtId="0" fontId="17" fillId="0" borderId="15" xfId="25" applyFont="1" applyFill="1" applyBorder="1" applyAlignment="1">
      <alignment horizontal="left" vertical="center" wrapText="1"/>
    </xf>
    <xf numFmtId="0" fontId="17" fillId="0" borderId="35" xfId="25" applyFont="1" applyFill="1" applyBorder="1" applyAlignment="1">
      <alignment horizontal="left" vertical="center" wrapText="1"/>
    </xf>
    <xf numFmtId="0" fontId="17" fillId="0" borderId="36" xfId="25" applyFont="1" applyFill="1" applyBorder="1" applyAlignment="1">
      <alignment horizontal="left" vertical="center" wrapText="1"/>
    </xf>
    <xf numFmtId="0" fontId="13" fillId="0" borderId="0" xfId="8" applyFont="1" applyBorder="1" applyAlignment="1">
      <alignment horizontal="center" vertical="top" wrapText="1"/>
    </xf>
    <xf numFmtId="0" fontId="13" fillId="0" borderId="0" xfId="0" applyFont="1" applyBorder="1" applyAlignment="1">
      <alignment horizontal="center" vertical="top" wrapText="1"/>
    </xf>
    <xf numFmtId="0" fontId="0" fillId="0" borderId="0" xfId="0"/>
    <xf numFmtId="0" fontId="8" fillId="0" borderId="6" xfId="0" applyFont="1" applyFill="1" applyBorder="1" applyAlignment="1">
      <alignment horizontal="left" vertical="top" wrapText="1"/>
    </xf>
    <xf numFmtId="0" fontId="0" fillId="0" borderId="6" xfId="0" applyBorder="1" applyAlignment="1">
      <alignment vertical="top" wrapText="1"/>
    </xf>
    <xf numFmtId="0" fontId="13" fillId="0" borderId="0" xfId="8" applyFont="1" applyFill="1" applyAlignment="1">
      <alignment horizontal="left" vertical="top" wrapText="1"/>
    </xf>
    <xf numFmtId="0" fontId="13" fillId="0" borderId="0" xfId="23" applyFont="1" applyFill="1" applyAlignment="1">
      <alignment horizontal="left" vertical="top" wrapText="1"/>
    </xf>
  </cellXfs>
  <cellStyles count="29">
    <cellStyle name="Dobro" xfId="1" builtinId="26"/>
    <cellStyle name="Navadno" xfId="0" builtinId="0"/>
    <cellStyle name="Navadno 17" xfId="21"/>
    <cellStyle name="Navadno 2" xfId="3"/>
    <cellStyle name="Navadno 2 2" xfId="7"/>
    <cellStyle name="Navadno 2 3" xfId="17"/>
    <cellStyle name="Navadno 3" xfId="4"/>
    <cellStyle name="Navadno 3 2" xfId="14"/>
    <cellStyle name="Navadno 3 3" xfId="23"/>
    <cellStyle name="Navadno 4" xfId="5"/>
    <cellStyle name="Navadno 5" xfId="6"/>
    <cellStyle name="Navadno 5 2" xfId="25"/>
    <cellStyle name="Navadno 6" xfId="8"/>
    <cellStyle name="Navadno 7" xfId="13"/>
    <cellStyle name="Navadno 8" xfId="26"/>
    <cellStyle name="Navadno 9" xfId="28"/>
    <cellStyle name="Navadno_13Prelivi" xfId="24"/>
    <cellStyle name="Navadno_15natokzidovi" xfId="22"/>
    <cellStyle name="Navadno_Avšček" xfId="2"/>
    <cellStyle name="Navadno_List1" xfId="11"/>
    <cellStyle name="Navadno_podloga za moj mušter gimn.mariborII.faza-obnova.pzr.27.10.04" xfId="10"/>
    <cellStyle name="Nivo_1_GlNaslov" xfId="16"/>
    <cellStyle name="Nivo_2_Podnaslov" xfId="20"/>
    <cellStyle name="Normal 3" xfId="19"/>
    <cellStyle name="Normal_Košnje in sečnje  UE NG - Vipava - predraun_01" xfId="15"/>
    <cellStyle name="Normal_pr tesg 7,9 koslj 10.12.98 (2)" xfId="12"/>
    <cellStyle name="Odstotek 2" xfId="9"/>
    <cellStyle name="Vejica 2" xfId="18"/>
    <cellStyle name="Vejica 3" xfId="2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4.xml"/><Relationship Id="rId47" Type="http://schemas.openxmlformats.org/officeDocument/2006/relationships/externalLink" Target="externalLinks/externalLink9.xml"/><Relationship Id="rId50"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3.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2.xml"/><Relationship Id="rId45" Type="http://schemas.openxmlformats.org/officeDocument/2006/relationships/externalLink" Target="externalLinks/externalLink7.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6.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5.xml"/><Relationship Id="rId48" Type="http://schemas.openxmlformats.org/officeDocument/2006/relationships/externalLink" Target="externalLinks/externalLink10.xml"/><Relationship Id="rId8" Type="http://schemas.openxmlformats.org/officeDocument/2006/relationships/worksheet" Target="worksheets/sheet8.xml"/><Relationship Id="rId51"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238125</xdr:colOff>
      <xdr:row>15</xdr:row>
      <xdr:rowOff>0</xdr:rowOff>
    </xdr:from>
    <xdr:to>
      <xdr:col>4</xdr:col>
      <xdr:colOff>419100</xdr:colOff>
      <xdr:row>16</xdr:row>
      <xdr:rowOff>76200</xdr:rowOff>
    </xdr:to>
    <xdr:sp macro="" textlink="">
      <xdr:nvSpPr>
        <xdr:cNvPr id="2" name="PoljeZBesedilom 1"/>
        <xdr:cNvSpPr txBox="1">
          <a:spLocks noChangeArrowheads="1"/>
        </xdr:cNvSpPr>
      </xdr:nvSpPr>
      <xdr:spPr bwMode="auto">
        <a:xfrm>
          <a:off x="4124325" y="5991225"/>
          <a:ext cx="180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15</xdr:row>
      <xdr:rowOff>0</xdr:rowOff>
    </xdr:from>
    <xdr:to>
      <xdr:col>4</xdr:col>
      <xdr:colOff>419100</xdr:colOff>
      <xdr:row>16</xdr:row>
      <xdr:rowOff>76200</xdr:rowOff>
    </xdr:to>
    <xdr:sp macro="" textlink="">
      <xdr:nvSpPr>
        <xdr:cNvPr id="3" name="PoljeZBesedilom 2"/>
        <xdr:cNvSpPr txBox="1">
          <a:spLocks noChangeArrowheads="1"/>
        </xdr:cNvSpPr>
      </xdr:nvSpPr>
      <xdr:spPr bwMode="auto">
        <a:xfrm>
          <a:off x="4124325" y="5991225"/>
          <a:ext cx="180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15</xdr:row>
      <xdr:rowOff>0</xdr:rowOff>
    </xdr:from>
    <xdr:to>
      <xdr:col>4</xdr:col>
      <xdr:colOff>419100</xdr:colOff>
      <xdr:row>16</xdr:row>
      <xdr:rowOff>76200</xdr:rowOff>
    </xdr:to>
    <xdr:sp macro="" textlink="">
      <xdr:nvSpPr>
        <xdr:cNvPr id="4" name="PoljeZBesedilom 3"/>
        <xdr:cNvSpPr txBox="1">
          <a:spLocks noChangeArrowheads="1"/>
        </xdr:cNvSpPr>
      </xdr:nvSpPr>
      <xdr:spPr bwMode="auto">
        <a:xfrm>
          <a:off x="4124325" y="5991225"/>
          <a:ext cx="180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15</xdr:row>
      <xdr:rowOff>0</xdr:rowOff>
    </xdr:from>
    <xdr:to>
      <xdr:col>4</xdr:col>
      <xdr:colOff>419100</xdr:colOff>
      <xdr:row>16</xdr:row>
      <xdr:rowOff>76200</xdr:rowOff>
    </xdr:to>
    <xdr:sp macro="" textlink="">
      <xdr:nvSpPr>
        <xdr:cNvPr id="5" name="PoljeZBesedilom 4"/>
        <xdr:cNvSpPr txBox="1">
          <a:spLocks noChangeArrowheads="1"/>
        </xdr:cNvSpPr>
      </xdr:nvSpPr>
      <xdr:spPr bwMode="auto">
        <a:xfrm>
          <a:off x="4124325" y="5991225"/>
          <a:ext cx="180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238125</xdr:colOff>
      <xdr:row>14</xdr:row>
      <xdr:rowOff>0</xdr:rowOff>
    </xdr:from>
    <xdr:to>
      <xdr:col>4</xdr:col>
      <xdr:colOff>419100</xdr:colOff>
      <xdr:row>15</xdr:row>
      <xdr:rowOff>76200</xdr:rowOff>
    </xdr:to>
    <xdr:sp macro="" textlink="">
      <xdr:nvSpPr>
        <xdr:cNvPr id="2" name="PoljeZBesedilom 5"/>
        <xdr:cNvSpPr txBox="1">
          <a:spLocks noChangeArrowheads="1"/>
        </xdr:cNvSpPr>
      </xdr:nvSpPr>
      <xdr:spPr bwMode="auto">
        <a:xfrm>
          <a:off x="4095750" y="5876925"/>
          <a:ext cx="180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14</xdr:row>
      <xdr:rowOff>0</xdr:rowOff>
    </xdr:from>
    <xdr:to>
      <xdr:col>4</xdr:col>
      <xdr:colOff>419100</xdr:colOff>
      <xdr:row>15</xdr:row>
      <xdr:rowOff>76200</xdr:rowOff>
    </xdr:to>
    <xdr:sp macro="" textlink="">
      <xdr:nvSpPr>
        <xdr:cNvPr id="3" name="PoljeZBesedilom 6"/>
        <xdr:cNvSpPr txBox="1">
          <a:spLocks noChangeArrowheads="1"/>
        </xdr:cNvSpPr>
      </xdr:nvSpPr>
      <xdr:spPr bwMode="auto">
        <a:xfrm>
          <a:off x="4095750" y="5876925"/>
          <a:ext cx="180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14</xdr:row>
      <xdr:rowOff>0</xdr:rowOff>
    </xdr:from>
    <xdr:to>
      <xdr:col>4</xdr:col>
      <xdr:colOff>419100</xdr:colOff>
      <xdr:row>15</xdr:row>
      <xdr:rowOff>76200</xdr:rowOff>
    </xdr:to>
    <xdr:sp macro="" textlink="">
      <xdr:nvSpPr>
        <xdr:cNvPr id="4" name="PoljeZBesedilom 7"/>
        <xdr:cNvSpPr txBox="1">
          <a:spLocks noChangeArrowheads="1"/>
        </xdr:cNvSpPr>
      </xdr:nvSpPr>
      <xdr:spPr bwMode="auto">
        <a:xfrm>
          <a:off x="4095750" y="5876925"/>
          <a:ext cx="180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14</xdr:row>
      <xdr:rowOff>0</xdr:rowOff>
    </xdr:from>
    <xdr:to>
      <xdr:col>4</xdr:col>
      <xdr:colOff>419100</xdr:colOff>
      <xdr:row>15</xdr:row>
      <xdr:rowOff>76200</xdr:rowOff>
    </xdr:to>
    <xdr:sp macro="" textlink="">
      <xdr:nvSpPr>
        <xdr:cNvPr id="5" name="PoljeZBesedilom 8"/>
        <xdr:cNvSpPr txBox="1">
          <a:spLocks noChangeArrowheads="1"/>
        </xdr:cNvSpPr>
      </xdr:nvSpPr>
      <xdr:spPr bwMode="auto">
        <a:xfrm>
          <a:off x="4095750" y="5876925"/>
          <a:ext cx="1809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238125</xdr:colOff>
      <xdr:row>14</xdr:row>
      <xdr:rowOff>0</xdr:rowOff>
    </xdr:from>
    <xdr:to>
      <xdr:col>4</xdr:col>
      <xdr:colOff>419100</xdr:colOff>
      <xdr:row>15</xdr:row>
      <xdr:rowOff>76200</xdr:rowOff>
    </xdr:to>
    <xdr:sp macro="" textlink="">
      <xdr:nvSpPr>
        <xdr:cNvPr id="2" name="PoljeZBesedilom 1"/>
        <xdr:cNvSpPr txBox="1">
          <a:spLocks noChangeArrowheads="1"/>
        </xdr:cNvSpPr>
      </xdr:nvSpPr>
      <xdr:spPr bwMode="auto">
        <a:xfrm>
          <a:off x="4171950" y="5876925"/>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14</xdr:row>
      <xdr:rowOff>0</xdr:rowOff>
    </xdr:from>
    <xdr:to>
      <xdr:col>4</xdr:col>
      <xdr:colOff>419100</xdr:colOff>
      <xdr:row>15</xdr:row>
      <xdr:rowOff>76200</xdr:rowOff>
    </xdr:to>
    <xdr:sp macro="" textlink="">
      <xdr:nvSpPr>
        <xdr:cNvPr id="3" name="PoljeZBesedilom 2"/>
        <xdr:cNvSpPr txBox="1">
          <a:spLocks noChangeArrowheads="1"/>
        </xdr:cNvSpPr>
      </xdr:nvSpPr>
      <xdr:spPr bwMode="auto">
        <a:xfrm>
          <a:off x="4171950" y="5876925"/>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14</xdr:row>
      <xdr:rowOff>0</xdr:rowOff>
    </xdr:from>
    <xdr:to>
      <xdr:col>4</xdr:col>
      <xdr:colOff>419100</xdr:colOff>
      <xdr:row>15</xdr:row>
      <xdr:rowOff>76200</xdr:rowOff>
    </xdr:to>
    <xdr:sp macro="" textlink="">
      <xdr:nvSpPr>
        <xdr:cNvPr id="4" name="PoljeZBesedilom 3"/>
        <xdr:cNvSpPr txBox="1">
          <a:spLocks noChangeArrowheads="1"/>
        </xdr:cNvSpPr>
      </xdr:nvSpPr>
      <xdr:spPr bwMode="auto">
        <a:xfrm>
          <a:off x="4171950" y="5876925"/>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14</xdr:row>
      <xdr:rowOff>0</xdr:rowOff>
    </xdr:from>
    <xdr:to>
      <xdr:col>4</xdr:col>
      <xdr:colOff>419100</xdr:colOff>
      <xdr:row>15</xdr:row>
      <xdr:rowOff>76200</xdr:rowOff>
    </xdr:to>
    <xdr:sp macro="" textlink="">
      <xdr:nvSpPr>
        <xdr:cNvPr id="5" name="PoljeZBesedilom 4"/>
        <xdr:cNvSpPr txBox="1">
          <a:spLocks noChangeArrowheads="1"/>
        </xdr:cNvSpPr>
      </xdr:nvSpPr>
      <xdr:spPr bwMode="auto">
        <a:xfrm>
          <a:off x="4171950" y="5876925"/>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238125</xdr:colOff>
      <xdr:row>9</xdr:row>
      <xdr:rowOff>0</xdr:rowOff>
    </xdr:from>
    <xdr:to>
      <xdr:col>4</xdr:col>
      <xdr:colOff>419100</xdr:colOff>
      <xdr:row>10</xdr:row>
      <xdr:rowOff>76200</xdr:rowOff>
    </xdr:to>
    <xdr:sp macro="" textlink="">
      <xdr:nvSpPr>
        <xdr:cNvPr id="2" name="PoljeZBesedilom 1"/>
        <xdr:cNvSpPr txBox="1">
          <a:spLocks noChangeArrowheads="1"/>
        </xdr:cNvSpPr>
      </xdr:nvSpPr>
      <xdr:spPr bwMode="auto">
        <a:xfrm>
          <a:off x="4171950" y="2371725"/>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9</xdr:row>
      <xdr:rowOff>0</xdr:rowOff>
    </xdr:from>
    <xdr:to>
      <xdr:col>4</xdr:col>
      <xdr:colOff>419100</xdr:colOff>
      <xdr:row>10</xdr:row>
      <xdr:rowOff>76200</xdr:rowOff>
    </xdr:to>
    <xdr:sp macro="" textlink="">
      <xdr:nvSpPr>
        <xdr:cNvPr id="3" name="PoljeZBesedilom 2"/>
        <xdr:cNvSpPr txBox="1">
          <a:spLocks noChangeArrowheads="1"/>
        </xdr:cNvSpPr>
      </xdr:nvSpPr>
      <xdr:spPr bwMode="auto">
        <a:xfrm>
          <a:off x="4171950" y="2371725"/>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9</xdr:row>
      <xdr:rowOff>0</xdr:rowOff>
    </xdr:from>
    <xdr:to>
      <xdr:col>4</xdr:col>
      <xdr:colOff>419100</xdr:colOff>
      <xdr:row>10</xdr:row>
      <xdr:rowOff>76200</xdr:rowOff>
    </xdr:to>
    <xdr:sp macro="" textlink="">
      <xdr:nvSpPr>
        <xdr:cNvPr id="4" name="PoljeZBesedilom 3"/>
        <xdr:cNvSpPr txBox="1">
          <a:spLocks noChangeArrowheads="1"/>
        </xdr:cNvSpPr>
      </xdr:nvSpPr>
      <xdr:spPr bwMode="auto">
        <a:xfrm>
          <a:off x="4171950" y="2371725"/>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9</xdr:row>
      <xdr:rowOff>0</xdr:rowOff>
    </xdr:from>
    <xdr:to>
      <xdr:col>4</xdr:col>
      <xdr:colOff>419100</xdr:colOff>
      <xdr:row>10</xdr:row>
      <xdr:rowOff>76200</xdr:rowOff>
    </xdr:to>
    <xdr:sp macro="" textlink="">
      <xdr:nvSpPr>
        <xdr:cNvPr id="5" name="PoljeZBesedilom 4"/>
        <xdr:cNvSpPr txBox="1">
          <a:spLocks noChangeArrowheads="1"/>
        </xdr:cNvSpPr>
      </xdr:nvSpPr>
      <xdr:spPr bwMode="auto">
        <a:xfrm>
          <a:off x="4171950" y="2371725"/>
          <a:ext cx="1809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238125</xdr:colOff>
      <xdr:row>9</xdr:row>
      <xdr:rowOff>0</xdr:rowOff>
    </xdr:from>
    <xdr:to>
      <xdr:col>4</xdr:col>
      <xdr:colOff>419100</xdr:colOff>
      <xdr:row>10</xdr:row>
      <xdr:rowOff>0</xdr:rowOff>
    </xdr:to>
    <xdr:sp macro="" textlink="">
      <xdr:nvSpPr>
        <xdr:cNvPr id="2" name="PoljeZBesedilom 1"/>
        <xdr:cNvSpPr txBox="1">
          <a:spLocks noChangeArrowheads="1"/>
        </xdr:cNvSpPr>
      </xdr:nvSpPr>
      <xdr:spPr bwMode="auto">
        <a:xfrm>
          <a:off x="4171950" y="2333625"/>
          <a:ext cx="1809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9</xdr:row>
      <xdr:rowOff>0</xdr:rowOff>
    </xdr:from>
    <xdr:to>
      <xdr:col>4</xdr:col>
      <xdr:colOff>419100</xdr:colOff>
      <xdr:row>10</xdr:row>
      <xdr:rowOff>0</xdr:rowOff>
    </xdr:to>
    <xdr:sp macro="" textlink="">
      <xdr:nvSpPr>
        <xdr:cNvPr id="3" name="PoljeZBesedilom 2"/>
        <xdr:cNvSpPr txBox="1">
          <a:spLocks noChangeArrowheads="1"/>
        </xdr:cNvSpPr>
      </xdr:nvSpPr>
      <xdr:spPr bwMode="auto">
        <a:xfrm>
          <a:off x="4171950" y="2333625"/>
          <a:ext cx="1809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9</xdr:row>
      <xdr:rowOff>0</xdr:rowOff>
    </xdr:from>
    <xdr:to>
      <xdr:col>4</xdr:col>
      <xdr:colOff>419100</xdr:colOff>
      <xdr:row>10</xdr:row>
      <xdr:rowOff>0</xdr:rowOff>
    </xdr:to>
    <xdr:sp macro="" textlink="">
      <xdr:nvSpPr>
        <xdr:cNvPr id="4" name="PoljeZBesedilom 3"/>
        <xdr:cNvSpPr txBox="1">
          <a:spLocks noChangeArrowheads="1"/>
        </xdr:cNvSpPr>
      </xdr:nvSpPr>
      <xdr:spPr bwMode="auto">
        <a:xfrm>
          <a:off x="4171950" y="2333625"/>
          <a:ext cx="1809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238125</xdr:colOff>
      <xdr:row>9</xdr:row>
      <xdr:rowOff>0</xdr:rowOff>
    </xdr:from>
    <xdr:to>
      <xdr:col>4</xdr:col>
      <xdr:colOff>419100</xdr:colOff>
      <xdr:row>10</xdr:row>
      <xdr:rowOff>0</xdr:rowOff>
    </xdr:to>
    <xdr:sp macro="" textlink="">
      <xdr:nvSpPr>
        <xdr:cNvPr id="5" name="PoljeZBesedilom 4"/>
        <xdr:cNvSpPr txBox="1">
          <a:spLocks noChangeArrowheads="1"/>
        </xdr:cNvSpPr>
      </xdr:nvSpPr>
      <xdr:spPr bwMode="auto">
        <a:xfrm>
          <a:off x="4171950" y="2333625"/>
          <a:ext cx="18097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incic/AppData/Local/Microsoft/Windows/INetCache/Content.Outlook/CLA4Z4CM/Popisi%20del/Popis_cevovodi_2803201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trojniki/PLIN/JPE%20LJUBLJANA/plin_JPE_RV%2033_8089/00_04_05_09_PZI_8089/05_01_Strojne_instalacije_in_strojna_oprema/PZI_RV33_POPI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Elektro/ODPRTE%20NALOGE/NIZKE%20GRADNJE/11700_vodovodi_Kras/4_11819_Vodovod%20Hrpelje%20kozina/PZI/41_42_VH%20Artvi&#382;e/mapa_41/Tehni&#269;no_popis/popis%20_4_1_Artvi&#382;e.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20and%20Settings/MihaK/Local%20Settings/Temporary%20Internet%20Files/Content.Outlook/Z61CFSP0/12053-2-2-3_1_PGD_Klari&#269;i%20-%20Sela_popis-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rincic/AppData/Local/Microsoft/Windows/INetCache/Content.Outlook/CLA4Z4CM/Popisi%20del/Popis_izpust_280320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Princic/AppData/Local/Microsoft/Windows/INetCache/Content.Outlook/CLA4Z4CM/Popisi%20del/Popis_odvzemni%20objekt_2803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Princic/AppData/Local/Microsoft/Windows/INetCache/Content.Outlook/CLA4Z4CM/Popisi%20del/190514%20Vogrscek_Popis_4_PZ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Princic/AppData/Local/Microsoft/Windows/INetCache/Content.Outlook/CLA4Z4CM/190620%20Vogrscek_Popis_4_PZ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idrotehnik-lc.local\dfsgo\Users\bernardal\AppData\Local\Microsoft\Windows\INetCache\Content.Outlook\TZHI8I3K\Vogr&#353;&#269;ek_pomo&#2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bernardal/AppData/Local/Microsoft/Windows/INetCache/Content.Outlook/TZHI8I3K/Vogr&#353;&#269;ek_pomo&#2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idrotehnik-lc.local\dfsgo\homes\uross\Documents\SANACIJA%20PREGRADE%20VOGR&#352;&#268;EK%20S%20PRIPADAJO&#268;IMI%20OBJEKTI\IDP\Vogr&#353;&#269;ek_pomo&#26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Toma&#382;%20Ba&#353;i&#269;/AppData/Local/Microsoft/Windows/INetCache/Content.Outlook/A9CJJ2Z9/MAPA%204.1%20(1207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VSEH DEL"/>
      <sheetName val="REKAPITULACIJA"/>
      <sheetName val="REKAPITULACIJA GR. DELA"/>
      <sheetName val="UVOD V PREDRAČUN"/>
      <sheetName val="Rušitvena dela"/>
      <sheetName val="Zemeljska dela"/>
      <sheetName val="Ostala dela"/>
      <sheetName val="REKAPITULACIJA OBRT. DELA"/>
      <sheetName val="Ostala  dela"/>
      <sheetName val="HPR_SD_stara verzija"/>
    </sheetNames>
    <sheetDataSet>
      <sheetData sheetId="0">
        <row r="31">
          <cell r="B31" t="str">
            <v>GRADBENOOBRTNIŠKA DELA</v>
          </cell>
        </row>
        <row r="33">
          <cell r="B33" t="str">
            <v>3.</v>
          </cell>
        </row>
        <row r="35">
          <cell r="B35" t="str">
            <v>CEVOVODI</v>
          </cell>
        </row>
        <row r="37">
          <cell r="B37">
            <v>1</v>
          </cell>
        </row>
        <row r="39">
          <cell r="B39">
            <v>1</v>
          </cell>
        </row>
        <row r="41">
          <cell r="B41">
            <v>0.22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ARMATURA"/>
      <sheetName val="MATERIAL"/>
      <sheetName val="REKAPITULACIJA"/>
    </sheetNames>
    <sheetDataSet>
      <sheetData sheetId="0" refreshError="1">
        <row r="12">
          <cell r="B12">
            <v>240</v>
          </cell>
        </row>
        <row r="14">
          <cell r="B14">
            <v>1</v>
          </cell>
        </row>
      </sheetData>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1. Gradbena dela NN in CR"/>
      <sheetName val="2.Elektromontažna dela"/>
      <sheetName val="3.Ostalo"/>
      <sheetName val="REKAPITULACIJA VSEH DEL"/>
      <sheetName val="HPR_SD_stara verzija"/>
    </sheetNames>
    <sheetDataSet>
      <sheetData sheetId="0">
        <row r="36">
          <cell r="B36">
            <v>1</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NAČRTA"/>
      <sheetName val="UVOD"/>
      <sheetName val="Klariči - Sela na Krasu"/>
      <sheetName val="REKAPITULACIJA PROJEKTA"/>
      <sheetName val="HPR_SD_stara verzija"/>
    </sheetNames>
    <sheetDataSet>
      <sheetData sheetId="0" refreshError="1">
        <row r="36">
          <cell r="B36">
            <v>1</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VSEH DEL"/>
      <sheetName val="REKAPITULACIJA"/>
      <sheetName val="REKAPITULACIJA GR. DELA"/>
      <sheetName val="UVOD V PREDRAČUN"/>
      <sheetName val="Rušitvena dela"/>
      <sheetName val="Zemeljska dela"/>
      <sheetName val="Betonska dela"/>
      <sheetName val="Tesarska dela"/>
      <sheetName val="Zidarska dela"/>
      <sheetName val="REKAPITULACIJA OBRT. DELA"/>
      <sheetName val="Krovskokleparska dela"/>
      <sheetName val="Ključavničarska dela"/>
      <sheetName val="Stavbno pohištvo"/>
      <sheetName val="Slikopleskarska dela"/>
      <sheetName val="HPR_SD_stara verzija"/>
    </sheetNames>
    <sheetDataSet>
      <sheetData sheetId="0">
        <row r="31">
          <cell r="B31" t="str">
            <v>GRADBENOOBRTNIŠKA DELA</v>
          </cell>
        </row>
        <row r="33">
          <cell r="B33" t="str">
            <v>3.</v>
          </cell>
        </row>
        <row r="35">
          <cell r="B35" t="str">
            <v>IZPUSTNI OBJEKT</v>
          </cell>
        </row>
        <row r="37">
          <cell r="B37">
            <v>1</v>
          </cell>
        </row>
        <row r="39">
          <cell r="B39">
            <v>1</v>
          </cell>
        </row>
        <row r="41">
          <cell r="B41">
            <v>0.22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VSEH DEL"/>
      <sheetName val="REKAPITULACIJA"/>
      <sheetName val="REKAPITULACIJA GR. DELA"/>
      <sheetName val="UVOD V PREDRAČUN"/>
      <sheetName val="Rušitvena dela"/>
      <sheetName val="Zemeljska dela"/>
      <sheetName val="Betonska dela"/>
      <sheetName val="Tesarska dela"/>
      <sheetName val="REKAPITULACIJA OBRT. DELA"/>
      <sheetName val="Krovskokleparska dela"/>
      <sheetName val="Ključavničarska dela"/>
      <sheetName val="Stavbno pohištvo"/>
      <sheetName val="Slikopleskarska dela"/>
      <sheetName val="HPR_SD_stara verzija"/>
    </sheetNames>
    <sheetDataSet>
      <sheetData sheetId="0">
        <row r="2">
          <cell r="A2" t="str">
            <v>POPIS DEL S PREDRAČUNOM - ODVZEMNI OBJEKT</v>
          </cell>
        </row>
        <row r="31">
          <cell r="B31" t="str">
            <v>GRADBENOOBRTNIŠKA DELA</v>
          </cell>
        </row>
        <row r="33">
          <cell r="B33" t="str">
            <v>3.</v>
          </cell>
        </row>
        <row r="35">
          <cell r="B35" t="str">
            <v>ODVZEMNI OBJEKT</v>
          </cell>
        </row>
        <row r="37">
          <cell r="B37">
            <v>1</v>
          </cell>
        </row>
        <row r="39">
          <cell r="B39">
            <v>1</v>
          </cell>
        </row>
        <row r="41">
          <cell r="B41">
            <v>0.22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1. Razsvetljava"/>
      <sheetName val="2. Videonadzor"/>
      <sheetName val="3. Vlom"/>
      <sheetName val="4. Strelovod"/>
      <sheetName val="5. Nadzorni center (CNS)"/>
      <sheetName val="6. Upravni objekt"/>
      <sheetName val="7. Odvzemni objekt"/>
      <sheetName val="8. Iztočni objekt"/>
      <sheetName val="9. Sizmika"/>
      <sheetName val="10. DEA"/>
      <sheetName val="10. Ostalo"/>
      <sheetName val="HPR_SD_stara verzija"/>
    </sheetNames>
    <sheetDataSet>
      <sheetData sheetId="0">
        <row r="30">
          <cell r="B30" t="str">
            <v>ELEKTRIČNE INŠTALACIJE</v>
          </cell>
        </row>
        <row r="32">
          <cell r="B32" t="str">
            <v>4.</v>
          </cell>
        </row>
        <row r="34">
          <cell r="B34" t="str">
            <v>SANACIJA PREGRADE VOGRŠČEK S PRIPADAJOČIMI OBJEKTI</v>
          </cell>
        </row>
        <row r="40">
          <cell r="B40">
            <v>0.22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1. Razsvetljava"/>
      <sheetName val="2. Videonadzor"/>
      <sheetName val="3. Vlom"/>
      <sheetName val="4. Strelovod"/>
      <sheetName val="5. Nadzorni center (CNS)"/>
      <sheetName val="6. Upravni objekt"/>
      <sheetName val="7. Odvzemni objekt"/>
      <sheetName val="8. Iztočni objekt"/>
      <sheetName val="9. Sizmika"/>
      <sheetName val="10. DEA"/>
      <sheetName val="10. Ostalo"/>
      <sheetName val="HPR_SD_stara verzija"/>
    </sheetNames>
    <sheetDataSet>
      <sheetData sheetId="0" refreshError="1">
        <row r="30">
          <cell r="B30" t="str">
            <v>ELEKTRIČNE INŠTALACIJE</v>
          </cell>
        </row>
        <row r="32">
          <cell r="B32" t="str">
            <v>4.</v>
          </cell>
        </row>
        <row r="34">
          <cell r="B34" t="str">
            <v>SANACIJA PREGRADE VOGRŠČEK S PRIPADAJOČIMI OBJEKTI</v>
          </cell>
        </row>
        <row r="36">
          <cell r="B36">
            <v>1</v>
          </cell>
        </row>
        <row r="38">
          <cell r="B38">
            <v>1</v>
          </cell>
        </row>
        <row r="40">
          <cell r="B40">
            <v>0.22</v>
          </cell>
          <cell r="E40" t="str">
            <v>ODVZEMNI OBJEKT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NAČRTA"/>
      <sheetName val="Varianta 1A"/>
      <sheetName val="Varianta 1B"/>
      <sheetName val="Modificirana varianta 1A"/>
      <sheetName val="HPR_SD_stara verzija"/>
    </sheetNames>
    <sheetDataSet>
      <sheetData sheetId="0">
        <row r="32">
          <cell r="B32" t="str">
            <v>Načrt hidrotehničnih objektov</v>
          </cell>
        </row>
        <row r="34">
          <cell r="B34" t="str">
            <v>3/2</v>
          </cell>
        </row>
        <row r="38">
          <cell r="B38">
            <v>1</v>
          </cell>
        </row>
        <row r="40">
          <cell r="B40">
            <v>1</v>
          </cell>
        </row>
      </sheetData>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NAČRTA"/>
      <sheetName val="Varianta 1A"/>
      <sheetName val="Varianta 1B"/>
      <sheetName val="Modificirana varianta 1A"/>
      <sheetName val="HPR_SD_stara verzija"/>
    </sheetNames>
    <sheetDataSet>
      <sheetData sheetId="0">
        <row r="32">
          <cell r="B32" t="str">
            <v>Načrt hidrotehničnih objektov</v>
          </cell>
        </row>
        <row r="34">
          <cell r="B34" t="str">
            <v>3/2</v>
          </cell>
        </row>
        <row r="38">
          <cell r="B38">
            <v>1</v>
          </cell>
        </row>
        <row r="40">
          <cell r="B40">
            <v>1</v>
          </cell>
        </row>
      </sheetData>
      <sheetData sheetId="1" refreshError="1"/>
      <sheetData sheetId="2" refreshError="1"/>
      <sheetData sheetId="3" refreshError="1"/>
      <sheetData sheetId="4" refreshError="1"/>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NAČRTA"/>
      <sheetName val="Varianta 1A"/>
      <sheetName val="Varianta 1B"/>
      <sheetName val="Modificirana varianta 1A"/>
      <sheetName val="HPR_SD_stara verzija"/>
    </sheetNames>
    <sheetDataSet>
      <sheetData sheetId="0">
        <row r="32">
          <cell r="B32" t="str">
            <v>Načrt hidrotehničnih objektov</v>
          </cell>
        </row>
        <row r="34">
          <cell r="B34" t="str">
            <v>3/2</v>
          </cell>
        </row>
        <row r="38">
          <cell r="B38">
            <v>1</v>
          </cell>
        </row>
        <row r="40">
          <cell r="B40">
            <v>1</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SNOVA"/>
      <sheetName val="REKAPITULACIJA"/>
      <sheetName val="UVOD V PREDRAČUN"/>
      <sheetName val="NN priključek"/>
      <sheetName val="REKAPITULACIJA VSEH DEL"/>
      <sheetName val="HPR_SD_stara verzija"/>
    </sheetNames>
    <sheetDataSet>
      <sheetData sheetId="0">
        <row r="36">
          <cell r="B36">
            <v>1</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45"/>
  <sheetViews>
    <sheetView tabSelected="1" view="pageBreakPreview" zoomScale="85" zoomScaleNormal="80" zoomScaleSheetLayoutView="85" workbookViewId="0"/>
  </sheetViews>
  <sheetFormatPr defaultRowHeight="15" x14ac:dyDescent="0.25"/>
  <cols>
    <col min="1" max="1" width="9.7109375" customWidth="1"/>
    <col min="2" max="2" width="56.42578125" customWidth="1"/>
    <col min="3" max="3" width="18.140625" customWidth="1"/>
    <col min="4" max="4" width="15.5703125" bestFit="1" customWidth="1"/>
    <col min="5" max="5" width="24.28515625" customWidth="1"/>
  </cols>
  <sheetData>
    <row r="1" spans="1:5" ht="63" x14ac:dyDescent="0.25">
      <c r="A1" s="919" t="s">
        <v>1442</v>
      </c>
      <c r="B1" s="920" t="s">
        <v>1631</v>
      </c>
    </row>
    <row r="2" spans="1:5" ht="15.75" x14ac:dyDescent="0.25">
      <c r="A2" s="919" t="s">
        <v>175</v>
      </c>
      <c r="B2" s="2032" t="s">
        <v>1443</v>
      </c>
    </row>
    <row r="3" spans="1:5" s="1392" customFormat="1" ht="9.75" customHeight="1" x14ac:dyDescent="0.25">
      <c r="A3" s="919"/>
      <c r="B3" s="920"/>
    </row>
    <row r="4" spans="1:5" s="1392" customFormat="1" ht="15.75" x14ac:dyDescent="0.25">
      <c r="A4" s="919"/>
      <c r="B4" s="920" t="s">
        <v>1617</v>
      </c>
    </row>
    <row r="5" spans="1:5" s="1392" customFormat="1" ht="15.75" x14ac:dyDescent="0.25">
      <c r="A5" s="919"/>
      <c r="B5" s="920" t="s">
        <v>1629</v>
      </c>
    </row>
    <row r="6" spans="1:5" ht="9.75" customHeight="1" x14ac:dyDescent="0.25"/>
    <row r="7" spans="1:5" ht="30.75" customHeight="1" x14ac:dyDescent="0.25">
      <c r="A7" s="1142" t="s">
        <v>2</v>
      </c>
      <c r="B7" s="1142" t="s">
        <v>0</v>
      </c>
      <c r="C7" s="1143" t="s">
        <v>1</v>
      </c>
      <c r="D7" s="602"/>
      <c r="E7" s="602"/>
    </row>
    <row r="8" spans="1:5" ht="15.75" thickBot="1" x14ac:dyDescent="0.3">
      <c r="A8" s="1144"/>
      <c r="B8" s="1144"/>
      <c r="C8" s="1144"/>
      <c r="D8" s="602"/>
      <c r="E8" s="602"/>
    </row>
    <row r="9" spans="1:5" x14ac:dyDescent="0.25">
      <c r="A9" s="1145" t="s">
        <v>332</v>
      </c>
      <c r="B9" s="1146" t="s">
        <v>8</v>
      </c>
      <c r="C9" s="2018">
        <f>ROUND(SUM(C10:C12),2)</f>
        <v>0</v>
      </c>
      <c r="D9" s="602"/>
      <c r="E9" s="602"/>
    </row>
    <row r="10" spans="1:5" x14ac:dyDescent="0.25">
      <c r="A10" s="1147" t="s">
        <v>14</v>
      </c>
      <c r="B10" s="1177" t="s">
        <v>17</v>
      </c>
      <c r="C10" s="2019">
        <f>ROUND('Rekapitulacija 3.1'!G9,2)</f>
        <v>0</v>
      </c>
      <c r="D10" s="602"/>
      <c r="E10" s="602"/>
    </row>
    <row r="11" spans="1:5" x14ac:dyDescent="0.25">
      <c r="A11" s="1148" t="s">
        <v>15</v>
      </c>
      <c r="B11" s="1180" t="s">
        <v>18</v>
      </c>
      <c r="C11" s="2020">
        <f>ROUND('Rekapitulacija 3.1'!G11,2)</f>
        <v>0</v>
      </c>
      <c r="D11" s="602"/>
      <c r="E11" s="602"/>
    </row>
    <row r="12" spans="1:5" ht="15.75" thickBot="1" x14ac:dyDescent="0.3">
      <c r="A12" s="1150" t="s">
        <v>16</v>
      </c>
      <c r="B12" s="1181" t="s">
        <v>19</v>
      </c>
      <c r="C12" s="2021">
        <f>ROUND('Rekapitulacija 3.1'!G19,2)</f>
        <v>0</v>
      </c>
      <c r="D12" s="602"/>
      <c r="E12" s="602"/>
    </row>
    <row r="13" spans="1:5" ht="15.75" thickBot="1" x14ac:dyDescent="0.3">
      <c r="A13" s="1151" t="s">
        <v>333</v>
      </c>
      <c r="B13" s="1152" t="s">
        <v>9</v>
      </c>
      <c r="C13" s="2022">
        <f>ROUND('Rekapitulacija 3.2'!G36,2)</f>
        <v>0</v>
      </c>
      <c r="D13" s="602"/>
      <c r="E13" s="602"/>
    </row>
    <row r="14" spans="1:5" ht="15.75" thickBot="1" x14ac:dyDescent="0.3">
      <c r="A14" s="1153" t="s">
        <v>334</v>
      </c>
      <c r="B14" s="1154" t="s">
        <v>10</v>
      </c>
      <c r="C14" s="2023">
        <f>ROUND('Rekapitulacija 3.3'!G21,2)</f>
        <v>0</v>
      </c>
      <c r="D14" s="602"/>
      <c r="E14" s="602"/>
    </row>
    <row r="15" spans="1:5" s="211" customFormat="1" ht="15.75" thickBot="1" x14ac:dyDescent="0.3">
      <c r="A15" s="1155" t="s">
        <v>335</v>
      </c>
      <c r="B15" s="1156" t="s">
        <v>11</v>
      </c>
      <c r="C15" s="2024">
        <f>ROUND('Rekapitulacija 3.4'!G20,2)</f>
        <v>0</v>
      </c>
      <c r="D15" s="602"/>
      <c r="E15" s="602"/>
    </row>
    <row r="16" spans="1:5" s="211" customFormat="1" x14ac:dyDescent="0.25">
      <c r="A16" s="1157" t="s">
        <v>336</v>
      </c>
      <c r="B16" s="1158" t="s">
        <v>499</v>
      </c>
      <c r="C16" s="2025">
        <f>ROUND(SUM(C17:C19),2)</f>
        <v>0</v>
      </c>
      <c r="D16" s="602"/>
      <c r="E16" s="602"/>
    </row>
    <row r="17" spans="1:5" x14ac:dyDescent="0.25">
      <c r="A17" s="1147" t="s">
        <v>493</v>
      </c>
      <c r="B17" s="1177" t="s">
        <v>496</v>
      </c>
      <c r="C17" s="2019">
        <f>ROUND('Rekapitulacija 3.5'!G8,2)</f>
        <v>0</v>
      </c>
      <c r="D17" s="602"/>
      <c r="E17" s="602"/>
    </row>
    <row r="18" spans="1:5" x14ac:dyDescent="0.25">
      <c r="A18" s="1148" t="s">
        <v>494</v>
      </c>
      <c r="B18" s="1180" t="s">
        <v>497</v>
      </c>
      <c r="C18" s="2020">
        <f>ROUND('Rekapitulacija 3.5'!G18,2)</f>
        <v>0</v>
      </c>
      <c r="D18" s="602"/>
      <c r="E18" s="602"/>
    </row>
    <row r="19" spans="1:5" ht="15.75" thickBot="1" x14ac:dyDescent="0.3">
      <c r="A19" s="1150" t="s">
        <v>495</v>
      </c>
      <c r="B19" s="1181" t="s">
        <v>498</v>
      </c>
      <c r="C19" s="2021">
        <f>ROUND('Rekapitulacija 3.5'!G33,2)</f>
        <v>0</v>
      </c>
      <c r="D19" s="602"/>
      <c r="E19" s="602"/>
    </row>
    <row r="20" spans="1:5" x14ac:dyDescent="0.25">
      <c r="A20" s="1159" t="s">
        <v>337</v>
      </c>
      <c r="B20" s="1160" t="s">
        <v>13</v>
      </c>
      <c r="C20" s="2026">
        <f>ROUND(SUM(C21:C23),2)</f>
        <v>0</v>
      </c>
      <c r="D20" s="602"/>
      <c r="E20" s="602"/>
    </row>
    <row r="21" spans="1:5" x14ac:dyDescent="0.25">
      <c r="A21" s="1147" t="s">
        <v>958</v>
      </c>
      <c r="B21" s="1177" t="s">
        <v>801</v>
      </c>
      <c r="C21" s="2019">
        <f>ROUND('Rekapitulacija 3.7'!G9,2)</f>
        <v>0</v>
      </c>
      <c r="D21" s="602"/>
      <c r="E21" s="602"/>
    </row>
    <row r="22" spans="1:5" ht="29.25" x14ac:dyDescent="0.25">
      <c r="A22" s="1148" t="s">
        <v>959</v>
      </c>
      <c r="B22" s="1178" t="s">
        <v>806</v>
      </c>
      <c r="C22" s="2020">
        <f>ROUND('Rekapitulacija 3.7'!G15,2)</f>
        <v>0</v>
      </c>
      <c r="D22" s="602"/>
      <c r="E22" s="602"/>
    </row>
    <row r="23" spans="1:5" ht="30" thickBot="1" x14ac:dyDescent="0.3">
      <c r="A23" s="1150" t="s">
        <v>960</v>
      </c>
      <c r="B23" s="1179" t="s">
        <v>1556</v>
      </c>
      <c r="C23" s="2021">
        <f>ROUND('Rekapitulacija 3.7'!G17,2)</f>
        <v>0</v>
      </c>
    </row>
    <row r="24" spans="1:5" x14ac:dyDescent="0.25">
      <c r="A24" s="1161" t="s">
        <v>40</v>
      </c>
      <c r="B24" s="1162" t="s">
        <v>12</v>
      </c>
      <c r="C24" s="2027">
        <f>ROUND(SUM(C25:C35),2)</f>
        <v>0</v>
      </c>
    </row>
    <row r="25" spans="1:5" s="452" customFormat="1" x14ac:dyDescent="0.25">
      <c r="A25" s="1163" t="s">
        <v>1045</v>
      </c>
      <c r="B25" s="1175" t="s">
        <v>1431</v>
      </c>
      <c r="C25" s="2019">
        <f>ROUND('4.1'!G73,2)</f>
        <v>0</v>
      </c>
    </row>
    <row r="26" spans="1:5" s="452" customFormat="1" x14ac:dyDescent="0.25">
      <c r="A26" s="1164" t="s">
        <v>1046</v>
      </c>
      <c r="B26" s="1173" t="s">
        <v>1432</v>
      </c>
      <c r="C26" s="2020">
        <f>ROUND('4.2'!G44,2)</f>
        <v>0</v>
      </c>
    </row>
    <row r="27" spans="1:5" s="452" customFormat="1" x14ac:dyDescent="0.25">
      <c r="A27" s="1164" t="s">
        <v>1047</v>
      </c>
      <c r="B27" s="1173" t="s">
        <v>1433</v>
      </c>
      <c r="C27" s="2020">
        <f>ROUND('4.3'!G58,2)</f>
        <v>0</v>
      </c>
    </row>
    <row r="28" spans="1:5" s="452" customFormat="1" x14ac:dyDescent="0.25">
      <c r="A28" s="1164" t="s">
        <v>1048</v>
      </c>
      <c r="B28" s="1173" t="s">
        <v>1434</v>
      </c>
      <c r="C28" s="2020">
        <f>ROUND('4.4'!G45,2)</f>
        <v>0</v>
      </c>
    </row>
    <row r="29" spans="1:5" s="452" customFormat="1" x14ac:dyDescent="0.25">
      <c r="A29" s="1164" t="s">
        <v>1049</v>
      </c>
      <c r="B29" s="1173" t="s">
        <v>1435</v>
      </c>
      <c r="C29" s="2020">
        <f>ROUND('4.5'!G58,2)</f>
        <v>0</v>
      </c>
    </row>
    <row r="30" spans="1:5" s="452" customFormat="1" x14ac:dyDescent="0.25">
      <c r="A30" s="1164" t="s">
        <v>1050</v>
      </c>
      <c r="B30" s="1173" t="s">
        <v>1436</v>
      </c>
      <c r="C30" s="2020">
        <f>ROUND('4.6'!G216,2)</f>
        <v>0</v>
      </c>
    </row>
    <row r="31" spans="1:5" s="452" customFormat="1" x14ac:dyDescent="0.25">
      <c r="A31" s="1164" t="s">
        <v>1051</v>
      </c>
      <c r="B31" s="1173" t="s">
        <v>498</v>
      </c>
      <c r="C31" s="2020">
        <f>ROUND('4.7'!G236,2)</f>
        <v>0</v>
      </c>
    </row>
    <row r="32" spans="1:5" s="452" customFormat="1" x14ac:dyDescent="0.25">
      <c r="A32" s="1164" t="s">
        <v>1052</v>
      </c>
      <c r="B32" s="1173" t="s">
        <v>1437</v>
      </c>
      <c r="C32" s="2020">
        <f>ROUND('4.8'!G209,2)</f>
        <v>0</v>
      </c>
    </row>
    <row r="33" spans="1:3" s="452" customFormat="1" x14ac:dyDescent="0.25">
      <c r="A33" s="1164" t="s">
        <v>1053</v>
      </c>
      <c r="B33" s="1173" t="s">
        <v>1441</v>
      </c>
      <c r="C33" s="2020">
        <f>ROUND('4.9'!G112,2)</f>
        <v>0</v>
      </c>
    </row>
    <row r="34" spans="1:3" s="452" customFormat="1" x14ac:dyDescent="0.25">
      <c r="A34" s="1164" t="s">
        <v>1054</v>
      </c>
      <c r="B34" s="1173" t="s">
        <v>1438</v>
      </c>
      <c r="C34" s="2020">
        <f>ROUND('4.10'!G43,2)</f>
        <v>0</v>
      </c>
    </row>
    <row r="35" spans="1:3" s="452" customFormat="1" ht="15.75" thickBot="1" x14ac:dyDescent="0.3">
      <c r="A35" s="1165" t="s">
        <v>1055</v>
      </c>
      <c r="B35" s="1176" t="s">
        <v>1439</v>
      </c>
      <c r="C35" s="2021">
        <f>ROUND('4.11'!G64,2)</f>
        <v>0</v>
      </c>
    </row>
    <row r="36" spans="1:3" s="921" customFormat="1" x14ac:dyDescent="0.25">
      <c r="A36" s="1166" t="s">
        <v>42</v>
      </c>
      <c r="B36" s="1167" t="s">
        <v>1448</v>
      </c>
      <c r="C36" s="2028">
        <f>ROUND(SUM(C37:C38),2)</f>
        <v>0</v>
      </c>
    </row>
    <row r="37" spans="1:3" s="921" customFormat="1" x14ac:dyDescent="0.25">
      <c r="A37" s="1148" t="s">
        <v>1266</v>
      </c>
      <c r="B37" s="1173" t="s">
        <v>1449</v>
      </c>
      <c r="C37" s="2020">
        <f>ROUND('Rekapitulacija 5'!F10,2)</f>
        <v>0</v>
      </c>
    </row>
    <row r="38" spans="1:3" s="921" customFormat="1" ht="15.75" thickBot="1" x14ac:dyDescent="0.3">
      <c r="A38" s="1168" t="s">
        <v>1265</v>
      </c>
      <c r="B38" s="1174" t="s">
        <v>1450</v>
      </c>
      <c r="C38" s="2029">
        <f>ROUND('Rekapitulacija 5'!F14,2)</f>
        <v>0</v>
      </c>
    </row>
    <row r="39" spans="1:3" ht="15.75" thickTop="1" x14ac:dyDescent="0.25">
      <c r="A39" s="1169"/>
      <c r="B39" s="2014" t="s">
        <v>1259</v>
      </c>
      <c r="C39" s="2030">
        <f>ROUND(SUM(C24,C20,C13:C16,C9,C36),2)</f>
        <v>0</v>
      </c>
    </row>
    <row r="40" spans="1:3" x14ac:dyDescent="0.25">
      <c r="A40" s="1148"/>
      <c r="B40" s="1149" t="s">
        <v>338</v>
      </c>
      <c r="C40" s="2020">
        <f>+C39*0.1</f>
        <v>0</v>
      </c>
    </row>
    <row r="41" spans="1:3" x14ac:dyDescent="0.25">
      <c r="A41" s="1170"/>
      <c r="B41" s="2015" t="s">
        <v>1587</v>
      </c>
      <c r="C41" s="2020">
        <f>+C39+C40</f>
        <v>0</v>
      </c>
    </row>
    <row r="42" spans="1:3" x14ac:dyDescent="0.25">
      <c r="A42" s="1170"/>
      <c r="B42" s="1149" t="s">
        <v>1588</v>
      </c>
      <c r="C42" s="2020">
        <f>+C41*0.22</f>
        <v>0</v>
      </c>
    </row>
    <row r="43" spans="1:3" ht="9" customHeight="1" thickBot="1" x14ac:dyDescent="0.3">
      <c r="A43" s="1171"/>
      <c r="B43" s="1172"/>
      <c r="C43" s="1317"/>
    </row>
    <row r="44" spans="1:3" ht="15.75" thickBot="1" x14ac:dyDescent="0.3">
      <c r="A44" s="2016"/>
      <c r="B44" s="2017" t="s">
        <v>331</v>
      </c>
      <c r="C44" s="2031">
        <f>+C41+C42</f>
        <v>0</v>
      </c>
    </row>
    <row r="45" spans="1:3" ht="15.75" thickTop="1" x14ac:dyDescent="0.25"/>
  </sheetData>
  <sheetProtection algorithmName="SHA-512" hashValue="nTTA2Op/lToY3thsr5uDCwrrRpV/rd3mZnpUE4b8IKe1txJoKGPVkruKRwTI10M0hRH9U/m6Gl93x9Mt0+vf5w==" saltValue="PDB3ld5l3pDa+1nnPtJoVw==" spinCount="100000" sheet="1" objects="1" scenarios="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J96"/>
  <sheetViews>
    <sheetView view="pageBreakPreview" zoomScaleNormal="100" zoomScaleSheetLayoutView="100" workbookViewId="0"/>
  </sheetViews>
  <sheetFormatPr defaultColWidth="9.140625" defaultRowHeight="12.75" x14ac:dyDescent="0.2"/>
  <cols>
    <col min="1" max="1" width="9.140625" style="1005"/>
    <col min="2" max="2" width="25.7109375" style="1005" customWidth="1"/>
    <col min="3" max="3" width="10.7109375" style="1005" customWidth="1"/>
    <col min="4" max="4" width="12.42578125" style="1005" customWidth="1"/>
    <col min="5" max="5" width="16" style="1820" customWidth="1"/>
    <col min="6" max="6" width="14.85546875" style="1005" customWidth="1"/>
    <col min="7" max="7" width="9.140625" style="1005"/>
    <col min="8" max="8" width="10.5703125" style="1005" bestFit="1" customWidth="1"/>
    <col min="9" max="16384" width="9.140625" style="1005"/>
  </cols>
  <sheetData>
    <row r="1" spans="1:10" x14ac:dyDescent="0.2">
      <c r="A1" s="1819" t="s">
        <v>421</v>
      </c>
      <c r="B1" s="1819" t="s">
        <v>422</v>
      </c>
    </row>
    <row r="2" spans="1:10" ht="13.5" thickBot="1" x14ac:dyDescent="0.25"/>
    <row r="3" spans="1:10" ht="13.5" thickBot="1" x14ac:dyDescent="0.25">
      <c r="A3" s="1036" t="s">
        <v>178</v>
      </c>
      <c r="B3" s="1037" t="s">
        <v>179</v>
      </c>
      <c r="C3" s="1038" t="s">
        <v>28</v>
      </c>
      <c r="D3" s="1038" t="s">
        <v>29</v>
      </c>
      <c r="E3" s="1821" t="s">
        <v>180</v>
      </c>
      <c r="F3" s="1039" t="s">
        <v>181</v>
      </c>
    </row>
    <row r="4" spans="1:10" s="1008" customFormat="1" ht="13.5" thickBot="1" x14ac:dyDescent="0.25">
      <c r="A4" s="1040" t="s">
        <v>345</v>
      </c>
      <c r="B4" s="1041"/>
      <c r="C4" s="1041"/>
      <c r="D4" s="1041"/>
      <c r="E4" s="1822"/>
      <c r="F4" s="1042"/>
    </row>
    <row r="5" spans="1:10" s="1008" customFormat="1" ht="13.5" thickBot="1" x14ac:dyDescent="0.25">
      <c r="A5" s="1241" t="s">
        <v>190</v>
      </c>
      <c r="B5" s="1242"/>
      <c r="C5" s="1242"/>
      <c r="D5" s="1242"/>
      <c r="E5" s="1823"/>
      <c r="F5" s="1243"/>
    </row>
    <row r="6" spans="1:10" s="1008" customFormat="1" ht="13.5" thickBot="1" x14ac:dyDescent="0.25">
      <c r="A6" s="1040" t="s">
        <v>355</v>
      </c>
      <c r="B6" s="1049"/>
      <c r="C6" s="1049"/>
      <c r="D6" s="1049"/>
      <c r="E6" s="1824"/>
      <c r="F6" s="1050"/>
    </row>
    <row r="7" spans="1:10" s="1603" customFormat="1" ht="51" x14ac:dyDescent="0.2">
      <c r="A7" s="1051">
        <v>1</v>
      </c>
      <c r="B7" s="1625" t="s">
        <v>356</v>
      </c>
      <c r="C7" s="1052" t="s">
        <v>39</v>
      </c>
      <c r="D7" s="1053">
        <v>1</v>
      </c>
      <c r="E7" s="1825"/>
      <c r="F7" s="1626">
        <f>ROUND(D7*E7,2)</f>
        <v>0</v>
      </c>
    </row>
    <row r="8" spans="1:10" s="1603" customFormat="1" ht="39" thickBot="1" x14ac:dyDescent="0.25">
      <c r="A8" s="1054">
        <v>2</v>
      </c>
      <c r="B8" s="1627" t="s">
        <v>357</v>
      </c>
      <c r="C8" s="1055" t="s">
        <v>39</v>
      </c>
      <c r="D8" s="1056">
        <v>1</v>
      </c>
      <c r="E8" s="1826"/>
      <c r="F8" s="1628">
        <f>ROUND(D8*E8,2)</f>
        <v>0</v>
      </c>
    </row>
    <row r="9" spans="1:10" s="1603" customFormat="1" ht="13.5" thickBot="1" x14ac:dyDescent="0.25">
      <c r="A9" s="1046" t="s">
        <v>358</v>
      </c>
      <c r="B9" s="1047"/>
      <c r="C9" s="1047"/>
      <c r="D9" s="1047"/>
      <c r="E9" s="1827"/>
      <c r="F9" s="1337"/>
    </row>
    <row r="10" spans="1:10" s="1603" customFormat="1" ht="51" x14ac:dyDescent="0.2">
      <c r="A10" s="1051">
        <v>3</v>
      </c>
      <c r="B10" s="1629" t="s">
        <v>359</v>
      </c>
      <c r="C10" s="1052" t="s">
        <v>39</v>
      </c>
      <c r="D10" s="1053">
        <v>1</v>
      </c>
      <c r="E10" s="1825"/>
      <c r="F10" s="1626">
        <f>ROUND(D10*E10,2)</f>
        <v>0</v>
      </c>
      <c r="J10" s="1630"/>
    </row>
    <row r="11" spans="1:10" s="1603" customFormat="1" ht="77.25" thickBot="1" x14ac:dyDescent="0.25">
      <c r="A11" s="1054">
        <v>4</v>
      </c>
      <c r="B11" s="1631" t="s">
        <v>360</v>
      </c>
      <c r="C11" s="1055" t="s">
        <v>39</v>
      </c>
      <c r="D11" s="1056">
        <v>1</v>
      </c>
      <c r="E11" s="1826"/>
      <c r="F11" s="1628">
        <f>ROUND(D11*E11,2)</f>
        <v>0</v>
      </c>
      <c r="H11" s="1632"/>
    </row>
    <row r="12" spans="1:10" s="1603" customFormat="1" ht="13.5" thickBot="1" x14ac:dyDescent="0.25">
      <c r="A12" s="1046" t="s">
        <v>361</v>
      </c>
      <c r="B12" s="1047"/>
      <c r="C12" s="1047"/>
      <c r="D12" s="1047"/>
      <c r="E12" s="1827"/>
      <c r="F12" s="1337"/>
    </row>
    <row r="13" spans="1:10" s="1603" customFormat="1" ht="63.75" x14ac:dyDescent="0.2">
      <c r="A13" s="1633">
        <v>5</v>
      </c>
      <c r="B13" s="1634" t="s">
        <v>362</v>
      </c>
      <c r="C13" s="1635" t="s">
        <v>39</v>
      </c>
      <c r="D13" s="1636">
        <v>1</v>
      </c>
      <c r="E13" s="1828"/>
      <c r="F13" s="1637">
        <f>ROUND(D13*E13,2)</f>
        <v>0</v>
      </c>
      <c r="J13" s="1630"/>
    </row>
    <row r="14" spans="1:10" s="1008" customFormat="1" x14ac:dyDescent="0.2">
      <c r="A14" s="1247"/>
      <c r="B14" s="1248"/>
      <c r="C14" s="1249"/>
      <c r="D14" s="1250"/>
      <c r="E14" s="1829"/>
      <c r="F14" s="1339"/>
      <c r="J14" s="1043"/>
    </row>
    <row r="15" spans="1:10" s="1008" customFormat="1" ht="13.5" thickBot="1" x14ac:dyDescent="0.25">
      <c r="A15" s="1254"/>
      <c r="B15" s="1255" t="s">
        <v>1558</v>
      </c>
      <c r="C15" s="1256"/>
      <c r="D15" s="1257"/>
      <c r="E15" s="1830"/>
      <c r="F15" s="1340">
        <f>ROUND(SUM(F7:F13),2)</f>
        <v>0</v>
      </c>
      <c r="J15" s="1043"/>
    </row>
    <row r="16" spans="1:10" s="1008" customFormat="1" ht="14.25" thickTop="1" thickBot="1" x14ac:dyDescent="0.25">
      <c r="A16" s="1044"/>
      <c r="B16" s="1251"/>
      <c r="C16" s="1252"/>
      <c r="D16" s="1253"/>
      <c r="E16" s="1831"/>
      <c r="F16" s="1341"/>
      <c r="J16" s="1043"/>
    </row>
    <row r="17" spans="1:10" s="1008" customFormat="1" ht="13.5" thickBot="1" x14ac:dyDescent="0.25">
      <c r="A17" s="1046" t="s">
        <v>1552</v>
      </c>
      <c r="B17" s="1244"/>
      <c r="C17" s="1245"/>
      <c r="D17" s="1246"/>
      <c r="E17" s="1832"/>
      <c r="F17" s="1342"/>
      <c r="J17" s="1043"/>
    </row>
    <row r="18" spans="1:10" s="1008" customFormat="1" ht="13.5" thickBot="1" x14ac:dyDescent="0.25">
      <c r="A18" s="1040" t="s">
        <v>363</v>
      </c>
      <c r="B18" s="1041"/>
      <c r="C18" s="1041"/>
      <c r="D18" s="1041"/>
      <c r="E18" s="1822"/>
      <c r="F18" s="1337"/>
    </row>
    <row r="19" spans="1:10" s="1008" customFormat="1" ht="24.75" thickBot="1" x14ac:dyDescent="0.25">
      <c r="A19" s="1051">
        <f>A13+1</f>
        <v>6</v>
      </c>
      <c r="B19" s="1057" t="s">
        <v>364</v>
      </c>
      <c r="C19" s="1052" t="s">
        <v>65</v>
      </c>
      <c r="D19" s="1053">
        <f>145</f>
        <v>145</v>
      </c>
      <c r="E19" s="1825"/>
      <c r="F19" s="1337">
        <f>ROUND(D19*E19,2)</f>
        <v>0</v>
      </c>
    </row>
    <row r="20" spans="1:10" s="1008" customFormat="1" ht="13.5" thickBot="1" x14ac:dyDescent="0.25">
      <c r="A20" s="1040" t="s">
        <v>365</v>
      </c>
      <c r="B20" s="1041"/>
      <c r="C20" s="1041"/>
      <c r="D20" s="1041"/>
      <c r="E20" s="1822"/>
      <c r="F20" s="1338"/>
    </row>
    <row r="21" spans="1:10" ht="36" x14ac:dyDescent="0.2">
      <c r="A21" s="1058">
        <f>A19+1</f>
        <v>7</v>
      </c>
      <c r="B21" s="1059" t="s">
        <v>366</v>
      </c>
      <c r="C21" s="1060" t="s">
        <v>69</v>
      </c>
      <c r="D21" s="1061">
        <f>19.37* 9</f>
        <v>174.33</v>
      </c>
      <c r="E21" s="1825"/>
      <c r="F21" s="1337">
        <f t="shared" ref="F21:F28" si="0">ROUND(D21*E21,2)</f>
        <v>0</v>
      </c>
    </row>
    <row r="22" spans="1:10" ht="40.5" customHeight="1" x14ac:dyDescent="0.2">
      <c r="A22" s="1063">
        <f>A21+1</f>
        <v>8</v>
      </c>
      <c r="B22" s="1064" t="s">
        <v>367</v>
      </c>
      <c r="C22" s="1065" t="s">
        <v>69</v>
      </c>
      <c r="D22" s="1066">
        <f>18.24*109</f>
        <v>1988.16</v>
      </c>
      <c r="E22" s="1833"/>
      <c r="F22" s="1344">
        <f t="shared" si="0"/>
        <v>0</v>
      </c>
    </row>
    <row r="23" spans="1:10" ht="40.5" customHeight="1" x14ac:dyDescent="0.2">
      <c r="A23" s="1063">
        <f t="shared" ref="A23:A27" si="1">A22+1</f>
        <v>9</v>
      </c>
      <c r="B23" s="1064" t="s">
        <v>368</v>
      </c>
      <c r="C23" s="1065" t="s">
        <v>69</v>
      </c>
      <c r="D23" s="1066">
        <f>20.18*16</f>
        <v>322.88</v>
      </c>
      <c r="E23" s="1833"/>
      <c r="F23" s="1344">
        <f t="shared" si="0"/>
        <v>0</v>
      </c>
    </row>
    <row r="24" spans="1:10" ht="40.5" customHeight="1" x14ac:dyDescent="0.2">
      <c r="A24" s="1063">
        <f t="shared" si="1"/>
        <v>10</v>
      </c>
      <c r="B24" s="1064" t="s">
        <v>369</v>
      </c>
      <c r="C24" s="1065" t="s">
        <v>69</v>
      </c>
      <c r="D24" s="1066">
        <f>19.94*10.65</f>
        <v>212.36</v>
      </c>
      <c r="E24" s="1833"/>
      <c r="F24" s="1344">
        <f t="shared" si="0"/>
        <v>0</v>
      </c>
    </row>
    <row r="25" spans="1:10" ht="36" x14ac:dyDescent="0.2">
      <c r="A25" s="1063">
        <f t="shared" si="1"/>
        <v>11</v>
      </c>
      <c r="B25" s="1064" t="s">
        <v>370</v>
      </c>
      <c r="C25" s="1065" t="s">
        <v>69</v>
      </c>
      <c r="D25" s="1066">
        <f>4.23*9+3.66*109</f>
        <v>437.01</v>
      </c>
      <c r="E25" s="1833"/>
      <c r="F25" s="1344">
        <f t="shared" si="0"/>
        <v>0</v>
      </c>
    </row>
    <row r="26" spans="1:10" ht="36" x14ac:dyDescent="0.2">
      <c r="A26" s="1063">
        <f t="shared" si="1"/>
        <v>12</v>
      </c>
      <c r="B26" s="1064" t="s">
        <v>371</v>
      </c>
      <c r="C26" s="1065" t="s">
        <v>69</v>
      </c>
      <c r="D26" s="1066">
        <f>4.53*10.65</f>
        <v>48.24</v>
      </c>
      <c r="E26" s="1833"/>
      <c r="F26" s="1344">
        <f t="shared" si="0"/>
        <v>0</v>
      </c>
    </row>
    <row r="27" spans="1:10" ht="36" x14ac:dyDescent="0.2">
      <c r="A27" s="1063">
        <f t="shared" si="1"/>
        <v>13</v>
      </c>
      <c r="B27" s="1064" t="s">
        <v>372</v>
      </c>
      <c r="C27" s="1065" t="s">
        <v>69</v>
      </c>
      <c r="D27" s="1066">
        <f>4.8*16</f>
        <v>76.8</v>
      </c>
      <c r="E27" s="1833"/>
      <c r="F27" s="1344">
        <f t="shared" si="0"/>
        <v>0</v>
      </c>
    </row>
    <row r="28" spans="1:10" s="1008" customFormat="1" ht="60.75" thickBot="1" x14ac:dyDescent="0.25">
      <c r="A28" s="1068">
        <f>A27+1</f>
        <v>14</v>
      </c>
      <c r="B28" s="1069" t="s">
        <v>229</v>
      </c>
      <c r="C28" s="1070" t="s">
        <v>69</v>
      </c>
      <c r="D28" s="1071">
        <f>SUM(D21:D27)</f>
        <v>3259.78</v>
      </c>
      <c r="E28" s="1826"/>
      <c r="F28" s="1345">
        <f t="shared" si="0"/>
        <v>0</v>
      </c>
    </row>
    <row r="29" spans="1:10" ht="13.5" thickBot="1" x14ac:dyDescent="0.25">
      <c r="A29" s="1073" t="s">
        <v>373</v>
      </c>
      <c r="B29" s="1074"/>
      <c r="C29" s="1075"/>
      <c r="D29" s="1075"/>
      <c r="E29" s="1834"/>
      <c r="F29" s="1342"/>
    </row>
    <row r="30" spans="1:10" ht="13.5" thickBot="1" x14ac:dyDescent="0.25">
      <c r="A30" s="1076" t="s">
        <v>374</v>
      </c>
      <c r="B30" s="1077"/>
      <c r="C30" s="1077"/>
      <c r="D30" s="1077"/>
      <c r="E30" s="1835"/>
      <c r="F30" s="1337"/>
    </row>
    <row r="31" spans="1:10" ht="13.5" thickBot="1" x14ac:dyDescent="0.25">
      <c r="A31" s="1076" t="s">
        <v>375</v>
      </c>
      <c r="B31" s="1077"/>
      <c r="C31" s="1077"/>
      <c r="D31" s="1077"/>
      <c r="E31" s="1835"/>
      <c r="F31" s="1337"/>
    </row>
    <row r="32" spans="1:10" s="1008" customFormat="1" ht="36" x14ac:dyDescent="0.2">
      <c r="A32" s="1058">
        <f>A28+1</f>
        <v>15</v>
      </c>
      <c r="B32" s="1078" t="s">
        <v>376</v>
      </c>
      <c r="C32" s="1079" t="s">
        <v>71</v>
      </c>
      <c r="D32" s="1062">
        <f>10.97*109</f>
        <v>1195.73</v>
      </c>
      <c r="E32" s="1825"/>
      <c r="F32" s="1337">
        <f>ROUND(D32*E32,2)</f>
        <v>0</v>
      </c>
    </row>
    <row r="33" spans="1:8" s="1008" customFormat="1" ht="36" x14ac:dyDescent="0.2">
      <c r="A33" s="1063">
        <f t="shared" ref="A33" si="2">A32+1</f>
        <v>16</v>
      </c>
      <c r="B33" s="1080" t="s">
        <v>377</v>
      </c>
      <c r="C33" s="1081" t="s">
        <v>71</v>
      </c>
      <c r="D33" s="1067">
        <f>10.97*9</f>
        <v>98.73</v>
      </c>
      <c r="E33" s="1833"/>
      <c r="F33" s="1344">
        <f>ROUND(D33*E33,2)</f>
        <v>0</v>
      </c>
    </row>
    <row r="34" spans="1:8" s="1008" customFormat="1" ht="36.75" thickBot="1" x14ac:dyDescent="0.25">
      <c r="A34" s="1063">
        <f>A33+1</f>
        <v>17</v>
      </c>
      <c r="B34" s="1080" t="s">
        <v>378</v>
      </c>
      <c r="C34" s="1081" t="s">
        <v>71</v>
      </c>
      <c r="D34" s="1067">
        <f>11.03*16+10.97*10.65</f>
        <v>293.31</v>
      </c>
      <c r="E34" s="1826"/>
      <c r="F34" s="1345">
        <f>ROUND(D34*E34,2)</f>
        <v>0</v>
      </c>
    </row>
    <row r="35" spans="1:8" ht="13.5" thickBot="1" x14ac:dyDescent="0.25">
      <c r="A35" s="1076" t="s">
        <v>379</v>
      </c>
      <c r="B35" s="1077"/>
      <c r="C35" s="1077"/>
      <c r="D35" s="1077"/>
      <c r="E35" s="1835"/>
      <c r="F35" s="1337"/>
    </row>
    <row r="36" spans="1:8" s="1008" customFormat="1" ht="36" x14ac:dyDescent="0.2">
      <c r="A36" s="1058">
        <f>A32+1</f>
        <v>16</v>
      </c>
      <c r="B36" s="1078" t="s">
        <v>376</v>
      </c>
      <c r="C36" s="1079" t="s">
        <v>71</v>
      </c>
      <c r="D36" s="1062">
        <f>5.42*109</f>
        <v>590.78</v>
      </c>
      <c r="E36" s="1833"/>
      <c r="F36" s="1337">
        <f>ROUND(D36*E36,2)</f>
        <v>0</v>
      </c>
    </row>
    <row r="37" spans="1:8" s="1008" customFormat="1" ht="36" x14ac:dyDescent="0.2">
      <c r="A37" s="1063">
        <f t="shared" ref="A37" si="3">A36+1</f>
        <v>17</v>
      </c>
      <c r="B37" s="1080" t="s">
        <v>377</v>
      </c>
      <c r="C37" s="1081" t="s">
        <v>71</v>
      </c>
      <c r="D37" s="1067">
        <f>5.42*9</f>
        <v>48.78</v>
      </c>
      <c r="E37" s="1833"/>
      <c r="F37" s="1344">
        <f>ROUND(D37*E37,2)</f>
        <v>0</v>
      </c>
    </row>
    <row r="38" spans="1:8" s="1008" customFormat="1" ht="36.75" thickBot="1" x14ac:dyDescent="0.25">
      <c r="A38" s="1063">
        <f>A37+1</f>
        <v>18</v>
      </c>
      <c r="B38" s="1080" t="s">
        <v>378</v>
      </c>
      <c r="C38" s="1081" t="s">
        <v>71</v>
      </c>
      <c r="D38" s="1067">
        <f>5.53*16+5.42*10.65</f>
        <v>146.19999999999999</v>
      </c>
      <c r="E38" s="1833"/>
      <c r="F38" s="1345">
        <f>ROUND(D38*E38,2)</f>
        <v>0</v>
      </c>
    </row>
    <row r="39" spans="1:8" ht="13.5" thickBot="1" x14ac:dyDescent="0.25">
      <c r="A39" s="1076" t="s">
        <v>1553</v>
      </c>
      <c r="B39" s="1077"/>
      <c r="C39" s="1077"/>
      <c r="D39" s="1077"/>
      <c r="E39" s="1835"/>
      <c r="F39" s="1337"/>
    </row>
    <row r="40" spans="1:8" s="1008" customFormat="1" ht="36.75" thickBot="1" x14ac:dyDescent="0.25">
      <c r="A40" s="1058">
        <f>A36+1</f>
        <v>17</v>
      </c>
      <c r="B40" s="1078" t="s">
        <v>376</v>
      </c>
      <c r="C40" s="1079" t="s">
        <v>71</v>
      </c>
      <c r="D40" s="1062">
        <f>10.86*16</f>
        <v>173.76</v>
      </c>
      <c r="E40" s="1833"/>
      <c r="F40" s="1337">
        <f>ROUND(D40*E40,2)</f>
        <v>0</v>
      </c>
      <c r="H40" s="1082"/>
    </row>
    <row r="41" spans="1:8" ht="13.5" thickBot="1" x14ac:dyDescent="0.25">
      <c r="A41" s="1083" t="s">
        <v>380</v>
      </c>
      <c r="B41" s="1084"/>
      <c r="C41" s="1084"/>
      <c r="D41" s="1084"/>
      <c r="E41" s="1836"/>
      <c r="F41" s="1337"/>
    </row>
    <row r="42" spans="1:8" s="1008" customFormat="1" ht="36" x14ac:dyDescent="0.2">
      <c r="A42" s="1058">
        <f>A38+1</f>
        <v>19</v>
      </c>
      <c r="B42" s="1078" t="s">
        <v>381</v>
      </c>
      <c r="C42" s="1079" t="s">
        <v>69</v>
      </c>
      <c r="D42" s="1062">
        <f>0.8*9+0.8*16</f>
        <v>20</v>
      </c>
      <c r="E42" s="1825"/>
      <c r="F42" s="1337">
        <f>ROUND(D42*E42,2)</f>
        <v>0</v>
      </c>
      <c r="H42" s="210"/>
    </row>
    <row r="43" spans="1:8" s="1008" customFormat="1" ht="36" x14ac:dyDescent="0.2">
      <c r="A43" s="1063">
        <f t="shared" ref="A43" si="4">A42+1</f>
        <v>20</v>
      </c>
      <c r="B43" s="1085" t="s">
        <v>382</v>
      </c>
      <c r="C43" s="1081" t="s">
        <v>69</v>
      </c>
      <c r="D43" s="1067">
        <f>0.8*10.65</f>
        <v>8.52</v>
      </c>
      <c r="E43" s="1833"/>
      <c r="F43" s="1344">
        <f>ROUND(D43*E43,2)</f>
        <v>0</v>
      </c>
      <c r="H43" s="210"/>
    </row>
    <row r="44" spans="1:8" s="1008" customFormat="1" ht="36.75" thickBot="1" x14ac:dyDescent="0.25">
      <c r="A44" s="1063">
        <f>A43+1</f>
        <v>21</v>
      </c>
      <c r="B44" s="1085" t="s">
        <v>383</v>
      </c>
      <c r="C44" s="1081" t="s">
        <v>69</v>
      </c>
      <c r="D44" s="1067">
        <f>ROUND(0.03*SUM(D32:D34),0)</f>
        <v>48</v>
      </c>
      <c r="E44" s="1833"/>
      <c r="F44" s="1345">
        <f>ROUND(D44*E44,2)</f>
        <v>0</v>
      </c>
      <c r="H44" s="210"/>
    </row>
    <row r="45" spans="1:8" ht="13.5" thickBot="1" x14ac:dyDescent="0.25">
      <c r="A45" s="1086" t="s">
        <v>384</v>
      </c>
      <c r="B45" s="1087"/>
      <c r="C45" s="1087"/>
      <c r="D45" s="1087"/>
      <c r="E45" s="1837"/>
      <c r="F45" s="1337"/>
      <c r="H45" s="210"/>
    </row>
    <row r="46" spans="1:8" ht="13.5" thickBot="1" x14ac:dyDescent="0.25">
      <c r="A46" s="1076" t="s">
        <v>385</v>
      </c>
      <c r="B46" s="1077"/>
      <c r="C46" s="1077"/>
      <c r="D46" s="1077"/>
      <c r="E46" s="1835"/>
      <c r="F46" s="1337"/>
      <c r="H46" s="210"/>
    </row>
    <row r="47" spans="1:8" s="1008" customFormat="1" ht="48.75" thickBot="1" x14ac:dyDescent="0.25">
      <c r="A47" s="1058">
        <f>A44+1</f>
        <v>22</v>
      </c>
      <c r="B47" s="1088" t="s">
        <v>386</v>
      </c>
      <c r="C47" s="1079" t="s">
        <v>138</v>
      </c>
      <c r="D47" s="1062">
        <f>33*9+2*33*10.65+2*33*16</f>
        <v>2055.9</v>
      </c>
      <c r="E47" s="1833"/>
      <c r="F47" s="1337">
        <f>ROUND(D47*E47,2)</f>
        <v>0</v>
      </c>
      <c r="H47" s="210"/>
    </row>
    <row r="48" spans="1:8" ht="13.5" thickBot="1" x14ac:dyDescent="0.25">
      <c r="A48" s="1089" t="s">
        <v>387</v>
      </c>
      <c r="B48" s="1090"/>
      <c r="C48" s="1090"/>
      <c r="D48" s="1090"/>
      <c r="E48" s="1835"/>
      <c r="F48" s="1337"/>
    </row>
    <row r="49" spans="1:6" s="1008" customFormat="1" ht="48.75" thickBot="1" x14ac:dyDescent="0.25">
      <c r="A49" s="1058">
        <f>A47+1</f>
        <v>23</v>
      </c>
      <c r="B49" s="1088" t="s">
        <v>386</v>
      </c>
      <c r="C49" s="1079" t="s">
        <v>138</v>
      </c>
      <c r="D49" s="1062">
        <f>17*9+2*17*10.65+2*17*16</f>
        <v>1059.0999999999999</v>
      </c>
      <c r="E49" s="1833"/>
      <c r="F49" s="1337">
        <f>ROUND(D49*E49,2)</f>
        <v>0</v>
      </c>
    </row>
    <row r="50" spans="1:6" ht="13.5" thickBot="1" x14ac:dyDescent="0.25">
      <c r="A50" s="1089" t="s">
        <v>388</v>
      </c>
      <c r="B50" s="1090"/>
      <c r="C50" s="1090"/>
      <c r="D50" s="1090"/>
      <c r="E50" s="1835"/>
      <c r="F50" s="1337"/>
    </row>
    <row r="51" spans="1:6" s="1008" customFormat="1" ht="48.75" thickBot="1" x14ac:dyDescent="0.25">
      <c r="A51" s="1058">
        <f>A49+1</f>
        <v>24</v>
      </c>
      <c r="B51" s="1088" t="s">
        <v>386</v>
      </c>
      <c r="C51" s="1079" t="s">
        <v>138</v>
      </c>
      <c r="D51" s="1062">
        <f>27*16</f>
        <v>432</v>
      </c>
      <c r="E51" s="1833"/>
      <c r="F51" s="1337">
        <f>ROUND(D51*E51,2)</f>
        <v>0</v>
      </c>
    </row>
    <row r="52" spans="1:6" ht="13.5" thickBot="1" x14ac:dyDescent="0.25">
      <c r="A52" s="1076" t="s">
        <v>389</v>
      </c>
      <c r="B52" s="1077"/>
      <c r="C52" s="1077"/>
      <c r="D52" s="1077"/>
      <c r="E52" s="1835"/>
      <c r="F52" s="1337"/>
    </row>
    <row r="53" spans="1:6" ht="13.5" thickBot="1" x14ac:dyDescent="0.25">
      <c r="A53" s="1083" t="s">
        <v>390</v>
      </c>
      <c r="B53" s="1084"/>
      <c r="C53" s="1084"/>
      <c r="D53" s="1084"/>
      <c r="E53" s="1836"/>
      <c r="F53" s="1337"/>
    </row>
    <row r="54" spans="1:6" s="1008" customFormat="1" ht="24" x14ac:dyDescent="0.2">
      <c r="A54" s="1058">
        <f>A51+1</f>
        <v>25</v>
      </c>
      <c r="B54" s="1078" t="s">
        <v>391</v>
      </c>
      <c r="C54" s="1079" t="s">
        <v>39</v>
      </c>
      <c r="D54" s="1062">
        <f>ROUND(5.5*9+2.31*10.65,0)</f>
        <v>74</v>
      </c>
      <c r="E54" s="1825"/>
      <c r="F54" s="1337">
        <f>ROUND(D54*E54,2)</f>
        <v>0</v>
      </c>
    </row>
    <row r="55" spans="1:6" s="1008" customFormat="1" ht="24" x14ac:dyDescent="0.2">
      <c r="A55" s="1063">
        <f>A54+1</f>
        <v>26</v>
      </c>
      <c r="B55" s="1080" t="s">
        <v>392</v>
      </c>
      <c r="C55" s="1081" t="s">
        <v>39</v>
      </c>
      <c r="D55" s="1067">
        <f>8.5*16</f>
        <v>136</v>
      </c>
      <c r="E55" s="1833"/>
      <c r="F55" s="1344">
        <f>ROUND(D55*E55,2)</f>
        <v>0</v>
      </c>
    </row>
    <row r="56" spans="1:6" s="1008" customFormat="1" ht="48.75" thickBot="1" x14ac:dyDescent="0.25">
      <c r="A56" s="1063">
        <f t="shared" ref="A56" si="5">A55+1</f>
        <v>27</v>
      </c>
      <c r="B56" s="1088" t="s">
        <v>393</v>
      </c>
      <c r="C56" s="1091" t="s">
        <v>39</v>
      </c>
      <c r="D56" s="1072">
        <v>10</v>
      </c>
      <c r="E56" s="1826"/>
      <c r="F56" s="1345">
        <f>ROUND(D56*E56,2)</f>
        <v>0</v>
      </c>
    </row>
    <row r="57" spans="1:6" ht="13.5" thickBot="1" x14ac:dyDescent="0.25">
      <c r="A57" s="1092" t="s">
        <v>394</v>
      </c>
      <c r="B57" s="1093"/>
      <c r="C57" s="1093"/>
      <c r="D57" s="1093"/>
      <c r="E57" s="1838"/>
      <c r="F57" s="1337"/>
    </row>
    <row r="58" spans="1:6" s="1008" customFormat="1" ht="36" x14ac:dyDescent="0.2">
      <c r="A58" s="1058">
        <f>A56+1</f>
        <v>28</v>
      </c>
      <c r="B58" s="1078" t="s">
        <v>395</v>
      </c>
      <c r="C58" s="1079" t="s">
        <v>39</v>
      </c>
      <c r="D58" s="1062">
        <f>6</f>
        <v>6</v>
      </c>
      <c r="E58" s="1825"/>
      <c r="F58" s="1337">
        <f>ROUND(D58*E58,2)</f>
        <v>0</v>
      </c>
    </row>
    <row r="59" spans="1:6" ht="13.5" thickBot="1" x14ac:dyDescent="0.25">
      <c r="A59" s="1086" t="s">
        <v>396</v>
      </c>
      <c r="B59" s="1087"/>
      <c r="C59" s="1087"/>
      <c r="D59" s="1087"/>
      <c r="E59" s="1837"/>
      <c r="F59" s="1342"/>
    </row>
    <row r="60" spans="1:6" ht="13.5" thickBot="1" x14ac:dyDescent="0.25">
      <c r="A60" s="1076" t="s">
        <v>397</v>
      </c>
      <c r="B60" s="1077"/>
      <c r="C60" s="1077"/>
      <c r="D60" s="1077"/>
      <c r="E60" s="1835"/>
      <c r="F60" s="1337"/>
    </row>
    <row r="61" spans="1:6" s="1008" customFormat="1" ht="24.75" thickBot="1" x14ac:dyDescent="0.25">
      <c r="A61" s="1058">
        <f>A58+1</f>
        <v>29</v>
      </c>
      <c r="B61" s="1088" t="s">
        <v>398</v>
      </c>
      <c r="C61" s="1079" t="s">
        <v>138</v>
      </c>
      <c r="D61" s="1062">
        <f>131*9+101*10.65+131*16</f>
        <v>4350.6499999999996</v>
      </c>
      <c r="E61" s="1833"/>
      <c r="F61" s="1337">
        <f>ROUND(D61*E61,2)</f>
        <v>0</v>
      </c>
    </row>
    <row r="62" spans="1:6" ht="13.5" thickBot="1" x14ac:dyDescent="0.25">
      <c r="A62" s="1083" t="s">
        <v>399</v>
      </c>
      <c r="B62" s="1084"/>
      <c r="C62" s="1084"/>
      <c r="D62" s="1084"/>
      <c r="E62" s="1836"/>
      <c r="F62" s="1337"/>
    </row>
    <row r="63" spans="1:6" s="1008" customFormat="1" ht="48" x14ac:dyDescent="0.2">
      <c r="A63" s="1058">
        <f>A61+1</f>
        <v>30</v>
      </c>
      <c r="B63" s="1078" t="s">
        <v>400</v>
      </c>
      <c r="C63" s="1079" t="s">
        <v>39</v>
      </c>
      <c r="D63" s="1062">
        <f>19*9</f>
        <v>171</v>
      </c>
      <c r="E63" s="1825"/>
      <c r="F63" s="1337">
        <f>ROUND(D63*E63,2)</f>
        <v>0</v>
      </c>
    </row>
    <row r="64" spans="1:6" s="1008" customFormat="1" ht="48.75" thickBot="1" x14ac:dyDescent="0.25">
      <c r="A64" s="1063">
        <f>A63+1</f>
        <v>31</v>
      </c>
      <c r="B64" s="1088" t="s">
        <v>401</v>
      </c>
      <c r="C64" s="1091" t="s">
        <v>39</v>
      </c>
      <c r="D64" s="1072">
        <f>15*16</f>
        <v>240</v>
      </c>
      <c r="E64" s="1826"/>
      <c r="F64" s="1345">
        <f>ROUND(D64*E64,2)</f>
        <v>0</v>
      </c>
    </row>
    <row r="65" spans="1:6" ht="13.5" thickBot="1" x14ac:dyDescent="0.25">
      <c r="A65" s="1086" t="s">
        <v>402</v>
      </c>
      <c r="B65" s="1087"/>
      <c r="C65" s="1087"/>
      <c r="D65" s="1087"/>
      <c r="E65" s="1837"/>
      <c r="F65" s="1337"/>
    </row>
    <row r="66" spans="1:6" s="1008" customFormat="1" ht="72.75" thickBot="1" x14ac:dyDescent="0.25">
      <c r="A66" s="1058">
        <f>A64+1</f>
        <v>32</v>
      </c>
      <c r="B66" s="1088" t="s">
        <v>403</v>
      </c>
      <c r="C66" s="1079" t="s">
        <v>39</v>
      </c>
      <c r="D66" s="1062">
        <f>15</f>
        <v>15</v>
      </c>
      <c r="E66" s="1833"/>
      <c r="F66" s="1337">
        <f>ROUND(D66*E66,2)</f>
        <v>0</v>
      </c>
    </row>
    <row r="67" spans="1:6" ht="13.5" thickBot="1" x14ac:dyDescent="0.25">
      <c r="A67" s="1073" t="s">
        <v>404</v>
      </c>
      <c r="B67" s="1074"/>
      <c r="C67" s="1075"/>
      <c r="D67" s="1075"/>
      <c r="E67" s="1834"/>
      <c r="F67" s="1342"/>
    </row>
    <row r="68" spans="1:6" ht="13.5" thickBot="1" x14ac:dyDescent="0.25">
      <c r="A68" s="1083" t="s">
        <v>405</v>
      </c>
      <c r="B68" s="1084"/>
      <c r="C68" s="1084"/>
      <c r="D68" s="1084"/>
      <c r="E68" s="1836"/>
      <c r="F68" s="1337"/>
    </row>
    <row r="69" spans="1:6" s="1008" customFormat="1" ht="48.75" thickBot="1" x14ac:dyDescent="0.25">
      <c r="A69" s="1058">
        <f>A66+1</f>
        <v>33</v>
      </c>
      <c r="B69" s="1078" t="s">
        <v>406</v>
      </c>
      <c r="C69" s="1079" t="s">
        <v>235</v>
      </c>
      <c r="D69" s="1062">
        <f>(144.64-48)/25*30</f>
        <v>115.97</v>
      </c>
      <c r="E69" s="1825"/>
      <c r="F69" s="1337">
        <f>ROUND(D69*E69,2)</f>
        <v>0</v>
      </c>
    </row>
    <row r="70" spans="1:6" s="1008" customFormat="1" ht="72.75" thickBot="1" x14ac:dyDescent="0.25">
      <c r="A70" s="1068">
        <f>A69+1</f>
        <v>34</v>
      </c>
      <c r="B70" s="1094" t="s">
        <v>407</v>
      </c>
      <c r="C70" s="1091" t="s">
        <v>235</v>
      </c>
      <c r="D70" s="1072">
        <f>48/25*30</f>
        <v>57.6</v>
      </c>
      <c r="E70" s="1826"/>
      <c r="F70" s="1337">
        <f>ROUND(D70*E70,2)</f>
        <v>0</v>
      </c>
    </row>
    <row r="71" spans="1:6" ht="13.5" thickBot="1" x14ac:dyDescent="0.25">
      <c r="A71" s="1092" t="s">
        <v>408</v>
      </c>
      <c r="B71" s="1093"/>
      <c r="C71" s="1093"/>
      <c r="D71" s="1093"/>
      <c r="E71" s="1838"/>
      <c r="F71" s="1337"/>
    </row>
    <row r="72" spans="1:6" s="1008" customFormat="1" ht="72" x14ac:dyDescent="0.2">
      <c r="A72" s="1058">
        <f>A70+1</f>
        <v>35</v>
      </c>
      <c r="B72" s="1078" t="s">
        <v>409</v>
      </c>
      <c r="C72" s="1079" t="s">
        <v>235</v>
      </c>
      <c r="D72" s="1062">
        <f>48/14*20*15</f>
        <v>1028.57</v>
      </c>
      <c r="E72" s="1825"/>
      <c r="F72" s="1337">
        <f t="shared" ref="F72:F77" si="6">ROUND(D72*E72,2)</f>
        <v>0</v>
      </c>
    </row>
    <row r="73" spans="1:6" s="1008" customFormat="1" ht="60" x14ac:dyDescent="0.2">
      <c r="A73" s="1063">
        <f>A72+1</f>
        <v>36</v>
      </c>
      <c r="B73" s="1080" t="s">
        <v>410</v>
      </c>
      <c r="C73" s="1081" t="s">
        <v>235</v>
      </c>
      <c r="D73" s="1067">
        <f>48/14*20*15</f>
        <v>1028.57</v>
      </c>
      <c r="E73" s="1833"/>
      <c r="F73" s="1344">
        <f t="shared" si="6"/>
        <v>0</v>
      </c>
    </row>
    <row r="74" spans="1:6" s="1008" customFormat="1" ht="72" x14ac:dyDescent="0.2">
      <c r="A74" s="1063">
        <f t="shared" ref="A74:A77" si="7">A73+1</f>
        <v>37</v>
      </c>
      <c r="B74" s="1080" t="s">
        <v>411</v>
      </c>
      <c r="C74" s="1081" t="s">
        <v>412</v>
      </c>
      <c r="D74" s="1067">
        <f>(0.9*D72)*0.01</f>
        <v>9.26</v>
      </c>
      <c r="E74" s="1833"/>
      <c r="F74" s="1344">
        <f t="shared" si="6"/>
        <v>0</v>
      </c>
    </row>
    <row r="75" spans="1:6" s="1008" customFormat="1" ht="144" x14ac:dyDescent="0.2">
      <c r="A75" s="1063">
        <f t="shared" si="7"/>
        <v>38</v>
      </c>
      <c r="B75" s="1080" t="s">
        <v>413</v>
      </c>
      <c r="C75" s="1081" t="s">
        <v>412</v>
      </c>
      <c r="D75" s="1067">
        <f>D74*0.1</f>
        <v>0.93</v>
      </c>
      <c r="E75" s="1833"/>
      <c r="F75" s="1344">
        <f t="shared" si="6"/>
        <v>0</v>
      </c>
    </row>
    <row r="76" spans="1:6" s="1008" customFormat="1" ht="84" x14ac:dyDescent="0.2">
      <c r="A76" s="1063">
        <f t="shared" si="7"/>
        <v>39</v>
      </c>
      <c r="B76" s="1095" t="s">
        <v>414</v>
      </c>
      <c r="C76" s="1096" t="s">
        <v>138</v>
      </c>
      <c r="D76" s="1097">
        <f>(0.1*D72)*0.86</f>
        <v>88.46</v>
      </c>
      <c r="E76" s="1833"/>
      <c r="F76" s="1344">
        <f t="shared" si="6"/>
        <v>0</v>
      </c>
    </row>
    <row r="77" spans="1:6" s="1008" customFormat="1" ht="60" x14ac:dyDescent="0.2">
      <c r="A77" s="1124">
        <f t="shared" si="7"/>
        <v>40</v>
      </c>
      <c r="B77" s="1095" t="s">
        <v>415</v>
      </c>
      <c r="C77" s="1096" t="s">
        <v>39</v>
      </c>
      <c r="D77" s="1097">
        <v>8</v>
      </c>
      <c r="E77" s="1833"/>
      <c r="F77" s="1344">
        <f t="shared" si="6"/>
        <v>0</v>
      </c>
    </row>
    <row r="78" spans="1:6" s="1008" customFormat="1" x14ac:dyDescent="0.2">
      <c r="A78" s="1258"/>
      <c r="B78" s="1259"/>
      <c r="C78" s="1260"/>
      <c r="D78" s="1261"/>
      <c r="E78" s="1839"/>
      <c r="F78" s="1339"/>
    </row>
    <row r="79" spans="1:6" s="1008" customFormat="1" ht="13.5" thickBot="1" x14ac:dyDescent="0.25">
      <c r="A79" s="1266"/>
      <c r="B79" s="1267" t="s">
        <v>1571</v>
      </c>
      <c r="C79" s="1268"/>
      <c r="D79" s="1269"/>
      <c r="E79" s="1840"/>
      <c r="F79" s="1340">
        <f>ROUND(SUM(F19:F77),2)</f>
        <v>0</v>
      </c>
    </row>
    <row r="80" spans="1:6" s="1008" customFormat="1" ht="14.25" thickTop="1" thickBot="1" x14ac:dyDescent="0.25">
      <c r="A80" s="1262"/>
      <c r="B80" s="1263"/>
      <c r="C80" s="1264"/>
      <c r="D80" s="1265"/>
      <c r="E80" s="1841"/>
      <c r="F80" s="1341"/>
    </row>
    <row r="81" spans="1:8" s="1008" customFormat="1" x14ac:dyDescent="0.2">
      <c r="A81" s="1046" t="s">
        <v>416</v>
      </c>
      <c r="B81" s="1103"/>
      <c r="C81" s="1103"/>
      <c r="D81" s="1103"/>
      <c r="E81" s="1842"/>
      <c r="F81" s="1343"/>
    </row>
    <row r="82" spans="1:8" s="1008" customFormat="1" ht="84" x14ac:dyDescent="0.2">
      <c r="A82" s="1098">
        <f>A77+1</f>
        <v>41</v>
      </c>
      <c r="B82" s="1099" t="s">
        <v>417</v>
      </c>
      <c r="C82" s="1100" t="s">
        <v>39</v>
      </c>
      <c r="D82" s="1101">
        <v>7</v>
      </c>
      <c r="E82" s="1833"/>
      <c r="F82" s="1344">
        <f>ROUND(D82*E82,2)</f>
        <v>0</v>
      </c>
      <c r="H82" s="1043"/>
    </row>
    <row r="83" spans="1:8" s="1008" customFormat="1" ht="84" x14ac:dyDescent="0.2">
      <c r="A83" s="1124">
        <f t="shared" ref="A83" si="8">A82+1</f>
        <v>42</v>
      </c>
      <c r="B83" s="1270" t="s">
        <v>418</v>
      </c>
      <c r="C83" s="1271" t="s">
        <v>39</v>
      </c>
      <c r="D83" s="1272">
        <v>13</v>
      </c>
      <c r="E83" s="1833"/>
      <c r="F83" s="1344">
        <f>ROUND(D83*E83,2)</f>
        <v>0</v>
      </c>
      <c r="H83" s="1043"/>
    </row>
    <row r="84" spans="1:8" s="1008" customFormat="1" x14ac:dyDescent="0.2">
      <c r="A84" s="1258"/>
      <c r="B84" s="1273"/>
      <c r="C84" s="1249"/>
      <c r="D84" s="1250"/>
      <c r="E84" s="1829"/>
      <c r="F84" s="1339"/>
      <c r="H84" s="1043"/>
    </row>
    <row r="85" spans="1:8" s="1008" customFormat="1" ht="13.5" thickBot="1" x14ac:dyDescent="0.25">
      <c r="A85" s="1266"/>
      <c r="B85" s="1275" t="s">
        <v>1572</v>
      </c>
      <c r="C85" s="1256"/>
      <c r="D85" s="1257"/>
      <c r="E85" s="1830"/>
      <c r="F85" s="1340">
        <f>ROUND(SUM(F82:F83),2)</f>
        <v>0</v>
      </c>
      <c r="H85" s="1043"/>
    </row>
    <row r="86" spans="1:8" s="1008" customFormat="1" ht="14.25" thickTop="1" thickBot="1" x14ac:dyDescent="0.25">
      <c r="A86" s="1262"/>
      <c r="B86" s="1274"/>
      <c r="C86" s="1252"/>
      <c r="D86" s="1253"/>
      <c r="E86" s="1831"/>
      <c r="F86" s="1341"/>
      <c r="H86" s="1043"/>
    </row>
    <row r="87" spans="1:8" s="1008" customFormat="1" ht="13.5" thickBot="1" x14ac:dyDescent="0.25">
      <c r="A87" s="1046" t="s">
        <v>419</v>
      </c>
      <c r="B87" s="1103"/>
      <c r="C87" s="1103"/>
      <c r="D87" s="1103"/>
      <c r="E87" s="1842"/>
      <c r="F87" s="1343"/>
    </row>
    <row r="88" spans="1:8" s="1603" customFormat="1" ht="24" x14ac:dyDescent="0.2">
      <c r="A88" s="1598">
        <f>A83+1</f>
        <v>43</v>
      </c>
      <c r="B88" s="1599" t="s">
        <v>1554</v>
      </c>
      <c r="C88" s="1600" t="s">
        <v>39</v>
      </c>
      <c r="D88" s="1601">
        <v>1</v>
      </c>
      <c r="E88" s="1825"/>
      <c r="F88" s="1602">
        <f>ROUND(D88*E88,2)</f>
        <v>0</v>
      </c>
    </row>
    <row r="89" spans="1:8" s="1008" customFormat="1" ht="26.25" customHeight="1" x14ac:dyDescent="0.2">
      <c r="A89" s="1098">
        <f>A88+1</f>
        <v>44</v>
      </c>
      <c r="B89" s="1099" t="s">
        <v>326</v>
      </c>
      <c r="C89" s="1100" t="s">
        <v>327</v>
      </c>
      <c r="D89" s="1101">
        <v>10</v>
      </c>
      <c r="E89" s="1833"/>
      <c r="F89" s="1344">
        <f>ROUND(D89*E89,2)</f>
        <v>0</v>
      </c>
    </row>
    <row r="90" spans="1:8" s="1008" customFormat="1" ht="51" customHeight="1" x14ac:dyDescent="0.2">
      <c r="A90" s="1098">
        <f>A89+1</f>
        <v>45</v>
      </c>
      <c r="B90" s="1099" t="s">
        <v>328</v>
      </c>
      <c r="C90" s="1100" t="s">
        <v>327</v>
      </c>
      <c r="D90" s="1101">
        <v>10</v>
      </c>
      <c r="E90" s="1833"/>
      <c r="F90" s="1344">
        <f>ROUND(D90*E90,2)</f>
        <v>0</v>
      </c>
    </row>
    <row r="91" spans="1:8" s="1008" customFormat="1" ht="13.5" thickBot="1" x14ac:dyDescent="0.25">
      <c r="A91" s="1054">
        <f>A90+1</f>
        <v>46</v>
      </c>
      <c r="B91" s="1102" t="s">
        <v>329</v>
      </c>
      <c r="C91" s="1055" t="s">
        <v>39</v>
      </c>
      <c r="D91" s="1056">
        <v>1</v>
      </c>
      <c r="E91" s="1833"/>
      <c r="F91" s="1345">
        <f>ROUND(D91*E91,2)</f>
        <v>0</v>
      </c>
    </row>
    <row r="92" spans="1:8" x14ac:dyDescent="0.2">
      <c r="A92" s="1276"/>
      <c r="B92" s="1277"/>
      <c r="C92" s="1038"/>
      <c r="D92" s="1278"/>
      <c r="E92" s="1843"/>
      <c r="F92" s="1346"/>
    </row>
    <row r="93" spans="1:8" ht="13.5" thickBot="1" x14ac:dyDescent="0.25">
      <c r="A93" s="1279"/>
      <c r="B93" s="1280" t="s">
        <v>1570</v>
      </c>
      <c r="C93" s="1281"/>
      <c r="D93" s="1282"/>
      <c r="E93" s="1844"/>
      <c r="F93" s="1347">
        <f>ROUND(SUM(F88:F91),2)</f>
        <v>0</v>
      </c>
    </row>
    <row r="94" spans="1:8" ht="13.5" thickTop="1" x14ac:dyDescent="0.2">
      <c r="A94" s="1104"/>
      <c r="B94" s="1105"/>
      <c r="C94" s="1104"/>
      <c r="D94" s="1104"/>
      <c r="E94" s="1845"/>
      <c r="F94" s="1106"/>
    </row>
    <row r="95" spans="1:8" x14ac:dyDescent="0.2">
      <c r="A95" s="1034"/>
      <c r="B95" s="1105"/>
      <c r="C95" s="1034"/>
      <c r="D95" s="1034"/>
      <c r="E95" s="1846"/>
      <c r="F95" s="1034"/>
    </row>
    <row r="96" spans="1:8" x14ac:dyDescent="0.2">
      <c r="A96" s="1034"/>
      <c r="B96" s="1105"/>
      <c r="C96" s="1034"/>
    </row>
  </sheetData>
  <sheetProtection algorithmName="SHA-512" hashValue="P32qW79OdUrvadcLLvjE2GqsF5Edl4vnPD63c6OnkwaY8OtvCUIYFsFnnaPuh7F6e09d0GdIyljP9D5ZrcWrdQ==" saltValue="gtdZ+2cJ6qpiExTPZLyTDg==" spinCount="100000" sheet="1" objects="1" scenarios="1"/>
  <pageMargins left="0.70866141732283472" right="0.70866141732283472" top="0.74803149606299213" bottom="0.74803149606299213" header="0.31496062992125984" footer="0.31496062992125984"/>
  <pageSetup paperSize="9" scale="98" fitToHeight="0" orientation="portrait" r:id="rId1"/>
  <headerFooter>
    <oddFooter>&amp;R&amp;P od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34"/>
  <sheetViews>
    <sheetView view="pageBreakPreview" zoomScaleNormal="115" zoomScaleSheetLayoutView="100" workbookViewId="0"/>
  </sheetViews>
  <sheetFormatPr defaultColWidth="9.140625" defaultRowHeight="12.75" x14ac:dyDescent="0.2"/>
  <cols>
    <col min="1" max="1" width="11.7109375" style="1005" customWidth="1"/>
    <col min="2" max="2" width="14" style="1005" customWidth="1"/>
    <col min="3" max="5" width="9.140625" style="1005"/>
    <col min="6" max="6" width="7.28515625" style="1005" customWidth="1"/>
    <col min="7" max="7" width="11.42578125" style="1005" customWidth="1"/>
    <col min="8" max="8" width="12.85546875" style="1005" customWidth="1"/>
    <col min="9" max="16384" width="9.140625" style="1005"/>
  </cols>
  <sheetData>
    <row r="1" spans="1:7" ht="18" x14ac:dyDescent="0.25">
      <c r="A1" s="1004" t="s">
        <v>1445</v>
      </c>
    </row>
    <row r="3" spans="1:7" ht="18" x14ac:dyDescent="0.25">
      <c r="A3" s="1004" t="s">
        <v>490</v>
      </c>
      <c r="B3" s="1004" t="s">
        <v>491</v>
      </c>
    </row>
    <row r="4" spans="1:7" ht="18" customHeight="1" x14ac:dyDescent="0.25">
      <c r="B4" s="1004"/>
      <c r="C4" s="1004"/>
    </row>
    <row r="5" spans="1:7" ht="18" customHeight="1" x14ac:dyDescent="0.25">
      <c r="A5" s="1004" t="s">
        <v>423</v>
      </c>
      <c r="B5" s="1007"/>
      <c r="C5" s="1007"/>
    </row>
    <row r="6" spans="1:7" ht="18" customHeight="1" x14ac:dyDescent="0.25">
      <c r="A6" s="1004" t="s">
        <v>424</v>
      </c>
      <c r="B6" s="1007"/>
      <c r="C6" s="1007"/>
    </row>
    <row r="7" spans="1:7" ht="18" customHeight="1" x14ac:dyDescent="0.25">
      <c r="A7" s="1004" t="s">
        <v>176</v>
      </c>
      <c r="B7" s="1007"/>
      <c r="C7" s="1007"/>
    </row>
    <row r="8" spans="1:7" ht="12" customHeight="1" x14ac:dyDescent="0.2">
      <c r="A8" s="1008"/>
      <c r="B8" s="1008"/>
      <c r="C8" s="1008"/>
      <c r="D8" s="1008"/>
      <c r="E8" s="1008"/>
      <c r="F8" s="1008"/>
    </row>
    <row r="10" spans="1:7" x14ac:dyDescent="0.2">
      <c r="A10" s="1009" t="s">
        <v>174</v>
      </c>
    </row>
    <row r="11" spans="1:7" ht="13.5" thickBot="1" x14ac:dyDescent="0.25"/>
    <row r="12" spans="1:7" s="1008" customFormat="1" x14ac:dyDescent="0.2">
      <c r="B12" s="1010" t="s">
        <v>20</v>
      </c>
      <c r="C12" s="1011" t="s">
        <v>1545</v>
      </c>
      <c r="D12" s="1012"/>
      <c r="E12" s="1012"/>
      <c r="F12" s="1012"/>
      <c r="G12" s="1013">
        <f>'3.4'!F13</f>
        <v>0</v>
      </c>
    </row>
    <row r="13" spans="1:7" s="1008" customFormat="1" x14ac:dyDescent="0.2">
      <c r="B13" s="1014"/>
      <c r="C13" s="1015"/>
      <c r="D13" s="1016"/>
      <c r="E13" s="1016"/>
      <c r="F13" s="1016"/>
      <c r="G13" s="1017"/>
    </row>
    <row r="14" spans="1:7" s="1008" customFormat="1" x14ac:dyDescent="0.2">
      <c r="B14" s="1107" t="s">
        <v>77</v>
      </c>
      <c r="C14" s="1016" t="s">
        <v>11</v>
      </c>
      <c r="D14" s="1016"/>
      <c r="E14" s="1016"/>
      <c r="F14" s="1016"/>
      <c r="G14" s="1017">
        <f>'3.4'!F39</f>
        <v>0</v>
      </c>
    </row>
    <row r="15" spans="1:7" s="1008" customFormat="1" x14ac:dyDescent="0.2">
      <c r="B15" s="1108"/>
      <c r="C15" s="1026"/>
      <c r="D15" s="1026"/>
      <c r="E15" s="1026"/>
      <c r="F15" s="1026"/>
      <c r="G15" s="1027"/>
    </row>
    <row r="16" spans="1:7" s="1008" customFormat="1" x14ac:dyDescent="0.2">
      <c r="B16" s="1107" t="s">
        <v>84</v>
      </c>
      <c r="C16" s="1016" t="s">
        <v>425</v>
      </c>
      <c r="D16" s="1016"/>
      <c r="E16" s="1016"/>
      <c r="F16" s="1016"/>
      <c r="G16" s="1017">
        <f>'3.4'!F80</f>
        <v>0</v>
      </c>
    </row>
    <row r="17" spans="2:8" s="1008" customFormat="1" x14ac:dyDescent="0.2">
      <c r="B17" s="1108"/>
      <c r="C17" s="1026"/>
      <c r="D17" s="1026"/>
      <c r="E17" s="1026"/>
      <c r="F17" s="1026"/>
      <c r="G17" s="1027"/>
    </row>
    <row r="18" spans="2:8" s="1008" customFormat="1" ht="13.5" thickBot="1" x14ac:dyDescent="0.25">
      <c r="B18" s="1109" t="s">
        <v>86</v>
      </c>
      <c r="C18" s="1023" t="s">
        <v>162</v>
      </c>
      <c r="D18" s="1023"/>
      <c r="E18" s="1023"/>
      <c r="F18" s="1023"/>
      <c r="G18" s="1024">
        <f>'3.4'!F88</f>
        <v>0</v>
      </c>
    </row>
    <row r="19" spans="2:8" s="1008" customFormat="1" ht="13.5" thickBot="1" x14ac:dyDescent="0.25">
      <c r="B19" s="1108"/>
      <c r="C19" s="1110"/>
      <c r="D19" s="1110"/>
      <c r="E19" s="1110"/>
      <c r="F19" s="1110"/>
      <c r="G19" s="1027"/>
    </row>
    <row r="20" spans="2:8" s="1008" customFormat="1" ht="13.5" thickBot="1" x14ac:dyDescent="0.25">
      <c r="B20" s="1028" t="s">
        <v>161</v>
      </c>
      <c r="C20" s="1029"/>
      <c r="D20" s="1030"/>
      <c r="E20" s="1030"/>
      <c r="F20" s="1030"/>
      <c r="G20" s="1031">
        <f>ROUND(SUM(G12:G18),2)</f>
        <v>0</v>
      </c>
    </row>
    <row r="25" spans="2:8" x14ac:dyDescent="0.2">
      <c r="B25" s="1032"/>
      <c r="C25" s="1032"/>
      <c r="D25" s="1032"/>
      <c r="E25" s="1032"/>
      <c r="F25" s="1032"/>
      <c r="G25" s="1033"/>
    </row>
    <row r="26" spans="2:8" x14ac:dyDescent="0.2">
      <c r="B26" s="1034"/>
      <c r="C26" s="1034"/>
      <c r="D26" s="1034"/>
      <c r="E26" s="1034"/>
      <c r="F26" s="1034"/>
      <c r="G26" s="1034"/>
      <c r="H26" s="1034"/>
    </row>
    <row r="27" spans="2:8" x14ac:dyDescent="0.2">
      <c r="B27" s="1034"/>
      <c r="C27" s="1034"/>
      <c r="D27" s="1034"/>
      <c r="E27" s="1034"/>
      <c r="F27" s="1034"/>
      <c r="G27" s="1034"/>
      <c r="H27" s="1034"/>
    </row>
    <row r="34" spans="1:1" x14ac:dyDescent="0.2">
      <c r="A34" s="1035"/>
    </row>
  </sheetData>
  <sheetProtection algorithmName="SHA-512" hashValue="a1fWz18EImwzICSTYUH8NScfLyB+BIkcEfER1+wnH2/ee+1c3TzRIQRBtHQ4jBVNnbYWpzB/Ge1shgoDfRBlnQ==" saltValue="HJI6fEqvp5Fi7H93ZWO54g==" spinCount="100000" sheet="1" objects="1" scenarios="1"/>
  <pageMargins left="0.70866141732283472" right="0.70866141732283472" top="0.74803149606299213" bottom="0.74803149606299213" header="0.31496062992125984" footer="0.31496062992125984"/>
  <pageSetup paperSize="9" fitToHeight="0" orientation="portrait" r:id="rId1"/>
  <headerFooter>
    <oddFooter>&amp;R&amp;P od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K90"/>
  <sheetViews>
    <sheetView view="pageBreakPreview" zoomScaleNormal="100" zoomScaleSheetLayoutView="100" workbookViewId="0"/>
  </sheetViews>
  <sheetFormatPr defaultColWidth="9.140625" defaultRowHeight="12.75" x14ac:dyDescent="0.2"/>
  <cols>
    <col min="1" max="1" width="9.140625" style="1008" customWidth="1"/>
    <col min="2" max="2" width="28.42578125" style="1008" customWidth="1"/>
    <col min="3" max="3" width="10.7109375" style="1008" customWidth="1"/>
    <col min="4" max="4" width="12.42578125" style="1008" customWidth="1"/>
    <col min="5" max="5" width="16" style="1847" customWidth="1"/>
    <col min="6" max="6" width="14.85546875" style="1008" customWidth="1"/>
    <col min="7" max="16384" width="9.140625" style="1008"/>
  </cols>
  <sheetData>
    <row r="1" spans="1:11" x14ac:dyDescent="0.2">
      <c r="A1" s="1819" t="s">
        <v>490</v>
      </c>
      <c r="B1" s="1819" t="s">
        <v>491</v>
      </c>
    </row>
    <row r="2" spans="1:11" ht="13.5" thickBot="1" x14ac:dyDescent="0.25"/>
    <row r="3" spans="1:11" ht="13.5" thickBot="1" x14ac:dyDescent="0.25">
      <c r="A3" s="1111" t="s">
        <v>178</v>
      </c>
      <c r="B3" s="1112" t="s">
        <v>179</v>
      </c>
      <c r="C3" s="1113" t="s">
        <v>28</v>
      </c>
      <c r="D3" s="1113" t="s">
        <v>29</v>
      </c>
      <c r="E3" s="1848" t="s">
        <v>180</v>
      </c>
      <c r="F3" s="1114" t="s">
        <v>181</v>
      </c>
    </row>
    <row r="4" spans="1:11" ht="13.5" thickBot="1" x14ac:dyDescent="0.25">
      <c r="A4" s="1046" t="s">
        <v>190</v>
      </c>
      <c r="B4" s="1047"/>
      <c r="C4" s="1047"/>
      <c r="D4" s="1047"/>
      <c r="E4" s="1827"/>
      <c r="F4" s="1048"/>
    </row>
    <row r="5" spans="1:11" ht="13.5" thickBot="1" x14ac:dyDescent="0.25">
      <c r="A5" s="1040" t="s">
        <v>355</v>
      </c>
      <c r="B5" s="1049"/>
      <c r="C5" s="1049"/>
      <c r="D5" s="1049"/>
      <c r="E5" s="1824"/>
      <c r="F5" s="1050"/>
    </row>
    <row r="6" spans="1:11" s="1603" customFormat="1" ht="38.25" x14ac:dyDescent="0.2">
      <c r="A6" s="1051">
        <v>1</v>
      </c>
      <c r="B6" s="1625" t="s">
        <v>426</v>
      </c>
      <c r="C6" s="1052" t="s">
        <v>39</v>
      </c>
      <c r="D6" s="1053">
        <v>1</v>
      </c>
      <c r="E6" s="1825"/>
      <c r="F6" s="1348">
        <f>ROUND(D6*E6,2)</f>
        <v>0</v>
      </c>
    </row>
    <row r="7" spans="1:11" s="1603" customFormat="1" ht="13.5" thickBot="1" x14ac:dyDescent="0.25">
      <c r="A7" s="1046" t="s">
        <v>358</v>
      </c>
      <c r="B7" s="1047"/>
      <c r="C7" s="1047"/>
      <c r="D7" s="1047"/>
      <c r="E7" s="1827"/>
      <c r="F7" s="1595"/>
    </row>
    <row r="8" spans="1:11" s="1603" customFormat="1" ht="76.5" x14ac:dyDescent="0.2">
      <c r="A8" s="1051">
        <v>2</v>
      </c>
      <c r="B8" s="1629" t="s">
        <v>427</v>
      </c>
      <c r="C8" s="1052" t="s">
        <v>39</v>
      </c>
      <c r="D8" s="1053">
        <v>1</v>
      </c>
      <c r="E8" s="1825"/>
      <c r="F8" s="1348">
        <f>ROUND(D8*E8,2)</f>
        <v>0</v>
      </c>
      <c r="K8" s="1630"/>
    </row>
    <row r="9" spans="1:11" s="1603" customFormat="1" ht="51.75" thickBot="1" x14ac:dyDescent="0.25">
      <c r="A9" s="1054">
        <v>3</v>
      </c>
      <c r="B9" s="1631" t="s">
        <v>428</v>
      </c>
      <c r="C9" s="1055" t="s">
        <v>39</v>
      </c>
      <c r="D9" s="1056">
        <v>1</v>
      </c>
      <c r="E9" s="1826"/>
      <c r="F9" s="1638">
        <f>ROUND(D9*E9,2)</f>
        <v>0</v>
      </c>
    </row>
    <row r="10" spans="1:11" s="1603" customFormat="1" ht="13.5" thickBot="1" x14ac:dyDescent="0.25">
      <c r="A10" s="1046" t="s">
        <v>361</v>
      </c>
      <c r="B10" s="1047"/>
      <c r="C10" s="1047"/>
      <c r="D10" s="1047"/>
      <c r="E10" s="1827"/>
      <c r="F10" s="1348"/>
    </row>
    <row r="11" spans="1:11" s="1603" customFormat="1" ht="63.75" x14ac:dyDescent="0.2">
      <c r="A11" s="1633">
        <v>4</v>
      </c>
      <c r="B11" s="1634" t="s">
        <v>429</v>
      </c>
      <c r="C11" s="1635" t="s">
        <v>39</v>
      </c>
      <c r="D11" s="1636">
        <v>1</v>
      </c>
      <c r="E11" s="1825"/>
      <c r="F11" s="1639">
        <f>ROUND(D11*E11,2)</f>
        <v>0</v>
      </c>
      <c r="K11" s="1630"/>
    </row>
    <row r="12" spans="1:11" x14ac:dyDescent="0.2">
      <c r="A12" s="1247"/>
      <c r="B12" s="1248"/>
      <c r="C12" s="1249"/>
      <c r="D12" s="1250"/>
      <c r="E12" s="1829"/>
      <c r="F12" s="1349"/>
      <c r="K12" s="1043"/>
    </row>
    <row r="13" spans="1:11" ht="13.5" thickBot="1" x14ac:dyDescent="0.25">
      <c r="A13" s="1254"/>
      <c r="B13" s="1255" t="s">
        <v>1558</v>
      </c>
      <c r="C13" s="1256"/>
      <c r="D13" s="1257"/>
      <c r="E13" s="1830"/>
      <c r="F13" s="1350">
        <f>ROUND(SUM(F6:F11),2)</f>
        <v>0</v>
      </c>
      <c r="K13" s="1043"/>
    </row>
    <row r="14" spans="1:11" ht="14.25" thickTop="1" thickBot="1" x14ac:dyDescent="0.25">
      <c r="A14" s="1044"/>
      <c r="B14" s="1251"/>
      <c r="C14" s="1252"/>
      <c r="D14" s="1253"/>
      <c r="E14" s="1831"/>
      <c r="F14" s="1283"/>
      <c r="K14" s="1043"/>
    </row>
    <row r="15" spans="1:11" ht="13.5" thickBot="1" x14ac:dyDescent="0.25">
      <c r="A15" s="1378" t="s">
        <v>430</v>
      </c>
      <c r="B15" s="1379"/>
      <c r="C15" s="1379"/>
      <c r="D15" s="1379"/>
      <c r="E15" s="1849"/>
      <c r="F15" s="1380"/>
    </row>
    <row r="16" spans="1:11" x14ac:dyDescent="0.2">
      <c r="A16" s="1115" t="s">
        <v>431</v>
      </c>
      <c r="B16" s="1116"/>
      <c r="C16" s="1116"/>
      <c r="D16" s="1116"/>
      <c r="E16" s="1850"/>
      <c r="F16" s="1117"/>
    </row>
    <row r="17" spans="1:6" ht="84" x14ac:dyDescent="0.2">
      <c r="A17" s="1063">
        <f>A11+1</f>
        <v>5</v>
      </c>
      <c r="B17" s="1085" t="s">
        <v>432</v>
      </c>
      <c r="C17" s="1065" t="s">
        <v>71</v>
      </c>
      <c r="D17" s="1066">
        <f>16.05*147</f>
        <v>2359.35</v>
      </c>
      <c r="E17" s="1851"/>
      <c r="F17" s="1118">
        <f>ROUND(D17*E17,2)</f>
        <v>0</v>
      </c>
    </row>
    <row r="18" spans="1:6" ht="84.75" thickBot="1" x14ac:dyDescent="0.25">
      <c r="A18" s="1068">
        <f>A17+1</f>
        <v>6</v>
      </c>
      <c r="B18" s="1069" t="s">
        <v>433</v>
      </c>
      <c r="C18" s="1070" t="s">
        <v>71</v>
      </c>
      <c r="D18" s="1071">
        <f>16.05*147</f>
        <v>2359.35</v>
      </c>
      <c r="E18" s="1851"/>
      <c r="F18" s="1285">
        <f>ROUND(D18*E18,2)</f>
        <v>0</v>
      </c>
    </row>
    <row r="19" spans="1:6" ht="13.5" thickBot="1" x14ac:dyDescent="0.25">
      <c r="A19" s="1119" t="s">
        <v>434</v>
      </c>
      <c r="B19" s="1120"/>
      <c r="C19" s="1120"/>
      <c r="D19" s="1120"/>
      <c r="E19" s="1852"/>
      <c r="F19" s="1596"/>
    </row>
    <row r="20" spans="1:6" x14ac:dyDescent="0.2">
      <c r="A20" s="1115" t="s">
        <v>435</v>
      </c>
      <c r="B20" s="1116"/>
      <c r="C20" s="1116"/>
      <c r="D20" s="1116"/>
      <c r="E20" s="1853"/>
      <c r="F20" s="1286"/>
    </row>
    <row r="21" spans="1:6" ht="51" customHeight="1" x14ac:dyDescent="0.2">
      <c r="A21" s="1063">
        <f>A18+1</f>
        <v>7</v>
      </c>
      <c r="B21" s="1085" t="s">
        <v>436</v>
      </c>
      <c r="C21" s="1065" t="s">
        <v>71</v>
      </c>
      <c r="D21" s="1066">
        <f>2*0.3*147</f>
        <v>88.2</v>
      </c>
      <c r="E21" s="1851"/>
      <c r="F21" s="1118">
        <f>ROUND(D21*E21,2)</f>
        <v>0</v>
      </c>
    </row>
    <row r="22" spans="1:6" ht="48.75" thickBot="1" x14ac:dyDescent="0.25">
      <c r="A22" s="1068">
        <f>A21+1</f>
        <v>8</v>
      </c>
      <c r="B22" s="1085" t="s">
        <v>437</v>
      </c>
      <c r="C22" s="1065" t="s">
        <v>235</v>
      </c>
      <c r="D22" s="1066">
        <f>ROUND(147/5,0)*2*1.9</f>
        <v>110.2</v>
      </c>
      <c r="E22" s="1851"/>
      <c r="F22" s="1118">
        <f>ROUND(D22*E22,2)</f>
        <v>0</v>
      </c>
    </row>
    <row r="23" spans="1:6" ht="13.5" thickBot="1" x14ac:dyDescent="0.25">
      <c r="A23" s="1115" t="s">
        <v>438</v>
      </c>
      <c r="B23" s="1116"/>
      <c r="C23" s="1116"/>
      <c r="D23" s="1116"/>
      <c r="E23" s="1850"/>
      <c r="F23" s="1596"/>
    </row>
    <row r="24" spans="1:6" x14ac:dyDescent="0.2">
      <c r="A24" s="1115" t="s">
        <v>439</v>
      </c>
      <c r="B24" s="1116"/>
      <c r="C24" s="1116"/>
      <c r="D24" s="1116"/>
      <c r="E24" s="1850"/>
      <c r="F24" s="1118"/>
    </row>
    <row r="25" spans="1:6" ht="120" x14ac:dyDescent="0.2">
      <c r="A25" s="1063">
        <f>A22+1</f>
        <v>9</v>
      </c>
      <c r="B25" s="1085" t="s">
        <v>440</v>
      </c>
      <c r="C25" s="1065" t="s">
        <v>138</v>
      </c>
      <c r="D25" s="1066">
        <f>0.0025*0.2*10.6*147*7800</f>
        <v>6076.98</v>
      </c>
      <c r="E25" s="1851"/>
      <c r="F25" s="1118">
        <f>ROUND(D25*E25,2)</f>
        <v>0</v>
      </c>
    </row>
    <row r="26" spans="1:6" ht="120.75" thickBot="1" x14ac:dyDescent="0.25">
      <c r="A26" s="1068">
        <f>A25+1</f>
        <v>10</v>
      </c>
      <c r="B26" s="1085" t="s">
        <v>441</v>
      </c>
      <c r="C26" s="1065" t="s">
        <v>138</v>
      </c>
      <c r="D26" s="1066">
        <f>0.0075*0.2*10.6*147*7800</f>
        <v>18230.939999999999</v>
      </c>
      <c r="E26" s="1851"/>
      <c r="F26" s="1118">
        <f>ROUND(D26*E26,2)</f>
        <v>0</v>
      </c>
    </row>
    <row r="27" spans="1:6" ht="108.75" thickBot="1" x14ac:dyDescent="0.25">
      <c r="A27" s="1063">
        <f>A26+1</f>
        <v>11</v>
      </c>
      <c r="B27" s="1085" t="s">
        <v>442</v>
      </c>
      <c r="C27" s="1065" t="s">
        <v>138</v>
      </c>
      <c r="D27" s="1066">
        <f>10.6*11.9*147</f>
        <v>18542.580000000002</v>
      </c>
      <c r="E27" s="1851"/>
      <c r="F27" s="1118">
        <f>ROUND(D27*E27,2)</f>
        <v>0</v>
      </c>
    </row>
    <row r="28" spans="1:6" x14ac:dyDescent="0.2">
      <c r="A28" s="1115" t="s">
        <v>443</v>
      </c>
      <c r="B28" s="1116"/>
      <c r="C28" s="1116"/>
      <c r="D28" s="1116"/>
      <c r="E28" s="1850"/>
      <c r="F28" s="1118"/>
    </row>
    <row r="29" spans="1:6" ht="115.5" customHeight="1" x14ac:dyDescent="0.2">
      <c r="A29" s="1063">
        <f>A27+1</f>
        <v>12</v>
      </c>
      <c r="B29" s="1085" t="s">
        <v>444</v>
      </c>
      <c r="C29" s="1065" t="s">
        <v>138</v>
      </c>
      <c r="D29" s="1066">
        <f>0.0025*3*147*7800</f>
        <v>8599.5</v>
      </c>
      <c r="E29" s="1851"/>
      <c r="F29" s="1118">
        <f>ROUND(D29*E29,2)</f>
        <v>0</v>
      </c>
    </row>
    <row r="30" spans="1:6" ht="115.5" customHeight="1" thickBot="1" x14ac:dyDescent="0.25">
      <c r="A30" s="1068">
        <f>A29+1</f>
        <v>13</v>
      </c>
      <c r="B30" s="1069" t="s">
        <v>445</v>
      </c>
      <c r="C30" s="1070" t="s">
        <v>138</v>
      </c>
      <c r="D30" s="1066">
        <f>0.0075*3*147*7800</f>
        <v>25798.5</v>
      </c>
      <c r="E30" s="1854"/>
      <c r="F30" s="1118">
        <f>ROUND(D30*E30,2)</f>
        <v>0</v>
      </c>
    </row>
    <row r="31" spans="1:6" ht="13.5" thickBot="1" x14ac:dyDescent="0.25">
      <c r="A31" s="1115" t="s">
        <v>446</v>
      </c>
      <c r="B31" s="1116"/>
      <c r="C31" s="1116"/>
      <c r="D31" s="1116"/>
      <c r="E31" s="1850"/>
      <c r="F31" s="1596"/>
    </row>
    <row r="32" spans="1:6" x14ac:dyDescent="0.2">
      <c r="A32" s="1115" t="s">
        <v>447</v>
      </c>
      <c r="B32" s="1116"/>
      <c r="C32" s="1116"/>
      <c r="D32" s="1116"/>
      <c r="E32" s="1850"/>
      <c r="F32" s="1118"/>
    </row>
    <row r="33" spans="1:6" ht="144.75" thickBot="1" x14ac:dyDescent="0.25">
      <c r="A33" s="1068">
        <f>A30+1</f>
        <v>14</v>
      </c>
      <c r="B33" s="1121" t="s">
        <v>448</v>
      </c>
      <c r="C33" s="1070" t="s">
        <v>69</v>
      </c>
      <c r="D33" s="1071">
        <f>3*147</f>
        <v>441</v>
      </c>
      <c r="E33" s="1851"/>
      <c r="F33" s="1597">
        <f>ROUND(D33*E33,2)</f>
        <v>0</v>
      </c>
    </row>
    <row r="34" spans="1:6" x14ac:dyDescent="0.2">
      <c r="A34" s="1115" t="s">
        <v>449</v>
      </c>
      <c r="B34" s="1116"/>
      <c r="C34" s="1116"/>
      <c r="D34" s="1116"/>
      <c r="E34" s="1850"/>
      <c r="F34" s="1286"/>
    </row>
    <row r="35" spans="1:6" ht="96.75" thickBot="1" x14ac:dyDescent="0.25">
      <c r="A35" s="1068">
        <f>A33+1</f>
        <v>15</v>
      </c>
      <c r="B35" s="1121" t="s">
        <v>450</v>
      </c>
      <c r="C35" s="1070" t="s">
        <v>69</v>
      </c>
      <c r="D35" s="1071">
        <v>405</v>
      </c>
      <c r="E35" s="1851"/>
      <c r="F35" s="1597">
        <f>ROUND(D35*E35,2)</f>
        <v>0</v>
      </c>
    </row>
    <row r="36" spans="1:6" x14ac:dyDescent="0.2">
      <c r="A36" s="1115" t="s">
        <v>451</v>
      </c>
      <c r="B36" s="1116"/>
      <c r="C36" s="1116"/>
      <c r="D36" s="1116"/>
      <c r="E36" s="1850"/>
      <c r="F36" s="1286"/>
    </row>
    <row r="37" spans="1:6" ht="84" x14ac:dyDescent="0.2">
      <c r="A37" s="1124">
        <f>A35+1</f>
        <v>16</v>
      </c>
      <c r="B37" s="1284" t="s">
        <v>452</v>
      </c>
      <c r="C37" s="1126" t="s">
        <v>235</v>
      </c>
      <c r="D37" s="1127">
        <v>147</v>
      </c>
      <c r="E37" s="1851"/>
      <c r="F37" s="1285">
        <f>ROUND(D37*E37,2)</f>
        <v>0</v>
      </c>
    </row>
    <row r="38" spans="1:6" x14ac:dyDescent="0.2">
      <c r="A38" s="1258"/>
      <c r="B38" s="1287"/>
      <c r="C38" s="1288"/>
      <c r="D38" s="1289"/>
      <c r="E38" s="1839"/>
      <c r="F38" s="1290"/>
    </row>
    <row r="39" spans="1:6" ht="13.5" thickBot="1" x14ac:dyDescent="0.25">
      <c r="A39" s="1266"/>
      <c r="B39" s="1295" t="s">
        <v>1573</v>
      </c>
      <c r="C39" s="1296"/>
      <c r="D39" s="1297"/>
      <c r="E39" s="1840"/>
      <c r="F39" s="1298">
        <f>ROUND(SUM(F17:F37),2)</f>
        <v>0</v>
      </c>
    </row>
    <row r="40" spans="1:6" ht="14.25" thickTop="1" thickBot="1" x14ac:dyDescent="0.25">
      <c r="A40" s="1262"/>
      <c r="B40" s="1291"/>
      <c r="C40" s="1292"/>
      <c r="D40" s="1293"/>
      <c r="E40" s="1841"/>
      <c r="F40" s="1294"/>
    </row>
    <row r="41" spans="1:6" x14ac:dyDescent="0.2">
      <c r="A41" s="1046" t="s">
        <v>453</v>
      </c>
      <c r="B41" s="1120"/>
      <c r="C41" s="1120"/>
      <c r="D41" s="1120"/>
      <c r="E41" s="1855"/>
      <c r="F41" s="1286"/>
    </row>
    <row r="42" spans="1:6" ht="60.75" thickBot="1" x14ac:dyDescent="0.25">
      <c r="A42" s="1068">
        <f>A37+1</f>
        <v>17</v>
      </c>
      <c r="B42" s="1122" t="s">
        <v>454</v>
      </c>
      <c r="C42" s="1070"/>
      <c r="D42" s="1071"/>
      <c r="E42" s="1854"/>
      <c r="F42" s="1118"/>
    </row>
    <row r="43" spans="1:6" x14ac:dyDescent="0.2">
      <c r="A43" s="1115" t="s">
        <v>215</v>
      </c>
      <c r="B43" s="1116"/>
      <c r="C43" s="1116"/>
      <c r="D43" s="1116"/>
      <c r="E43" s="1850"/>
      <c r="F43" s="1118"/>
    </row>
    <row r="44" spans="1:6" ht="60.75" thickBot="1" x14ac:dyDescent="0.25">
      <c r="A44" s="1068">
        <f>A42+1</f>
        <v>18</v>
      </c>
      <c r="B44" s="1122" t="s">
        <v>455</v>
      </c>
      <c r="C44" s="1070" t="s">
        <v>71</v>
      </c>
      <c r="D44" s="1071">
        <v>20</v>
      </c>
      <c r="E44" s="1854"/>
      <c r="F44" s="1118">
        <f>ROUND(D44*E44,2)</f>
        <v>0</v>
      </c>
    </row>
    <row r="45" spans="1:6" x14ac:dyDescent="0.2">
      <c r="A45" s="1115" t="s">
        <v>456</v>
      </c>
      <c r="B45" s="1116"/>
      <c r="C45" s="1116"/>
      <c r="D45" s="1116"/>
      <c r="E45" s="1850"/>
      <c r="F45" s="1118"/>
    </row>
    <row r="46" spans="1:6" ht="60" x14ac:dyDescent="0.2">
      <c r="A46" s="1063">
        <f>A44+1</f>
        <v>19</v>
      </c>
      <c r="B46" s="1064" t="s">
        <v>457</v>
      </c>
      <c r="C46" s="1065" t="s">
        <v>69</v>
      </c>
      <c r="D46" s="1066">
        <f>3176-(930+172)</f>
        <v>2074</v>
      </c>
      <c r="E46" s="1851"/>
      <c r="F46" s="1118">
        <f>ROUND(D46*E46,2)</f>
        <v>0</v>
      </c>
    </row>
    <row r="47" spans="1:6" ht="60" x14ac:dyDescent="0.2">
      <c r="A47" s="1063">
        <f>A46+1</f>
        <v>20</v>
      </c>
      <c r="B47" s="1064" t="s">
        <v>458</v>
      </c>
      <c r="C47" s="1065" t="s">
        <v>71</v>
      </c>
      <c r="D47" s="1066">
        <v>930</v>
      </c>
      <c r="E47" s="1851"/>
      <c r="F47" s="1118">
        <f>ROUND(D47*E47,2)</f>
        <v>0</v>
      </c>
    </row>
    <row r="48" spans="1:6" ht="24.75" thickBot="1" x14ac:dyDescent="0.25">
      <c r="A48" s="1068">
        <f>A47+1</f>
        <v>21</v>
      </c>
      <c r="B48" s="1121" t="s">
        <v>459</v>
      </c>
      <c r="C48" s="1070" t="s">
        <v>71</v>
      </c>
      <c r="D48" s="1071">
        <f>D47</f>
        <v>930</v>
      </c>
      <c r="E48" s="1851"/>
      <c r="F48" s="1597">
        <f>ROUND(D48*E48,2)</f>
        <v>0</v>
      </c>
    </row>
    <row r="49" spans="1:6" x14ac:dyDescent="0.2">
      <c r="A49" s="1115" t="s">
        <v>460</v>
      </c>
      <c r="B49" s="1116"/>
      <c r="C49" s="1116"/>
      <c r="D49" s="1116"/>
      <c r="E49" s="1853"/>
      <c r="F49" s="1286"/>
    </row>
    <row r="50" spans="1:6" ht="108" x14ac:dyDescent="0.2">
      <c r="A50" s="1063">
        <f>A48+1</f>
        <v>22</v>
      </c>
      <c r="B50" s="1064" t="s">
        <v>461</v>
      </c>
      <c r="C50" s="1065" t="s">
        <v>235</v>
      </c>
      <c r="D50" s="1066">
        <v>34.5</v>
      </c>
      <c r="E50" s="1851"/>
      <c r="F50" s="1118">
        <f t="shared" ref="F50:F56" si="0">ROUND(D50*E50,2)</f>
        <v>0</v>
      </c>
    </row>
    <row r="51" spans="1:6" ht="120" x14ac:dyDescent="0.2">
      <c r="A51" s="1063">
        <f>A50+1</f>
        <v>23</v>
      </c>
      <c r="B51" s="1064" t="s">
        <v>462</v>
      </c>
      <c r="C51" s="1065" t="s">
        <v>235</v>
      </c>
      <c r="D51" s="1066">
        <f>48.9+22.64</f>
        <v>71.540000000000006</v>
      </c>
      <c r="E51" s="1851"/>
      <c r="F51" s="1118">
        <f t="shared" si="0"/>
        <v>0</v>
      </c>
    </row>
    <row r="52" spans="1:6" ht="72" x14ac:dyDescent="0.2">
      <c r="A52" s="1063">
        <f t="shared" ref="A52:A55" si="1">A51+1</f>
        <v>24</v>
      </c>
      <c r="B52" s="1064" t="s">
        <v>463</v>
      </c>
      <c r="C52" s="1065" t="s">
        <v>235</v>
      </c>
      <c r="D52" s="1066">
        <v>48.9</v>
      </c>
      <c r="E52" s="1851"/>
      <c r="F52" s="1118">
        <f t="shared" si="0"/>
        <v>0</v>
      </c>
    </row>
    <row r="53" spans="1:6" ht="96" x14ac:dyDescent="0.2">
      <c r="A53" s="1063">
        <f t="shared" si="1"/>
        <v>25</v>
      </c>
      <c r="B53" s="1064" t="s">
        <v>464</v>
      </c>
      <c r="C53" s="1065" t="s">
        <v>39</v>
      </c>
      <c r="D53" s="1066">
        <v>2</v>
      </c>
      <c r="E53" s="1851"/>
      <c r="F53" s="1118">
        <f t="shared" si="0"/>
        <v>0</v>
      </c>
    </row>
    <row r="54" spans="1:6" ht="96" x14ac:dyDescent="0.2">
      <c r="A54" s="1063">
        <f t="shared" si="1"/>
        <v>26</v>
      </c>
      <c r="B54" s="1064" t="s">
        <v>465</v>
      </c>
      <c r="C54" s="1065" t="s">
        <v>39</v>
      </c>
      <c r="D54" s="1066">
        <v>1</v>
      </c>
      <c r="E54" s="1851"/>
      <c r="F54" s="1118">
        <f t="shared" si="0"/>
        <v>0</v>
      </c>
    </row>
    <row r="55" spans="1:6" ht="48" x14ac:dyDescent="0.2">
      <c r="A55" s="1063">
        <f t="shared" si="1"/>
        <v>27</v>
      </c>
      <c r="B55" s="1064" t="s">
        <v>466</v>
      </c>
      <c r="C55" s="1065" t="s">
        <v>39</v>
      </c>
      <c r="D55" s="1066">
        <v>1</v>
      </c>
      <c r="E55" s="1851"/>
      <c r="F55" s="1118">
        <f t="shared" si="0"/>
        <v>0</v>
      </c>
    </row>
    <row r="56" spans="1:6" ht="48.75" thickBot="1" x14ac:dyDescent="0.25">
      <c r="A56" s="1068">
        <f>A55+1</f>
        <v>28</v>
      </c>
      <c r="B56" s="1121" t="s">
        <v>467</v>
      </c>
      <c r="C56" s="1070" t="s">
        <v>39</v>
      </c>
      <c r="D56" s="1071">
        <v>1</v>
      </c>
      <c r="E56" s="1851"/>
      <c r="F56" s="1118">
        <f t="shared" si="0"/>
        <v>0</v>
      </c>
    </row>
    <row r="57" spans="1:6" ht="13.5" thickBot="1" x14ac:dyDescent="0.25">
      <c r="A57" s="1119" t="s">
        <v>468</v>
      </c>
      <c r="B57" s="1120"/>
      <c r="C57" s="1120"/>
      <c r="D57" s="1120"/>
      <c r="E57" s="1855"/>
      <c r="F57" s="1118"/>
    </row>
    <row r="58" spans="1:6" x14ac:dyDescent="0.2">
      <c r="A58" s="1115" t="s">
        <v>469</v>
      </c>
      <c r="B58" s="1116"/>
      <c r="C58" s="1116"/>
      <c r="D58" s="1116"/>
      <c r="E58" s="1850"/>
      <c r="F58" s="1118"/>
    </row>
    <row r="59" spans="1:6" ht="123" customHeight="1" x14ac:dyDescent="0.2">
      <c r="A59" s="1063">
        <f>A56+1</f>
        <v>29</v>
      </c>
      <c r="B59" s="1123" t="s">
        <v>470</v>
      </c>
      <c r="C59" s="1065" t="s">
        <v>71</v>
      </c>
      <c r="D59" s="1066">
        <f>150*2</f>
        <v>300</v>
      </c>
      <c r="E59" s="1851"/>
      <c r="F59" s="1118">
        <f>ROUND(D59*E59,2)</f>
        <v>0</v>
      </c>
    </row>
    <row r="60" spans="1:6" ht="132" x14ac:dyDescent="0.2">
      <c r="A60" s="1063">
        <f>A59+1</f>
        <v>30</v>
      </c>
      <c r="B60" s="1123" t="s">
        <v>471</v>
      </c>
      <c r="C60" s="1065" t="s">
        <v>71</v>
      </c>
      <c r="D60" s="1066">
        <v>195</v>
      </c>
      <c r="E60" s="1851"/>
      <c r="F60" s="1118">
        <f>ROUND(D60*E60,2)</f>
        <v>0</v>
      </c>
    </row>
    <row r="61" spans="1:6" ht="48.75" thickBot="1" x14ac:dyDescent="0.25">
      <c r="A61" s="1068">
        <f>A60+1</f>
        <v>31</v>
      </c>
      <c r="B61" s="1122" t="s">
        <v>472</v>
      </c>
      <c r="C61" s="1070" t="s">
        <v>71</v>
      </c>
      <c r="D61" s="1071">
        <f>150+D60</f>
        <v>345</v>
      </c>
      <c r="E61" s="1851"/>
      <c r="F61" s="1597">
        <f>ROUND(D61*E61,2)</f>
        <v>0</v>
      </c>
    </row>
    <row r="62" spans="1:6" x14ac:dyDescent="0.2">
      <c r="A62" s="1115" t="s">
        <v>473</v>
      </c>
      <c r="B62" s="1116"/>
      <c r="C62" s="1116"/>
      <c r="D62" s="1116"/>
      <c r="E62" s="1850"/>
      <c r="F62" s="1286"/>
    </row>
    <row r="63" spans="1:6" ht="24" x14ac:dyDescent="0.2">
      <c r="A63" s="1063">
        <v>28</v>
      </c>
      <c r="B63" s="1085" t="s">
        <v>474</v>
      </c>
      <c r="C63" s="1065" t="s">
        <v>71</v>
      </c>
      <c r="D63" s="1066">
        <f>69*2</f>
        <v>138</v>
      </c>
      <c r="E63" s="1851"/>
      <c r="F63" s="1118">
        <f>ROUND(D63*E63,2)</f>
        <v>0</v>
      </c>
    </row>
    <row r="64" spans="1:6" ht="36" x14ac:dyDescent="0.2">
      <c r="A64" s="1063">
        <v>29</v>
      </c>
      <c r="B64" s="1085" t="s">
        <v>475</v>
      </c>
      <c r="C64" s="1065" t="s">
        <v>71</v>
      </c>
      <c r="D64" s="1066">
        <f>36.1*4.5</f>
        <v>162.44999999999999</v>
      </c>
      <c r="E64" s="1851"/>
      <c r="F64" s="1118">
        <f>ROUND(D64*E64,2)</f>
        <v>0</v>
      </c>
    </row>
    <row r="65" spans="1:6" ht="36" x14ac:dyDescent="0.2">
      <c r="A65" s="1063">
        <v>30</v>
      </c>
      <c r="B65" s="1085" t="s">
        <v>476</v>
      </c>
      <c r="C65" s="1065" t="s">
        <v>71</v>
      </c>
      <c r="D65" s="1066">
        <v>124</v>
      </c>
      <c r="E65" s="1851"/>
      <c r="F65" s="1118">
        <f>ROUND(D65*E65,2)</f>
        <v>0</v>
      </c>
    </row>
    <row r="66" spans="1:6" ht="36.75" thickBot="1" x14ac:dyDescent="0.25">
      <c r="A66" s="1068">
        <v>31</v>
      </c>
      <c r="B66" s="1069" t="s">
        <v>477</v>
      </c>
      <c r="C66" s="1070" t="s">
        <v>71</v>
      </c>
      <c r="D66" s="1071">
        <f>5.34*0.35*2+4.7*0.35</f>
        <v>5.38</v>
      </c>
      <c r="E66" s="1851"/>
      <c r="F66" s="1118">
        <f>ROUND(D66*E66,2)</f>
        <v>0</v>
      </c>
    </row>
    <row r="67" spans="1:6" ht="13.5" thickBot="1" x14ac:dyDescent="0.25">
      <c r="A67" s="1115" t="s">
        <v>478</v>
      </c>
      <c r="B67" s="1116"/>
      <c r="C67" s="1116"/>
      <c r="D67" s="1116"/>
      <c r="E67" s="1850"/>
      <c r="F67" s="1596"/>
    </row>
    <row r="68" spans="1:6" x14ac:dyDescent="0.2">
      <c r="A68" s="1115" t="s">
        <v>479</v>
      </c>
      <c r="B68" s="1116"/>
      <c r="C68" s="1116"/>
      <c r="D68" s="1116"/>
      <c r="E68" s="1850"/>
      <c r="F68" s="1118"/>
    </row>
    <row r="69" spans="1:6" ht="108" x14ac:dyDescent="0.2">
      <c r="A69" s="1063">
        <f>A66+1</f>
        <v>32</v>
      </c>
      <c r="B69" s="1085" t="s">
        <v>480</v>
      </c>
      <c r="C69" s="1065" t="s">
        <v>138</v>
      </c>
      <c r="D69" s="1066">
        <f>0.0075*SUM(D73:D76)*7800</f>
        <v>15222.29</v>
      </c>
      <c r="E69" s="1851"/>
      <c r="F69" s="1118">
        <f>ROUND(D69*E69,2)</f>
        <v>0</v>
      </c>
    </row>
    <row r="70" spans="1:6" ht="120" x14ac:dyDescent="0.2">
      <c r="A70" s="1063">
        <f>A69+1</f>
        <v>33</v>
      </c>
      <c r="B70" s="1085" t="s">
        <v>481</v>
      </c>
      <c r="C70" s="1065" t="s">
        <v>138</v>
      </c>
      <c r="D70" s="1066">
        <f>0.0025*SUM(D73:D76)*7800</f>
        <v>5074.1000000000004</v>
      </c>
      <c r="E70" s="1851"/>
      <c r="F70" s="1118">
        <f>ROUND(D70*E70,2)</f>
        <v>0</v>
      </c>
    </row>
    <row r="71" spans="1:6" ht="132.75" thickBot="1" x14ac:dyDescent="0.25">
      <c r="A71" s="1068">
        <f>A70+1</f>
        <v>34</v>
      </c>
      <c r="B71" s="1069" t="s">
        <v>482</v>
      </c>
      <c r="C71" s="1070" t="s">
        <v>138</v>
      </c>
      <c r="D71" s="1071">
        <f>0.005*SUM(D73:D76)*7800</f>
        <v>10148.19</v>
      </c>
      <c r="E71" s="1851"/>
      <c r="F71" s="1597">
        <f>ROUND(D71*E71,2)</f>
        <v>0</v>
      </c>
    </row>
    <row r="72" spans="1:6" x14ac:dyDescent="0.2">
      <c r="A72" s="1115" t="s">
        <v>483</v>
      </c>
      <c r="B72" s="1116"/>
      <c r="C72" s="1116"/>
      <c r="D72" s="1116"/>
      <c r="E72" s="1850"/>
      <c r="F72" s="1286"/>
    </row>
    <row r="73" spans="1:6" ht="72" x14ac:dyDescent="0.2">
      <c r="A73" s="1063">
        <f>A71+1</f>
        <v>35</v>
      </c>
      <c r="B73" s="1064" t="s">
        <v>484</v>
      </c>
      <c r="C73" s="1065" t="s">
        <v>69</v>
      </c>
      <c r="D73" s="1066">
        <f>147*0.1+2*14.2*0.1</f>
        <v>17.54</v>
      </c>
      <c r="E73" s="1851"/>
      <c r="F73" s="1118">
        <f>ROUND(D73*E73,2)</f>
        <v>0</v>
      </c>
    </row>
    <row r="74" spans="1:6" ht="72" x14ac:dyDescent="0.2">
      <c r="A74" s="1063">
        <f t="shared" ref="A74:A75" si="2">A73+1</f>
        <v>36</v>
      </c>
      <c r="B74" s="1064" t="s">
        <v>485</v>
      </c>
      <c r="C74" s="1065" t="s">
        <v>69</v>
      </c>
      <c r="D74" s="1066">
        <f>147*0.45+2*14.2*0.6</f>
        <v>83.19</v>
      </c>
      <c r="E74" s="1851"/>
      <c r="F74" s="1118">
        <f>ROUND(D74*E74,2)</f>
        <v>0</v>
      </c>
    </row>
    <row r="75" spans="1:6" ht="72" x14ac:dyDescent="0.2">
      <c r="A75" s="1063">
        <f t="shared" si="2"/>
        <v>37</v>
      </c>
      <c r="B75" s="1064" t="s">
        <v>486</v>
      </c>
      <c r="C75" s="1065" t="s">
        <v>69</v>
      </c>
      <c r="D75" s="1066">
        <f>(13+7.6+9.8+8.2+7.2)*0.35*4.5-(14.9+2*2.27+1.75+12)*0.35+2*36*0.35</f>
        <v>85.72</v>
      </c>
      <c r="E75" s="1851"/>
      <c r="F75" s="1118">
        <f>ROUND(D75*E75,2)</f>
        <v>0</v>
      </c>
    </row>
    <row r="76" spans="1:6" ht="72.75" thickBot="1" x14ac:dyDescent="0.25">
      <c r="A76" s="1068">
        <f>A75+1</f>
        <v>38</v>
      </c>
      <c r="B76" s="1121" t="s">
        <v>487</v>
      </c>
      <c r="C76" s="1070" t="s">
        <v>69</v>
      </c>
      <c r="D76" s="1071">
        <f>140*0.4+1.2*7.4*2</f>
        <v>73.760000000000005</v>
      </c>
      <c r="E76" s="1851"/>
      <c r="F76" s="1118">
        <f>ROUND(D76*E76,2)</f>
        <v>0</v>
      </c>
    </row>
    <row r="77" spans="1:6" x14ac:dyDescent="0.2">
      <c r="A77" s="1115" t="s">
        <v>488</v>
      </c>
      <c r="B77" s="1116"/>
      <c r="C77" s="1116"/>
      <c r="D77" s="1116"/>
      <c r="E77" s="1850"/>
      <c r="F77" s="1118"/>
    </row>
    <row r="78" spans="1:6" ht="96" x14ac:dyDescent="0.2">
      <c r="A78" s="1124">
        <f>A76+1</f>
        <v>39</v>
      </c>
      <c r="B78" s="1125" t="s">
        <v>489</v>
      </c>
      <c r="C78" s="1126" t="s">
        <v>39</v>
      </c>
      <c r="D78" s="1127">
        <v>1</v>
      </c>
      <c r="E78" s="1851"/>
      <c r="F78" s="1285">
        <f>ROUND(D78*E78,2)</f>
        <v>0</v>
      </c>
    </row>
    <row r="79" spans="1:6" x14ac:dyDescent="0.2">
      <c r="A79" s="1258"/>
      <c r="B79" s="1301"/>
      <c r="C79" s="1288"/>
      <c r="D79" s="1289"/>
      <c r="E79" s="1839"/>
      <c r="F79" s="1290"/>
    </row>
    <row r="80" spans="1:6" ht="13.5" thickBot="1" x14ac:dyDescent="0.25">
      <c r="A80" s="1266"/>
      <c r="B80" s="1303" t="s">
        <v>1574</v>
      </c>
      <c r="C80" s="1296"/>
      <c r="D80" s="1297"/>
      <c r="E80" s="1840"/>
      <c r="F80" s="1298">
        <f>ROUND(SUM(F44:F78),2)</f>
        <v>0</v>
      </c>
    </row>
    <row r="81" spans="1:6" ht="14.25" thickTop="1" thickBot="1" x14ac:dyDescent="0.25">
      <c r="A81" s="1262"/>
      <c r="B81" s="1302"/>
      <c r="C81" s="1292"/>
      <c r="D81" s="1293"/>
      <c r="E81" s="1841"/>
      <c r="F81" s="1294"/>
    </row>
    <row r="82" spans="1:6" ht="13.5" thickBot="1" x14ac:dyDescent="0.25">
      <c r="A82" s="1299" t="s">
        <v>419</v>
      </c>
      <c r="B82" s="1300"/>
      <c r="C82" s="1300"/>
      <c r="D82" s="1300"/>
      <c r="E82" s="1856"/>
      <c r="F82" s="1286"/>
    </row>
    <row r="83" spans="1:6" s="1373" customFormat="1" ht="24" x14ac:dyDescent="0.2">
      <c r="A83" s="1598">
        <f>A78+1</f>
        <v>40</v>
      </c>
      <c r="B83" s="1599" t="s">
        <v>1555</v>
      </c>
      <c r="C83" s="1600" t="s">
        <v>39</v>
      </c>
      <c r="D83" s="1601">
        <v>1</v>
      </c>
      <c r="E83" s="1851"/>
      <c r="F83" s="1604">
        <f>ROUND(D83*E83,2)</f>
        <v>0</v>
      </c>
    </row>
    <row r="84" spans="1:6" ht="26.25" customHeight="1" x14ac:dyDescent="0.2">
      <c r="A84" s="1098">
        <f>A83+1</f>
        <v>41</v>
      </c>
      <c r="B84" s="1099" t="s">
        <v>326</v>
      </c>
      <c r="C84" s="1100" t="s">
        <v>327</v>
      </c>
      <c r="D84" s="1101">
        <v>10</v>
      </c>
      <c r="E84" s="1851"/>
      <c r="F84" s="1118">
        <f>ROUND(D84*E84,2)</f>
        <v>0</v>
      </c>
    </row>
    <row r="85" spans="1:6" ht="51" customHeight="1" x14ac:dyDescent="0.2">
      <c r="A85" s="1098">
        <f>A84+1</f>
        <v>42</v>
      </c>
      <c r="B85" s="1099" t="s">
        <v>328</v>
      </c>
      <c r="C85" s="1100" t="s">
        <v>327</v>
      </c>
      <c r="D85" s="1101">
        <v>10</v>
      </c>
      <c r="E85" s="1851"/>
      <c r="F85" s="1118">
        <f>ROUND(D85*E85,2)</f>
        <v>0</v>
      </c>
    </row>
    <row r="86" spans="1:6" x14ac:dyDescent="0.2">
      <c r="A86" s="1304">
        <f>A85+1</f>
        <v>43</v>
      </c>
      <c r="B86" s="1270" t="s">
        <v>329</v>
      </c>
      <c r="C86" s="1271" t="s">
        <v>39</v>
      </c>
      <c r="D86" s="1272">
        <v>1</v>
      </c>
      <c r="E86" s="1851"/>
      <c r="F86" s="1285">
        <f>ROUND(D86*E86,2)</f>
        <v>0</v>
      </c>
    </row>
    <row r="87" spans="1:6" x14ac:dyDescent="0.2">
      <c r="A87" s="1305"/>
      <c r="B87" s="1306"/>
      <c r="C87" s="1306"/>
      <c r="D87" s="1306"/>
      <c r="E87" s="1857"/>
      <c r="F87" s="1351"/>
    </row>
    <row r="88" spans="1:6" ht="14.25" customHeight="1" thickBot="1" x14ac:dyDescent="0.25">
      <c r="A88" s="1311"/>
      <c r="B88" s="1312" t="s">
        <v>1570</v>
      </c>
      <c r="C88" s="1312"/>
      <c r="D88" s="1312"/>
      <c r="E88" s="1844"/>
      <c r="F88" s="1313">
        <f>ROUND(SUM(F83:F86),2)</f>
        <v>0</v>
      </c>
    </row>
    <row r="89" spans="1:6" ht="14.25" thickTop="1" thickBot="1" x14ac:dyDescent="0.25">
      <c r="A89" s="1307"/>
      <c r="B89" s="1308"/>
      <c r="C89" s="1309"/>
      <c r="D89" s="1309"/>
      <c r="E89" s="1858"/>
      <c r="F89" s="1310"/>
    </row>
    <row r="90" spans="1:6" x14ac:dyDescent="0.2">
      <c r="B90" s="1128"/>
    </row>
  </sheetData>
  <sheetProtection algorithmName="SHA-512" hashValue="QntDg6/y3RlYy6WVuZEGZXDkIepo2bVsO5X3KNL5RZjoLeOASCbiVrtz1LOJ67mE3A4VeIeqWuHJkHOtXFGVrA==" saltValue="Wejy9QFAnYPkruDIwSE2rQ==" spinCount="100000" sheet="1" objects="1" scenarios="1"/>
  <pageMargins left="0.70866141732283472" right="0.70866141732283472" top="0.74803149606299213" bottom="0.74803149606299213" header="0.31496062992125984" footer="0.31496062992125984"/>
  <pageSetup paperSize="9" scale="95" fitToHeight="0" orientation="portrait" r:id="rId1"/>
  <headerFooter>
    <oddFooter>&amp;R&amp;P od &amp;N</oddFooter>
  </headerFooter>
  <rowBreaks count="2" manualBreakCount="2">
    <brk id="56" max="5" man="1"/>
    <brk id="76" max="5"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L64"/>
  <sheetViews>
    <sheetView view="pageBreakPreview" zoomScaleNormal="55" zoomScaleSheetLayoutView="100" workbookViewId="0"/>
  </sheetViews>
  <sheetFormatPr defaultColWidth="9.140625" defaultRowHeight="15" x14ac:dyDescent="0.25"/>
  <cols>
    <col min="1" max="1" width="4.85546875" style="11" customWidth="1"/>
    <col min="2" max="2" width="6" style="11" customWidth="1"/>
    <col min="3" max="3" width="39.28515625" style="11" customWidth="1"/>
    <col min="4" max="4" width="5.5703125" style="11" customWidth="1"/>
    <col min="5" max="5" width="10.5703125" style="11" bestFit="1" customWidth="1"/>
    <col min="6" max="6" width="10.42578125" style="11" bestFit="1" customWidth="1"/>
    <col min="7" max="7" width="14.5703125" style="11" bestFit="1" customWidth="1"/>
    <col min="8" max="8" width="9.140625" style="11"/>
    <col min="9" max="9" width="10.7109375" style="11" bestFit="1" customWidth="1"/>
    <col min="10" max="10" width="9.140625" style="11"/>
    <col min="11" max="12" width="10.7109375" style="11" bestFit="1" customWidth="1"/>
    <col min="13" max="16384" width="9.140625" style="11"/>
  </cols>
  <sheetData>
    <row r="1" spans="1:10" ht="18" x14ac:dyDescent="0.25">
      <c r="A1" s="184" t="s">
        <v>1445</v>
      </c>
      <c r="B1" s="185"/>
      <c r="C1" s="186"/>
      <c r="D1" s="186"/>
      <c r="E1" s="187"/>
      <c r="F1" s="185"/>
      <c r="G1" s="185"/>
    </row>
    <row r="2" spans="1:10" ht="18" x14ac:dyDescent="0.25">
      <c r="A2" s="184"/>
      <c r="B2" s="188"/>
      <c r="C2" s="186"/>
      <c r="D2" s="186"/>
      <c r="E2" s="187"/>
      <c r="F2" s="185"/>
      <c r="G2" s="185"/>
    </row>
    <row r="3" spans="1:10" ht="18" x14ac:dyDescent="0.25">
      <c r="A3" s="189" t="s">
        <v>500</v>
      </c>
      <c r="B3" s="190"/>
      <c r="C3" s="191" t="s">
        <v>501</v>
      </c>
      <c r="D3" s="186"/>
      <c r="E3" s="187"/>
      <c r="F3" s="185"/>
      <c r="G3" s="185"/>
    </row>
    <row r="4" spans="1:10" x14ac:dyDescent="0.25">
      <c r="A4" s="6"/>
      <c r="B4" s="6"/>
      <c r="C4" s="7"/>
      <c r="D4" s="8"/>
      <c r="E4" s="9"/>
      <c r="F4" s="10"/>
      <c r="G4" s="10"/>
    </row>
    <row r="5" spans="1:10" ht="18.75" thickBot="1" x14ac:dyDescent="0.3">
      <c r="A5" s="192" t="s">
        <v>76</v>
      </c>
      <c r="B5" s="193"/>
      <c r="C5" s="194"/>
      <c r="D5" s="195"/>
      <c r="E5" s="196"/>
      <c r="F5" s="197"/>
      <c r="G5" s="197"/>
    </row>
    <row r="6" spans="1:10" x14ac:dyDescent="0.25">
      <c r="A6" s="12"/>
      <c r="C6" s="199"/>
      <c r="D6" s="15"/>
      <c r="E6" s="16"/>
      <c r="F6" s="13"/>
      <c r="G6" s="13"/>
    </row>
    <row r="7" spans="1:10" x14ac:dyDescent="0.25">
      <c r="A7" s="200"/>
      <c r="B7" s="112"/>
      <c r="C7" s="201"/>
      <c r="D7" s="42"/>
      <c r="E7" s="43"/>
      <c r="F7" s="202"/>
      <c r="G7" s="202"/>
      <c r="I7" s="24"/>
      <c r="J7" s="24"/>
    </row>
    <row r="8" spans="1:10" x14ac:dyDescent="0.25">
      <c r="A8" s="17"/>
      <c r="B8" s="17" t="s">
        <v>493</v>
      </c>
      <c r="C8" s="19" t="s">
        <v>503</v>
      </c>
      <c r="D8" s="20"/>
      <c r="E8" s="21"/>
      <c r="F8" s="20"/>
      <c r="G8" s="1318">
        <f>ROUND(SUM(G10,G15),2)</f>
        <v>0</v>
      </c>
      <c r="I8" s="23"/>
      <c r="J8" s="24"/>
    </row>
    <row r="9" spans="1:10" x14ac:dyDescent="0.25">
      <c r="A9" s="17"/>
      <c r="B9" s="17"/>
      <c r="C9" s="19"/>
      <c r="D9" s="20"/>
      <c r="E9" s="21"/>
      <c r="F9" s="20"/>
      <c r="G9" s="1318"/>
      <c r="I9" s="23"/>
      <c r="J9" s="24"/>
    </row>
    <row r="10" spans="1:10" x14ac:dyDescent="0.25">
      <c r="A10" s="17"/>
      <c r="B10" s="17" t="s">
        <v>22</v>
      </c>
      <c r="C10" s="19" t="s">
        <v>502</v>
      </c>
      <c r="D10" s="20"/>
      <c r="E10" s="21"/>
      <c r="F10" s="20"/>
      <c r="G10" s="1318">
        <f>ROUND(SUM(G11:G13),2)</f>
        <v>0</v>
      </c>
      <c r="I10" s="23"/>
      <c r="J10" s="24"/>
    </row>
    <row r="11" spans="1:10" x14ac:dyDescent="0.25">
      <c r="A11" s="17"/>
      <c r="B11" s="17" t="s">
        <v>20</v>
      </c>
      <c r="C11" s="203" t="s">
        <v>504</v>
      </c>
      <c r="D11" s="20"/>
      <c r="E11" s="21"/>
      <c r="F11" s="20"/>
      <c r="G11" s="1318">
        <f>'3.5.1'!G19</f>
        <v>0</v>
      </c>
      <c r="I11" s="23"/>
      <c r="J11" s="24"/>
    </row>
    <row r="12" spans="1:10" x14ac:dyDescent="0.25">
      <c r="A12" s="17"/>
      <c r="B12" s="17" t="s">
        <v>77</v>
      </c>
      <c r="C12" s="203" t="s">
        <v>505</v>
      </c>
      <c r="D12" s="20"/>
      <c r="E12" s="21"/>
      <c r="F12" s="20"/>
      <c r="G12" s="1318">
        <f>'3.5.1'!G30</f>
        <v>0</v>
      </c>
      <c r="I12" s="23"/>
      <c r="J12" s="24"/>
    </row>
    <row r="13" spans="1:10" x14ac:dyDescent="0.25">
      <c r="A13" s="17"/>
      <c r="B13" s="17" t="s">
        <v>84</v>
      </c>
      <c r="C13" s="203" t="s">
        <v>506</v>
      </c>
      <c r="D13" s="20"/>
      <c r="E13" s="21"/>
      <c r="F13" s="20"/>
      <c r="G13" s="1318">
        <f>'3.5.1'!G53</f>
        <v>0</v>
      </c>
      <c r="I13" s="23"/>
      <c r="J13" s="24"/>
    </row>
    <row r="14" spans="1:10" x14ac:dyDescent="0.25">
      <c r="A14" s="17"/>
      <c r="B14" s="17"/>
      <c r="C14" s="19"/>
      <c r="D14" s="20"/>
      <c r="E14" s="21"/>
      <c r="F14" s="20"/>
      <c r="G14" s="1318"/>
      <c r="I14" s="23"/>
      <c r="J14" s="24"/>
    </row>
    <row r="15" spans="1:10" x14ac:dyDescent="0.25">
      <c r="A15" s="17"/>
      <c r="B15" s="17" t="s">
        <v>24</v>
      </c>
      <c r="C15" s="19" t="s">
        <v>507</v>
      </c>
      <c r="D15" s="20"/>
      <c r="E15" s="21"/>
      <c r="F15" s="20"/>
      <c r="G15" s="1318">
        <f>ROUND(G16,2)</f>
        <v>0</v>
      </c>
      <c r="I15" s="23"/>
      <c r="J15" s="24"/>
    </row>
    <row r="16" spans="1:10" ht="15.75" thickBot="1" x14ac:dyDescent="0.3">
      <c r="A16" s="17"/>
      <c r="B16" s="17" t="s">
        <v>20</v>
      </c>
      <c r="C16" s="203" t="s">
        <v>506</v>
      </c>
      <c r="D16" s="20"/>
      <c r="E16" s="21"/>
      <c r="F16" s="20"/>
      <c r="G16" s="1318">
        <f>'3.5.1'!G64</f>
        <v>0</v>
      </c>
      <c r="I16" s="23"/>
      <c r="J16" s="24"/>
    </row>
    <row r="17" spans="1:12" ht="15.75" thickTop="1" x14ac:dyDescent="0.25">
      <c r="A17" s="427"/>
      <c r="B17" s="428"/>
      <c r="C17" s="428"/>
      <c r="D17" s="429"/>
      <c r="E17" s="430"/>
      <c r="F17" s="429"/>
      <c r="G17" s="1352"/>
      <c r="I17" s="23"/>
      <c r="J17" s="24"/>
    </row>
    <row r="18" spans="1:12" x14ac:dyDescent="0.25">
      <c r="A18" s="17"/>
      <c r="B18" s="17" t="s">
        <v>494</v>
      </c>
      <c r="C18" s="19" t="s">
        <v>752</v>
      </c>
      <c r="D18" s="20"/>
      <c r="E18" s="21"/>
      <c r="F18" s="20"/>
      <c r="G18" s="1318">
        <f>ROUND(SUM(G20,G27),2)</f>
        <v>0</v>
      </c>
      <c r="I18" s="23"/>
      <c r="J18" s="24"/>
      <c r="L18" s="38"/>
    </row>
    <row r="19" spans="1:12" x14ac:dyDescent="0.25">
      <c r="A19" s="17"/>
      <c r="B19" s="17"/>
      <c r="C19" s="19"/>
      <c r="D19" s="20"/>
      <c r="E19" s="21"/>
      <c r="F19" s="20"/>
      <c r="G19" s="1318"/>
      <c r="I19" s="23"/>
      <c r="J19" s="24"/>
      <c r="L19" s="38"/>
    </row>
    <row r="20" spans="1:12" x14ac:dyDescent="0.25">
      <c r="A20" s="17"/>
      <c r="B20" s="17" t="s">
        <v>22</v>
      </c>
      <c r="C20" s="19" t="s">
        <v>502</v>
      </c>
      <c r="D20" s="20"/>
      <c r="E20" s="21"/>
      <c r="F20" s="20"/>
      <c r="G20" s="1318">
        <f>ROUND(SUM(G21:G25),2)</f>
        <v>0</v>
      </c>
      <c r="I20" s="23"/>
      <c r="J20" s="24"/>
      <c r="L20" s="38"/>
    </row>
    <row r="21" spans="1:12" x14ac:dyDescent="0.25">
      <c r="A21" s="17"/>
      <c r="B21" s="17" t="s">
        <v>20</v>
      </c>
      <c r="C21" s="203" t="s">
        <v>504</v>
      </c>
      <c r="D21" s="20"/>
      <c r="E21" s="21"/>
      <c r="F21" s="20"/>
      <c r="G21" s="1318">
        <f>'3.5.2'!G50</f>
        <v>0</v>
      </c>
      <c r="I21" s="23"/>
      <c r="J21" s="24"/>
      <c r="L21" s="38"/>
    </row>
    <row r="22" spans="1:12" x14ac:dyDescent="0.25">
      <c r="A22" s="17"/>
      <c r="B22" s="17" t="s">
        <v>77</v>
      </c>
      <c r="C22" s="203" t="s">
        <v>505</v>
      </c>
      <c r="D22" s="20"/>
      <c r="E22" s="21"/>
      <c r="F22" s="20"/>
      <c r="G22" s="1318">
        <f>'3.5.2'!G60</f>
        <v>0</v>
      </c>
      <c r="I22" s="23"/>
      <c r="J22" s="24"/>
      <c r="L22" s="38"/>
    </row>
    <row r="23" spans="1:12" x14ac:dyDescent="0.25">
      <c r="A23" s="17"/>
      <c r="B23" s="17" t="s">
        <v>84</v>
      </c>
      <c r="C23" s="203" t="s">
        <v>628</v>
      </c>
      <c r="D23" s="20"/>
      <c r="E23" s="21"/>
      <c r="F23" s="20"/>
      <c r="G23" s="1318">
        <f>'3.5.2'!G96</f>
        <v>0</v>
      </c>
      <c r="I23" s="23"/>
      <c r="J23" s="24"/>
      <c r="L23" s="38"/>
    </row>
    <row r="24" spans="1:12" x14ac:dyDescent="0.25">
      <c r="A24" s="17"/>
      <c r="B24" s="17" t="s">
        <v>86</v>
      </c>
      <c r="C24" s="203" t="s">
        <v>629</v>
      </c>
      <c r="D24" s="20"/>
      <c r="E24" s="21"/>
      <c r="F24" s="20"/>
      <c r="G24" s="1318">
        <f>'3.5.2'!G127</f>
        <v>0</v>
      </c>
      <c r="I24" s="23"/>
      <c r="J24" s="24"/>
      <c r="L24" s="38"/>
    </row>
    <row r="25" spans="1:12" x14ac:dyDescent="0.25">
      <c r="A25" s="17"/>
      <c r="B25" s="17" t="s">
        <v>88</v>
      </c>
      <c r="C25" s="203" t="s">
        <v>630</v>
      </c>
      <c r="D25" s="20"/>
      <c r="E25" s="21"/>
      <c r="F25" s="20"/>
      <c r="G25" s="1318">
        <f>'3.5.2'!G136</f>
        <v>0</v>
      </c>
      <c r="I25" s="23"/>
      <c r="J25" s="24"/>
      <c r="L25" s="38"/>
    </row>
    <row r="26" spans="1:12" x14ac:dyDescent="0.25">
      <c r="A26" s="17"/>
      <c r="B26" s="17"/>
      <c r="C26" s="19"/>
      <c r="D26" s="20"/>
      <c r="E26" s="21"/>
      <c r="F26" s="20"/>
      <c r="G26" s="1318"/>
      <c r="I26" s="23"/>
      <c r="J26" s="24"/>
      <c r="L26" s="38"/>
    </row>
    <row r="27" spans="1:12" x14ac:dyDescent="0.25">
      <c r="A27" s="17"/>
      <c r="B27" s="17" t="s">
        <v>24</v>
      </c>
      <c r="C27" s="19" t="s">
        <v>507</v>
      </c>
      <c r="D27" s="20"/>
      <c r="E27" s="21"/>
      <c r="F27" s="20"/>
      <c r="G27" s="1318">
        <f>ROUND(SUM(G28:G31),2)</f>
        <v>0</v>
      </c>
      <c r="I27" s="23"/>
      <c r="J27" s="24"/>
      <c r="L27" s="38"/>
    </row>
    <row r="28" spans="1:12" x14ac:dyDescent="0.25">
      <c r="A28" s="17"/>
      <c r="B28" s="17" t="s">
        <v>20</v>
      </c>
      <c r="C28" s="203" t="s">
        <v>631</v>
      </c>
      <c r="D28" s="20"/>
      <c r="E28" s="21"/>
      <c r="F28" s="20"/>
      <c r="G28" s="1318">
        <f>'3.5.2'!G160</f>
        <v>0</v>
      </c>
      <c r="I28" s="23"/>
      <c r="J28" s="24"/>
      <c r="L28" s="38"/>
    </row>
    <row r="29" spans="1:12" x14ac:dyDescent="0.25">
      <c r="A29" s="17"/>
      <c r="B29" s="17" t="s">
        <v>77</v>
      </c>
      <c r="C29" s="203" t="s">
        <v>632</v>
      </c>
      <c r="D29" s="20"/>
      <c r="E29" s="21"/>
      <c r="F29" s="20"/>
      <c r="G29" s="1318">
        <f>'3.5.2'!G181</f>
        <v>0</v>
      </c>
      <c r="I29" s="23"/>
      <c r="J29" s="24"/>
      <c r="L29" s="38"/>
    </row>
    <row r="30" spans="1:12" x14ac:dyDescent="0.25">
      <c r="A30" s="17"/>
      <c r="B30" s="17" t="s">
        <v>84</v>
      </c>
      <c r="C30" s="203" t="s">
        <v>633</v>
      </c>
      <c r="D30" s="20"/>
      <c r="E30" s="21"/>
      <c r="F30" s="20"/>
      <c r="G30" s="1318">
        <f>'3.5.2'!G195</f>
        <v>0</v>
      </c>
      <c r="I30" s="23"/>
      <c r="J30" s="24"/>
      <c r="L30" s="38"/>
    </row>
    <row r="31" spans="1:12" ht="15.75" thickBot="1" x14ac:dyDescent="0.3">
      <c r="A31" s="17"/>
      <c r="B31" s="17" t="s">
        <v>86</v>
      </c>
      <c r="C31" s="203" t="s">
        <v>634</v>
      </c>
      <c r="D31" s="20"/>
      <c r="E31" s="21"/>
      <c r="F31" s="20"/>
      <c r="G31" s="1318">
        <f>'3.5.2'!G206</f>
        <v>0</v>
      </c>
      <c r="I31" s="23"/>
      <c r="J31" s="24"/>
      <c r="L31" s="38"/>
    </row>
    <row r="32" spans="1:12" ht="15.75" thickTop="1" x14ac:dyDescent="0.25">
      <c r="A32" s="427"/>
      <c r="B32" s="427"/>
      <c r="C32" s="431"/>
      <c r="D32" s="429"/>
      <c r="E32" s="430"/>
      <c r="F32" s="429"/>
      <c r="G32" s="1352"/>
      <c r="I32" s="24"/>
      <c r="J32" s="24"/>
    </row>
    <row r="33" spans="1:12" x14ac:dyDescent="0.25">
      <c r="A33" s="17"/>
      <c r="B33" s="17" t="s">
        <v>495</v>
      </c>
      <c r="C33" s="19" t="s">
        <v>753</v>
      </c>
      <c r="D33" s="20"/>
      <c r="E33" s="21"/>
      <c r="F33" s="20"/>
      <c r="G33" s="1318">
        <f>ROUND(SUM(G35,G41),2)</f>
        <v>0</v>
      </c>
      <c r="I33" s="23"/>
      <c r="J33" s="24"/>
    </row>
    <row r="34" spans="1:12" x14ac:dyDescent="0.25">
      <c r="A34" s="17"/>
      <c r="B34" s="17"/>
      <c r="C34" s="19"/>
      <c r="D34" s="20"/>
      <c r="E34" s="21"/>
      <c r="F34" s="20"/>
      <c r="G34" s="1318"/>
      <c r="I34" s="23"/>
      <c r="J34" s="24"/>
    </row>
    <row r="35" spans="1:12" x14ac:dyDescent="0.25">
      <c r="A35" s="17"/>
      <c r="B35" s="17" t="s">
        <v>22</v>
      </c>
      <c r="C35" s="19" t="s">
        <v>502</v>
      </c>
      <c r="D35" s="20"/>
      <c r="E35" s="21"/>
      <c r="F35" s="20"/>
      <c r="G35" s="1318">
        <f>ROUND(SUM(G36:G39),2)</f>
        <v>0</v>
      </c>
      <c r="I35" s="23"/>
      <c r="J35" s="24"/>
    </row>
    <row r="36" spans="1:12" x14ac:dyDescent="0.25">
      <c r="A36" s="17"/>
      <c r="B36" s="17" t="s">
        <v>20</v>
      </c>
      <c r="C36" s="203" t="s">
        <v>504</v>
      </c>
      <c r="D36" s="20"/>
      <c r="E36" s="21"/>
      <c r="F36" s="20"/>
      <c r="G36" s="1318">
        <f>'3.5.3'!G43</f>
        <v>0</v>
      </c>
      <c r="I36" s="23"/>
      <c r="J36" s="24"/>
    </row>
    <row r="37" spans="1:12" x14ac:dyDescent="0.25">
      <c r="A37" s="17"/>
      <c r="B37" s="17" t="s">
        <v>77</v>
      </c>
      <c r="C37" s="203" t="s">
        <v>505</v>
      </c>
      <c r="D37" s="20"/>
      <c r="E37" s="21"/>
      <c r="F37" s="20"/>
      <c r="G37" s="1318">
        <f>'3.5.3'!G54</f>
        <v>0</v>
      </c>
      <c r="I37" s="23"/>
      <c r="J37" s="24"/>
    </row>
    <row r="38" spans="1:12" x14ac:dyDescent="0.25">
      <c r="A38" s="17"/>
      <c r="B38" s="17" t="s">
        <v>84</v>
      </c>
      <c r="C38" s="203" t="s">
        <v>628</v>
      </c>
      <c r="D38" s="20"/>
      <c r="E38" s="21"/>
      <c r="F38" s="20"/>
      <c r="G38" s="1318">
        <f>'3.5.3'!G93</f>
        <v>0</v>
      </c>
      <c r="I38" s="23"/>
      <c r="J38" s="24"/>
    </row>
    <row r="39" spans="1:12" x14ac:dyDescent="0.25">
      <c r="A39" s="17"/>
      <c r="B39" s="17" t="s">
        <v>86</v>
      </c>
      <c r="C39" s="203" t="s">
        <v>629</v>
      </c>
      <c r="D39" s="20"/>
      <c r="E39" s="21"/>
      <c r="F39" s="20"/>
      <c r="G39" s="1318">
        <f>'3.5.3'!G136</f>
        <v>0</v>
      </c>
      <c r="I39" s="23"/>
      <c r="J39" s="24"/>
    </row>
    <row r="40" spans="1:12" x14ac:dyDescent="0.25">
      <c r="A40" s="17"/>
      <c r="B40" s="17"/>
      <c r="C40" s="19"/>
      <c r="D40" s="20"/>
      <c r="E40" s="21"/>
      <c r="F40" s="20"/>
      <c r="G40" s="1318"/>
      <c r="I40" s="23"/>
      <c r="J40" s="24"/>
    </row>
    <row r="41" spans="1:12" x14ac:dyDescent="0.25">
      <c r="A41" s="17"/>
      <c r="B41" s="17" t="s">
        <v>24</v>
      </c>
      <c r="C41" s="19" t="s">
        <v>507</v>
      </c>
      <c r="D41" s="20"/>
      <c r="E41" s="21"/>
      <c r="F41" s="20"/>
      <c r="G41" s="1318">
        <f>ROUND(SUM(G42:G45),2)</f>
        <v>0</v>
      </c>
      <c r="I41" s="23"/>
      <c r="J41" s="24"/>
    </row>
    <row r="42" spans="1:12" x14ac:dyDescent="0.25">
      <c r="A42" s="17"/>
      <c r="B42" s="17" t="s">
        <v>20</v>
      </c>
      <c r="C42" s="203" t="s">
        <v>631</v>
      </c>
      <c r="D42" s="20"/>
      <c r="E42" s="21"/>
      <c r="F42" s="20"/>
      <c r="G42" s="1318">
        <f>'3.5.3'!G149</f>
        <v>0</v>
      </c>
      <c r="I42" s="23"/>
      <c r="J42" s="24"/>
    </row>
    <row r="43" spans="1:12" x14ac:dyDescent="0.25">
      <c r="A43" s="17"/>
      <c r="B43" s="17" t="s">
        <v>77</v>
      </c>
      <c r="C43" s="203" t="s">
        <v>632</v>
      </c>
      <c r="D43" s="20"/>
      <c r="E43" s="21"/>
      <c r="F43" s="20"/>
      <c r="G43" s="1318">
        <f>'3.5.3'!G172</f>
        <v>0</v>
      </c>
      <c r="I43" s="23"/>
      <c r="J43" s="24"/>
    </row>
    <row r="44" spans="1:12" x14ac:dyDescent="0.25">
      <c r="A44" s="17"/>
      <c r="B44" s="17" t="s">
        <v>84</v>
      </c>
      <c r="C44" s="203" t="s">
        <v>633</v>
      </c>
      <c r="D44" s="20"/>
      <c r="E44" s="21"/>
      <c r="F44" s="20"/>
      <c r="G44" s="1318">
        <f>'3.5.3'!G186</f>
        <v>0</v>
      </c>
      <c r="I44" s="23"/>
      <c r="J44" s="24"/>
    </row>
    <row r="45" spans="1:12" ht="15.75" thickBot="1" x14ac:dyDescent="0.3">
      <c r="A45" s="17"/>
      <c r="B45" s="17" t="s">
        <v>86</v>
      </c>
      <c r="C45" s="203" t="s">
        <v>634</v>
      </c>
      <c r="D45" s="20"/>
      <c r="E45" s="21"/>
      <c r="F45" s="20"/>
      <c r="G45" s="1318">
        <f>'3.5.3'!G199</f>
        <v>0</v>
      </c>
      <c r="I45" s="23"/>
      <c r="J45" s="24"/>
    </row>
    <row r="46" spans="1:12" ht="15.75" thickTop="1" x14ac:dyDescent="0.25">
      <c r="A46" s="432"/>
      <c r="B46" s="433"/>
      <c r="C46" s="434"/>
      <c r="D46" s="435"/>
      <c r="E46" s="436"/>
      <c r="F46" s="437"/>
      <c r="G46" s="1353"/>
    </row>
    <row r="47" spans="1:12" ht="15.75" customHeight="1" thickBot="1" x14ac:dyDescent="0.3">
      <c r="A47" s="32"/>
      <c r="B47" s="33"/>
      <c r="C47" s="34" t="s">
        <v>508</v>
      </c>
      <c r="D47" s="35"/>
      <c r="E47" s="36"/>
      <c r="F47" s="37"/>
      <c r="G47" s="1320">
        <f>ROUND(SUM(G8,G18,G33),2)</f>
        <v>0</v>
      </c>
      <c r="K47" s="38"/>
      <c r="L47" s="24"/>
    </row>
    <row r="48" spans="1:12" ht="15.75" thickTop="1" x14ac:dyDescent="0.25">
      <c r="A48" s="32"/>
      <c r="B48" s="33"/>
      <c r="C48" s="198"/>
      <c r="D48" s="113"/>
      <c r="E48" s="114"/>
      <c r="F48" s="42"/>
      <c r="G48" s="22"/>
      <c r="K48" s="38"/>
      <c r="L48" s="24"/>
    </row>
    <row r="49" spans="1:7" x14ac:dyDescent="0.25">
      <c r="A49" s="45"/>
      <c r="B49" s="10"/>
      <c r="D49" s="46"/>
      <c r="E49" s="47"/>
      <c r="F49" s="6"/>
      <c r="G49" s="6"/>
    </row>
    <row r="50" spans="1:7" x14ac:dyDescent="0.25">
      <c r="A50" s="45"/>
      <c r="B50" s="10"/>
      <c r="D50" s="46"/>
      <c r="E50" s="47"/>
      <c r="F50" s="6"/>
      <c r="G50" s="6"/>
    </row>
    <row r="51" spans="1:7" x14ac:dyDescent="0.25">
      <c r="A51" s="45"/>
      <c r="B51" s="10"/>
      <c r="D51" s="46"/>
      <c r="E51" s="47"/>
      <c r="F51" s="6"/>
      <c r="G51" s="6"/>
    </row>
    <row r="52" spans="1:7" x14ac:dyDescent="0.25">
      <c r="A52" s="45"/>
      <c r="B52" s="10"/>
      <c r="D52" s="46"/>
      <c r="E52" s="47"/>
      <c r="F52" s="6"/>
      <c r="G52" s="6"/>
    </row>
    <row r="53" spans="1:7" x14ac:dyDescent="0.25">
      <c r="A53" s="45"/>
      <c r="B53" s="10"/>
      <c r="D53" s="46"/>
      <c r="E53" s="47"/>
      <c r="F53" s="6"/>
      <c r="G53" s="6"/>
    </row>
    <row r="54" spans="1:7" x14ac:dyDescent="0.25">
      <c r="A54" s="45"/>
      <c r="B54" s="10"/>
      <c r="D54" s="46"/>
      <c r="E54" s="47"/>
      <c r="F54" s="6"/>
      <c r="G54" s="6"/>
    </row>
    <row r="56" spans="1:7" ht="30" customHeight="1" x14ac:dyDescent="0.25"/>
    <row r="58" spans="1:7" ht="41.25" customHeight="1" x14ac:dyDescent="0.25"/>
    <row r="60" spans="1:7" ht="41.25" customHeight="1" x14ac:dyDescent="0.25"/>
    <row r="64" spans="1:7" x14ac:dyDescent="0.25">
      <c r="B64" s="40"/>
      <c r="C64" s="41"/>
      <c r="D64" s="42"/>
      <c r="E64" s="43"/>
      <c r="F64" s="40"/>
      <c r="G64" s="115"/>
    </row>
  </sheetData>
  <sheetProtection algorithmName="SHA-512" hashValue="NSVLWcQk3VyHZ27x4gPhNhOcsVE6xWDcxWFkIFGTWRDq99zVmdpasD0s3Mkbh0iyDU1MicJ2bvC7iHp4CNbzHg==" saltValue="KRgDxXDBKKYUlcX8q/UE9w==" spinCount="100000" sheet="1" objects="1" scenarios="1"/>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tabColor theme="6" tint="-0.249977111117893"/>
  </sheetPr>
  <dimension ref="A1:L183"/>
  <sheetViews>
    <sheetView view="pageBreakPreview" zoomScale="120" zoomScaleNormal="100" zoomScaleSheetLayoutView="120" workbookViewId="0"/>
  </sheetViews>
  <sheetFormatPr defaultRowHeight="12.75" x14ac:dyDescent="0.2"/>
  <cols>
    <col min="1" max="1" width="2.5703125" style="232" customWidth="1"/>
    <col min="2" max="2" width="4.42578125" style="232" customWidth="1"/>
    <col min="3" max="3" width="81.42578125" style="269" customWidth="1"/>
    <col min="4" max="4" width="20.42578125" style="220" customWidth="1"/>
    <col min="5" max="5" width="11.7109375" style="215" customWidth="1"/>
    <col min="6" max="7" width="11.7109375" style="221" customWidth="1"/>
    <col min="8" max="8" width="16.7109375" style="224" customWidth="1"/>
    <col min="9" max="9" width="9.85546875" style="224" customWidth="1"/>
    <col min="10" max="10" width="2.5703125" style="224" bestFit="1" customWidth="1"/>
    <col min="11" max="11" width="9.140625" style="224"/>
    <col min="12" max="12" width="9" style="224" customWidth="1"/>
    <col min="13" max="256" width="9.140625" style="224"/>
    <col min="257" max="257" width="2.5703125" style="224" customWidth="1"/>
    <col min="258" max="258" width="4.42578125" style="224" customWidth="1"/>
    <col min="259" max="259" width="81.42578125" style="224" customWidth="1"/>
    <col min="260" max="260" width="20.42578125" style="224" customWidth="1"/>
    <col min="261" max="263" width="11.7109375" style="224" customWidth="1"/>
    <col min="264" max="264" width="16.7109375" style="224" customWidth="1"/>
    <col min="265" max="265" width="9.85546875" style="224" customWidth="1"/>
    <col min="266" max="266" width="2.5703125" style="224" bestFit="1" customWidth="1"/>
    <col min="267" max="267" width="9.140625" style="224"/>
    <col min="268" max="268" width="9" style="224" customWidth="1"/>
    <col min="269" max="512" width="9.140625" style="224"/>
    <col min="513" max="513" width="2.5703125" style="224" customWidth="1"/>
    <col min="514" max="514" width="4.42578125" style="224" customWidth="1"/>
    <col min="515" max="515" width="81.42578125" style="224" customWidth="1"/>
    <col min="516" max="516" width="20.42578125" style="224" customWidth="1"/>
    <col min="517" max="519" width="11.7109375" style="224" customWidth="1"/>
    <col min="520" max="520" width="16.7109375" style="224" customWidth="1"/>
    <col min="521" max="521" width="9.85546875" style="224" customWidth="1"/>
    <col min="522" max="522" width="2.5703125" style="224" bestFit="1" customWidth="1"/>
    <col min="523" max="523" width="9.140625" style="224"/>
    <col min="524" max="524" width="9" style="224" customWidth="1"/>
    <col min="525" max="768" width="9.140625" style="224"/>
    <col min="769" max="769" width="2.5703125" style="224" customWidth="1"/>
    <col min="770" max="770" width="4.42578125" style="224" customWidth="1"/>
    <col min="771" max="771" width="81.42578125" style="224" customWidth="1"/>
    <col min="772" max="772" width="20.42578125" style="224" customWidth="1"/>
    <col min="773" max="775" width="11.7109375" style="224" customWidth="1"/>
    <col min="776" max="776" width="16.7109375" style="224" customWidth="1"/>
    <col min="777" max="777" width="9.85546875" style="224" customWidth="1"/>
    <col min="778" max="778" width="2.5703125" style="224" bestFit="1" customWidth="1"/>
    <col min="779" max="779" width="9.140625" style="224"/>
    <col min="780" max="780" width="9" style="224" customWidth="1"/>
    <col min="781" max="1024" width="9.140625" style="224"/>
    <col min="1025" max="1025" width="2.5703125" style="224" customWidth="1"/>
    <col min="1026" max="1026" width="4.42578125" style="224" customWidth="1"/>
    <col min="1027" max="1027" width="81.42578125" style="224" customWidth="1"/>
    <col min="1028" max="1028" width="20.42578125" style="224" customWidth="1"/>
    <col min="1029" max="1031" width="11.7109375" style="224" customWidth="1"/>
    <col min="1032" max="1032" width="16.7109375" style="224" customWidth="1"/>
    <col min="1033" max="1033" width="9.85546875" style="224" customWidth="1"/>
    <col min="1034" max="1034" width="2.5703125" style="224" bestFit="1" customWidth="1"/>
    <col min="1035" max="1035" width="9.140625" style="224"/>
    <col min="1036" max="1036" width="9" style="224" customWidth="1"/>
    <col min="1037" max="1280" width="9.140625" style="224"/>
    <col min="1281" max="1281" width="2.5703125" style="224" customWidth="1"/>
    <col min="1282" max="1282" width="4.42578125" style="224" customWidth="1"/>
    <col min="1283" max="1283" width="81.42578125" style="224" customWidth="1"/>
    <col min="1284" max="1284" width="20.42578125" style="224" customWidth="1"/>
    <col min="1285" max="1287" width="11.7109375" style="224" customWidth="1"/>
    <col min="1288" max="1288" width="16.7109375" style="224" customWidth="1"/>
    <col min="1289" max="1289" width="9.85546875" style="224" customWidth="1"/>
    <col min="1290" max="1290" width="2.5703125" style="224" bestFit="1" customWidth="1"/>
    <col min="1291" max="1291" width="9.140625" style="224"/>
    <col min="1292" max="1292" width="9" style="224" customWidth="1"/>
    <col min="1293" max="1536" width="9.140625" style="224"/>
    <col min="1537" max="1537" width="2.5703125" style="224" customWidth="1"/>
    <col min="1538" max="1538" width="4.42578125" style="224" customWidth="1"/>
    <col min="1539" max="1539" width="81.42578125" style="224" customWidth="1"/>
    <col min="1540" max="1540" width="20.42578125" style="224" customWidth="1"/>
    <col min="1541" max="1543" width="11.7109375" style="224" customWidth="1"/>
    <col min="1544" max="1544" width="16.7109375" style="224" customWidth="1"/>
    <col min="1545" max="1545" width="9.85546875" style="224" customWidth="1"/>
    <col min="1546" max="1546" width="2.5703125" style="224" bestFit="1" customWidth="1"/>
    <col min="1547" max="1547" width="9.140625" style="224"/>
    <col min="1548" max="1548" width="9" style="224" customWidth="1"/>
    <col min="1549" max="1792" width="9.140625" style="224"/>
    <col min="1793" max="1793" width="2.5703125" style="224" customWidth="1"/>
    <col min="1794" max="1794" width="4.42578125" style="224" customWidth="1"/>
    <col min="1795" max="1795" width="81.42578125" style="224" customWidth="1"/>
    <col min="1796" max="1796" width="20.42578125" style="224" customWidth="1"/>
    <col min="1797" max="1799" width="11.7109375" style="224" customWidth="1"/>
    <col min="1800" max="1800" width="16.7109375" style="224" customWidth="1"/>
    <col min="1801" max="1801" width="9.85546875" style="224" customWidth="1"/>
    <col min="1802" max="1802" width="2.5703125" style="224" bestFit="1" customWidth="1"/>
    <col min="1803" max="1803" width="9.140625" style="224"/>
    <col min="1804" max="1804" width="9" style="224" customWidth="1"/>
    <col min="1805" max="2048" width="9.140625" style="224"/>
    <col min="2049" max="2049" width="2.5703125" style="224" customWidth="1"/>
    <col min="2050" max="2050" width="4.42578125" style="224" customWidth="1"/>
    <col min="2051" max="2051" width="81.42578125" style="224" customWidth="1"/>
    <col min="2052" max="2052" width="20.42578125" style="224" customWidth="1"/>
    <col min="2053" max="2055" width="11.7109375" style="224" customWidth="1"/>
    <col min="2056" max="2056" width="16.7109375" style="224" customWidth="1"/>
    <col min="2057" max="2057" width="9.85546875" style="224" customWidth="1"/>
    <col min="2058" max="2058" width="2.5703125" style="224" bestFit="1" customWidth="1"/>
    <col min="2059" max="2059" width="9.140625" style="224"/>
    <col min="2060" max="2060" width="9" style="224" customWidth="1"/>
    <col min="2061" max="2304" width="9.140625" style="224"/>
    <col min="2305" max="2305" width="2.5703125" style="224" customWidth="1"/>
    <col min="2306" max="2306" width="4.42578125" style="224" customWidth="1"/>
    <col min="2307" max="2307" width="81.42578125" style="224" customWidth="1"/>
    <col min="2308" max="2308" width="20.42578125" style="224" customWidth="1"/>
    <col min="2309" max="2311" width="11.7109375" style="224" customWidth="1"/>
    <col min="2312" max="2312" width="16.7109375" style="224" customWidth="1"/>
    <col min="2313" max="2313" width="9.85546875" style="224" customWidth="1"/>
    <col min="2314" max="2314" width="2.5703125" style="224" bestFit="1" customWidth="1"/>
    <col min="2315" max="2315" width="9.140625" style="224"/>
    <col min="2316" max="2316" width="9" style="224" customWidth="1"/>
    <col min="2317" max="2560" width="9.140625" style="224"/>
    <col min="2561" max="2561" width="2.5703125" style="224" customWidth="1"/>
    <col min="2562" max="2562" width="4.42578125" style="224" customWidth="1"/>
    <col min="2563" max="2563" width="81.42578125" style="224" customWidth="1"/>
    <col min="2564" max="2564" width="20.42578125" style="224" customWidth="1"/>
    <col min="2565" max="2567" width="11.7109375" style="224" customWidth="1"/>
    <col min="2568" max="2568" width="16.7109375" style="224" customWidth="1"/>
    <col min="2569" max="2569" width="9.85546875" style="224" customWidth="1"/>
    <col min="2570" max="2570" width="2.5703125" style="224" bestFit="1" customWidth="1"/>
    <col min="2571" max="2571" width="9.140625" style="224"/>
    <col min="2572" max="2572" width="9" style="224" customWidth="1"/>
    <col min="2573" max="2816" width="9.140625" style="224"/>
    <col min="2817" max="2817" width="2.5703125" style="224" customWidth="1"/>
    <col min="2818" max="2818" width="4.42578125" style="224" customWidth="1"/>
    <col min="2819" max="2819" width="81.42578125" style="224" customWidth="1"/>
    <col min="2820" max="2820" width="20.42578125" style="224" customWidth="1"/>
    <col min="2821" max="2823" width="11.7109375" style="224" customWidth="1"/>
    <col min="2824" max="2824" width="16.7109375" style="224" customWidth="1"/>
    <col min="2825" max="2825" width="9.85546875" style="224" customWidth="1"/>
    <col min="2826" max="2826" width="2.5703125" style="224" bestFit="1" customWidth="1"/>
    <col min="2827" max="2827" width="9.140625" style="224"/>
    <col min="2828" max="2828" width="9" style="224" customWidth="1"/>
    <col min="2829" max="3072" width="9.140625" style="224"/>
    <col min="3073" max="3073" width="2.5703125" style="224" customWidth="1"/>
    <col min="3074" max="3074" width="4.42578125" style="224" customWidth="1"/>
    <col min="3075" max="3075" width="81.42578125" style="224" customWidth="1"/>
    <col min="3076" max="3076" width="20.42578125" style="224" customWidth="1"/>
    <col min="3077" max="3079" width="11.7109375" style="224" customWidth="1"/>
    <col min="3080" max="3080" width="16.7109375" style="224" customWidth="1"/>
    <col min="3081" max="3081" width="9.85546875" style="224" customWidth="1"/>
    <col min="3082" max="3082" width="2.5703125" style="224" bestFit="1" customWidth="1"/>
    <col min="3083" max="3083" width="9.140625" style="224"/>
    <col min="3084" max="3084" width="9" style="224" customWidth="1"/>
    <col min="3085" max="3328" width="9.140625" style="224"/>
    <col min="3329" max="3329" width="2.5703125" style="224" customWidth="1"/>
    <col min="3330" max="3330" width="4.42578125" style="224" customWidth="1"/>
    <col min="3331" max="3331" width="81.42578125" style="224" customWidth="1"/>
    <col min="3332" max="3332" width="20.42578125" style="224" customWidth="1"/>
    <col min="3333" max="3335" width="11.7109375" style="224" customWidth="1"/>
    <col min="3336" max="3336" width="16.7109375" style="224" customWidth="1"/>
    <col min="3337" max="3337" width="9.85546875" style="224" customWidth="1"/>
    <col min="3338" max="3338" width="2.5703125" style="224" bestFit="1" customWidth="1"/>
    <col min="3339" max="3339" width="9.140625" style="224"/>
    <col min="3340" max="3340" width="9" style="224" customWidth="1"/>
    <col min="3341" max="3584" width="9.140625" style="224"/>
    <col min="3585" max="3585" width="2.5703125" style="224" customWidth="1"/>
    <col min="3586" max="3586" width="4.42578125" style="224" customWidth="1"/>
    <col min="3587" max="3587" width="81.42578125" style="224" customWidth="1"/>
    <col min="3588" max="3588" width="20.42578125" style="224" customWidth="1"/>
    <col min="3589" max="3591" width="11.7109375" style="224" customWidth="1"/>
    <col min="3592" max="3592" width="16.7109375" style="224" customWidth="1"/>
    <col min="3593" max="3593" width="9.85546875" style="224" customWidth="1"/>
    <col min="3594" max="3594" width="2.5703125" style="224" bestFit="1" customWidth="1"/>
    <col min="3595" max="3595" width="9.140625" style="224"/>
    <col min="3596" max="3596" width="9" style="224" customWidth="1"/>
    <col min="3597" max="3840" width="9.140625" style="224"/>
    <col min="3841" max="3841" width="2.5703125" style="224" customWidth="1"/>
    <col min="3842" max="3842" width="4.42578125" style="224" customWidth="1"/>
    <col min="3843" max="3843" width="81.42578125" style="224" customWidth="1"/>
    <col min="3844" max="3844" width="20.42578125" style="224" customWidth="1"/>
    <col min="3845" max="3847" width="11.7109375" style="224" customWidth="1"/>
    <col min="3848" max="3848" width="16.7109375" style="224" customWidth="1"/>
    <col min="3849" max="3849" width="9.85546875" style="224" customWidth="1"/>
    <col min="3850" max="3850" width="2.5703125" style="224" bestFit="1" customWidth="1"/>
    <col min="3851" max="3851" width="9.140625" style="224"/>
    <col min="3852" max="3852" width="9" style="224" customWidth="1"/>
    <col min="3853" max="4096" width="9.140625" style="224"/>
    <col min="4097" max="4097" width="2.5703125" style="224" customWidth="1"/>
    <col min="4098" max="4098" width="4.42578125" style="224" customWidth="1"/>
    <col min="4099" max="4099" width="81.42578125" style="224" customWidth="1"/>
    <col min="4100" max="4100" width="20.42578125" style="224" customWidth="1"/>
    <col min="4101" max="4103" width="11.7109375" style="224" customWidth="1"/>
    <col min="4104" max="4104" width="16.7109375" style="224" customWidth="1"/>
    <col min="4105" max="4105" width="9.85546875" style="224" customWidth="1"/>
    <col min="4106" max="4106" width="2.5703125" style="224" bestFit="1" customWidth="1"/>
    <col min="4107" max="4107" width="9.140625" style="224"/>
    <col min="4108" max="4108" width="9" style="224" customWidth="1"/>
    <col min="4109" max="4352" width="9.140625" style="224"/>
    <col min="4353" max="4353" width="2.5703125" style="224" customWidth="1"/>
    <col min="4354" max="4354" width="4.42578125" style="224" customWidth="1"/>
    <col min="4355" max="4355" width="81.42578125" style="224" customWidth="1"/>
    <col min="4356" max="4356" width="20.42578125" style="224" customWidth="1"/>
    <col min="4357" max="4359" width="11.7109375" style="224" customWidth="1"/>
    <col min="4360" max="4360" width="16.7109375" style="224" customWidth="1"/>
    <col min="4361" max="4361" width="9.85546875" style="224" customWidth="1"/>
    <col min="4362" max="4362" width="2.5703125" style="224" bestFit="1" customWidth="1"/>
    <col min="4363" max="4363" width="9.140625" style="224"/>
    <col min="4364" max="4364" width="9" style="224" customWidth="1"/>
    <col min="4365" max="4608" width="9.140625" style="224"/>
    <col min="4609" max="4609" width="2.5703125" style="224" customWidth="1"/>
    <col min="4610" max="4610" width="4.42578125" style="224" customWidth="1"/>
    <col min="4611" max="4611" width="81.42578125" style="224" customWidth="1"/>
    <col min="4612" max="4612" width="20.42578125" style="224" customWidth="1"/>
    <col min="4613" max="4615" width="11.7109375" style="224" customWidth="1"/>
    <col min="4616" max="4616" width="16.7109375" style="224" customWidth="1"/>
    <col min="4617" max="4617" width="9.85546875" style="224" customWidth="1"/>
    <col min="4618" max="4618" width="2.5703125" style="224" bestFit="1" customWidth="1"/>
    <col min="4619" max="4619" width="9.140625" style="224"/>
    <col min="4620" max="4620" width="9" style="224" customWidth="1"/>
    <col min="4621" max="4864" width="9.140625" style="224"/>
    <col min="4865" max="4865" width="2.5703125" style="224" customWidth="1"/>
    <col min="4866" max="4866" width="4.42578125" style="224" customWidth="1"/>
    <col min="4867" max="4867" width="81.42578125" style="224" customWidth="1"/>
    <col min="4868" max="4868" width="20.42578125" style="224" customWidth="1"/>
    <col min="4869" max="4871" width="11.7109375" style="224" customWidth="1"/>
    <col min="4872" max="4872" width="16.7109375" style="224" customWidth="1"/>
    <col min="4873" max="4873" width="9.85546875" style="224" customWidth="1"/>
    <col min="4874" max="4874" width="2.5703125" style="224" bestFit="1" customWidth="1"/>
    <col min="4875" max="4875" width="9.140625" style="224"/>
    <col min="4876" max="4876" width="9" style="224" customWidth="1"/>
    <col min="4877" max="5120" width="9.140625" style="224"/>
    <col min="5121" max="5121" width="2.5703125" style="224" customWidth="1"/>
    <col min="5122" max="5122" width="4.42578125" style="224" customWidth="1"/>
    <col min="5123" max="5123" width="81.42578125" style="224" customWidth="1"/>
    <col min="5124" max="5124" width="20.42578125" style="224" customWidth="1"/>
    <col min="5125" max="5127" width="11.7109375" style="224" customWidth="1"/>
    <col min="5128" max="5128" width="16.7109375" style="224" customWidth="1"/>
    <col min="5129" max="5129" width="9.85546875" style="224" customWidth="1"/>
    <col min="5130" max="5130" width="2.5703125" style="224" bestFit="1" customWidth="1"/>
    <col min="5131" max="5131" width="9.140625" style="224"/>
    <col min="5132" max="5132" width="9" style="224" customWidth="1"/>
    <col min="5133" max="5376" width="9.140625" style="224"/>
    <col min="5377" max="5377" width="2.5703125" style="224" customWidth="1"/>
    <col min="5378" max="5378" width="4.42578125" style="224" customWidth="1"/>
    <col min="5379" max="5379" width="81.42578125" style="224" customWidth="1"/>
    <col min="5380" max="5380" width="20.42578125" style="224" customWidth="1"/>
    <col min="5381" max="5383" width="11.7109375" style="224" customWidth="1"/>
    <col min="5384" max="5384" width="16.7109375" style="224" customWidth="1"/>
    <col min="5385" max="5385" width="9.85546875" style="224" customWidth="1"/>
    <col min="5386" max="5386" width="2.5703125" style="224" bestFit="1" customWidth="1"/>
    <col min="5387" max="5387" width="9.140625" style="224"/>
    <col min="5388" max="5388" width="9" style="224" customWidth="1"/>
    <col min="5389" max="5632" width="9.140625" style="224"/>
    <col min="5633" max="5633" width="2.5703125" style="224" customWidth="1"/>
    <col min="5634" max="5634" width="4.42578125" style="224" customWidth="1"/>
    <col min="5635" max="5635" width="81.42578125" style="224" customWidth="1"/>
    <col min="5636" max="5636" width="20.42578125" style="224" customWidth="1"/>
    <col min="5637" max="5639" width="11.7109375" style="224" customWidth="1"/>
    <col min="5640" max="5640" width="16.7109375" style="224" customWidth="1"/>
    <col min="5641" max="5641" width="9.85546875" style="224" customWidth="1"/>
    <col min="5642" max="5642" width="2.5703125" style="224" bestFit="1" customWidth="1"/>
    <col min="5643" max="5643" width="9.140625" style="224"/>
    <col min="5644" max="5644" width="9" style="224" customWidth="1"/>
    <col min="5645" max="5888" width="9.140625" style="224"/>
    <col min="5889" max="5889" width="2.5703125" style="224" customWidth="1"/>
    <col min="5890" max="5890" width="4.42578125" style="224" customWidth="1"/>
    <col min="5891" max="5891" width="81.42578125" style="224" customWidth="1"/>
    <col min="5892" max="5892" width="20.42578125" style="224" customWidth="1"/>
    <col min="5893" max="5895" width="11.7109375" style="224" customWidth="1"/>
    <col min="5896" max="5896" width="16.7109375" style="224" customWidth="1"/>
    <col min="5897" max="5897" width="9.85546875" style="224" customWidth="1"/>
    <col min="5898" max="5898" width="2.5703125" style="224" bestFit="1" customWidth="1"/>
    <col min="5899" max="5899" width="9.140625" style="224"/>
    <col min="5900" max="5900" width="9" style="224" customWidth="1"/>
    <col min="5901" max="6144" width="9.140625" style="224"/>
    <col min="6145" max="6145" width="2.5703125" style="224" customWidth="1"/>
    <col min="6146" max="6146" width="4.42578125" style="224" customWidth="1"/>
    <col min="6147" max="6147" width="81.42578125" style="224" customWidth="1"/>
    <col min="6148" max="6148" width="20.42578125" style="224" customWidth="1"/>
    <col min="6149" max="6151" width="11.7109375" style="224" customWidth="1"/>
    <col min="6152" max="6152" width="16.7109375" style="224" customWidth="1"/>
    <col min="6153" max="6153" width="9.85546875" style="224" customWidth="1"/>
    <col min="6154" max="6154" width="2.5703125" style="224" bestFit="1" customWidth="1"/>
    <col min="6155" max="6155" width="9.140625" style="224"/>
    <col min="6156" max="6156" width="9" style="224" customWidth="1"/>
    <col min="6157" max="6400" width="9.140625" style="224"/>
    <col min="6401" max="6401" width="2.5703125" style="224" customWidth="1"/>
    <col min="6402" max="6402" width="4.42578125" style="224" customWidth="1"/>
    <col min="6403" max="6403" width="81.42578125" style="224" customWidth="1"/>
    <col min="6404" max="6404" width="20.42578125" style="224" customWidth="1"/>
    <col min="6405" max="6407" width="11.7109375" style="224" customWidth="1"/>
    <col min="6408" max="6408" width="16.7109375" style="224" customWidth="1"/>
    <col min="6409" max="6409" width="9.85546875" style="224" customWidth="1"/>
    <col min="6410" max="6410" width="2.5703125" style="224" bestFit="1" customWidth="1"/>
    <col min="6411" max="6411" width="9.140625" style="224"/>
    <col min="6412" max="6412" width="9" style="224" customWidth="1"/>
    <col min="6413" max="6656" width="9.140625" style="224"/>
    <col min="6657" max="6657" width="2.5703125" style="224" customWidth="1"/>
    <col min="6658" max="6658" width="4.42578125" style="224" customWidth="1"/>
    <col min="6659" max="6659" width="81.42578125" style="224" customWidth="1"/>
    <col min="6660" max="6660" width="20.42578125" style="224" customWidth="1"/>
    <col min="6661" max="6663" width="11.7109375" style="224" customWidth="1"/>
    <col min="6664" max="6664" width="16.7109375" style="224" customWidth="1"/>
    <col min="6665" max="6665" width="9.85546875" style="224" customWidth="1"/>
    <col min="6666" max="6666" width="2.5703125" style="224" bestFit="1" customWidth="1"/>
    <col min="6667" max="6667" width="9.140625" style="224"/>
    <col min="6668" max="6668" width="9" style="224" customWidth="1"/>
    <col min="6669" max="6912" width="9.140625" style="224"/>
    <col min="6913" max="6913" width="2.5703125" style="224" customWidth="1"/>
    <col min="6914" max="6914" width="4.42578125" style="224" customWidth="1"/>
    <col min="6915" max="6915" width="81.42578125" style="224" customWidth="1"/>
    <col min="6916" max="6916" width="20.42578125" style="224" customWidth="1"/>
    <col min="6917" max="6919" width="11.7109375" style="224" customWidth="1"/>
    <col min="6920" max="6920" width="16.7109375" style="224" customWidth="1"/>
    <col min="6921" max="6921" width="9.85546875" style="224" customWidth="1"/>
    <col min="6922" max="6922" width="2.5703125" style="224" bestFit="1" customWidth="1"/>
    <col min="6923" max="6923" width="9.140625" style="224"/>
    <col min="6924" max="6924" width="9" style="224" customWidth="1"/>
    <col min="6925" max="7168" width="9.140625" style="224"/>
    <col min="7169" max="7169" width="2.5703125" style="224" customWidth="1"/>
    <col min="7170" max="7170" width="4.42578125" style="224" customWidth="1"/>
    <col min="7171" max="7171" width="81.42578125" style="224" customWidth="1"/>
    <col min="7172" max="7172" width="20.42578125" style="224" customWidth="1"/>
    <col min="7173" max="7175" width="11.7109375" style="224" customWidth="1"/>
    <col min="7176" max="7176" width="16.7109375" style="224" customWidth="1"/>
    <col min="7177" max="7177" width="9.85546875" style="224" customWidth="1"/>
    <col min="7178" max="7178" width="2.5703125" style="224" bestFit="1" customWidth="1"/>
    <col min="7179" max="7179" width="9.140625" style="224"/>
    <col min="7180" max="7180" width="9" style="224" customWidth="1"/>
    <col min="7181" max="7424" width="9.140625" style="224"/>
    <col min="7425" max="7425" width="2.5703125" style="224" customWidth="1"/>
    <col min="7426" max="7426" width="4.42578125" style="224" customWidth="1"/>
    <col min="7427" max="7427" width="81.42578125" style="224" customWidth="1"/>
    <col min="7428" max="7428" width="20.42578125" style="224" customWidth="1"/>
    <col min="7429" max="7431" width="11.7109375" style="224" customWidth="1"/>
    <col min="7432" max="7432" width="16.7109375" style="224" customWidth="1"/>
    <col min="7433" max="7433" width="9.85546875" style="224" customWidth="1"/>
    <col min="7434" max="7434" width="2.5703125" style="224" bestFit="1" customWidth="1"/>
    <col min="7435" max="7435" width="9.140625" style="224"/>
    <col min="7436" max="7436" width="9" style="224" customWidth="1"/>
    <col min="7437" max="7680" width="9.140625" style="224"/>
    <col min="7681" max="7681" width="2.5703125" style="224" customWidth="1"/>
    <col min="7682" max="7682" width="4.42578125" style="224" customWidth="1"/>
    <col min="7683" max="7683" width="81.42578125" style="224" customWidth="1"/>
    <col min="7684" max="7684" width="20.42578125" style="224" customWidth="1"/>
    <col min="7685" max="7687" width="11.7109375" style="224" customWidth="1"/>
    <col min="7688" max="7688" width="16.7109375" style="224" customWidth="1"/>
    <col min="7689" max="7689" width="9.85546875" style="224" customWidth="1"/>
    <col min="7690" max="7690" width="2.5703125" style="224" bestFit="1" customWidth="1"/>
    <col min="7691" max="7691" width="9.140625" style="224"/>
    <col min="7692" max="7692" width="9" style="224" customWidth="1"/>
    <col min="7693" max="7936" width="9.140625" style="224"/>
    <col min="7937" max="7937" width="2.5703125" style="224" customWidth="1"/>
    <col min="7938" max="7938" width="4.42578125" style="224" customWidth="1"/>
    <col min="7939" max="7939" width="81.42578125" style="224" customWidth="1"/>
    <col min="7940" max="7940" width="20.42578125" style="224" customWidth="1"/>
    <col min="7941" max="7943" width="11.7109375" style="224" customWidth="1"/>
    <col min="7944" max="7944" width="16.7109375" style="224" customWidth="1"/>
    <col min="7945" max="7945" width="9.85546875" style="224" customWidth="1"/>
    <col min="7946" max="7946" width="2.5703125" style="224" bestFit="1" customWidth="1"/>
    <col min="7947" max="7947" width="9.140625" style="224"/>
    <col min="7948" max="7948" width="9" style="224" customWidth="1"/>
    <col min="7949" max="8192" width="9.140625" style="224"/>
    <col min="8193" max="8193" width="2.5703125" style="224" customWidth="1"/>
    <col min="8194" max="8194" width="4.42578125" style="224" customWidth="1"/>
    <col min="8195" max="8195" width="81.42578125" style="224" customWidth="1"/>
    <col min="8196" max="8196" width="20.42578125" style="224" customWidth="1"/>
    <col min="8197" max="8199" width="11.7109375" style="224" customWidth="1"/>
    <col min="8200" max="8200" width="16.7109375" style="224" customWidth="1"/>
    <col min="8201" max="8201" width="9.85546875" style="224" customWidth="1"/>
    <col min="8202" max="8202" width="2.5703125" style="224" bestFit="1" customWidth="1"/>
    <col min="8203" max="8203" width="9.140625" style="224"/>
    <col min="8204" max="8204" width="9" style="224" customWidth="1"/>
    <col min="8205" max="8448" width="9.140625" style="224"/>
    <col min="8449" max="8449" width="2.5703125" style="224" customWidth="1"/>
    <col min="8450" max="8450" width="4.42578125" style="224" customWidth="1"/>
    <col min="8451" max="8451" width="81.42578125" style="224" customWidth="1"/>
    <col min="8452" max="8452" width="20.42578125" style="224" customWidth="1"/>
    <col min="8453" max="8455" width="11.7109375" style="224" customWidth="1"/>
    <col min="8456" max="8456" width="16.7109375" style="224" customWidth="1"/>
    <col min="8457" max="8457" width="9.85546875" style="224" customWidth="1"/>
    <col min="8458" max="8458" width="2.5703125" style="224" bestFit="1" customWidth="1"/>
    <col min="8459" max="8459" width="9.140625" style="224"/>
    <col min="8460" max="8460" width="9" style="224" customWidth="1"/>
    <col min="8461" max="8704" width="9.140625" style="224"/>
    <col min="8705" max="8705" width="2.5703125" style="224" customWidth="1"/>
    <col min="8706" max="8706" width="4.42578125" style="224" customWidth="1"/>
    <col min="8707" max="8707" width="81.42578125" style="224" customWidth="1"/>
    <col min="8708" max="8708" width="20.42578125" style="224" customWidth="1"/>
    <col min="8709" max="8711" width="11.7109375" style="224" customWidth="1"/>
    <col min="8712" max="8712" width="16.7109375" style="224" customWidth="1"/>
    <col min="8713" max="8713" width="9.85546875" style="224" customWidth="1"/>
    <col min="8714" max="8714" width="2.5703125" style="224" bestFit="1" customWidth="1"/>
    <col min="8715" max="8715" width="9.140625" style="224"/>
    <col min="8716" max="8716" width="9" style="224" customWidth="1"/>
    <col min="8717" max="8960" width="9.140625" style="224"/>
    <col min="8961" max="8961" width="2.5703125" style="224" customWidth="1"/>
    <col min="8962" max="8962" width="4.42578125" style="224" customWidth="1"/>
    <col min="8963" max="8963" width="81.42578125" style="224" customWidth="1"/>
    <col min="8964" max="8964" width="20.42578125" style="224" customWidth="1"/>
    <col min="8965" max="8967" width="11.7109375" style="224" customWidth="1"/>
    <col min="8968" max="8968" width="16.7109375" style="224" customWidth="1"/>
    <col min="8969" max="8969" width="9.85546875" style="224" customWidth="1"/>
    <col min="8970" max="8970" width="2.5703125" style="224" bestFit="1" customWidth="1"/>
    <col min="8971" max="8971" width="9.140625" style="224"/>
    <col min="8972" max="8972" width="9" style="224" customWidth="1"/>
    <col min="8973" max="9216" width="9.140625" style="224"/>
    <col min="9217" max="9217" width="2.5703125" style="224" customWidth="1"/>
    <col min="9218" max="9218" width="4.42578125" style="224" customWidth="1"/>
    <col min="9219" max="9219" width="81.42578125" style="224" customWidth="1"/>
    <col min="9220" max="9220" width="20.42578125" style="224" customWidth="1"/>
    <col min="9221" max="9223" width="11.7109375" style="224" customWidth="1"/>
    <col min="9224" max="9224" width="16.7109375" style="224" customWidth="1"/>
    <col min="9225" max="9225" width="9.85546875" style="224" customWidth="1"/>
    <col min="9226" max="9226" width="2.5703125" style="224" bestFit="1" customWidth="1"/>
    <col min="9227" max="9227" width="9.140625" style="224"/>
    <col min="9228" max="9228" width="9" style="224" customWidth="1"/>
    <col min="9229" max="9472" width="9.140625" style="224"/>
    <col min="9473" max="9473" width="2.5703125" style="224" customWidth="1"/>
    <col min="9474" max="9474" width="4.42578125" style="224" customWidth="1"/>
    <col min="9475" max="9475" width="81.42578125" style="224" customWidth="1"/>
    <col min="9476" max="9476" width="20.42578125" style="224" customWidth="1"/>
    <col min="9477" max="9479" width="11.7109375" style="224" customWidth="1"/>
    <col min="9480" max="9480" width="16.7109375" style="224" customWidth="1"/>
    <col min="9481" max="9481" width="9.85546875" style="224" customWidth="1"/>
    <col min="9482" max="9482" width="2.5703125" style="224" bestFit="1" customWidth="1"/>
    <col min="9483" max="9483" width="9.140625" style="224"/>
    <col min="9484" max="9484" width="9" style="224" customWidth="1"/>
    <col min="9485" max="9728" width="9.140625" style="224"/>
    <col min="9729" max="9729" width="2.5703125" style="224" customWidth="1"/>
    <col min="9730" max="9730" width="4.42578125" style="224" customWidth="1"/>
    <col min="9731" max="9731" width="81.42578125" style="224" customWidth="1"/>
    <col min="9732" max="9732" width="20.42578125" style="224" customWidth="1"/>
    <col min="9733" max="9735" width="11.7109375" style="224" customWidth="1"/>
    <col min="9736" max="9736" width="16.7109375" style="224" customWidth="1"/>
    <col min="9737" max="9737" width="9.85546875" style="224" customWidth="1"/>
    <col min="9738" max="9738" width="2.5703125" style="224" bestFit="1" customWidth="1"/>
    <col min="9739" max="9739" width="9.140625" style="224"/>
    <col min="9740" max="9740" width="9" style="224" customWidth="1"/>
    <col min="9741" max="9984" width="9.140625" style="224"/>
    <col min="9985" max="9985" width="2.5703125" style="224" customWidth="1"/>
    <col min="9986" max="9986" width="4.42578125" style="224" customWidth="1"/>
    <col min="9987" max="9987" width="81.42578125" style="224" customWidth="1"/>
    <col min="9988" max="9988" width="20.42578125" style="224" customWidth="1"/>
    <col min="9989" max="9991" width="11.7109375" style="224" customWidth="1"/>
    <col min="9992" max="9992" width="16.7109375" style="224" customWidth="1"/>
    <col min="9993" max="9993" width="9.85546875" style="224" customWidth="1"/>
    <col min="9994" max="9994" width="2.5703125" style="224" bestFit="1" customWidth="1"/>
    <col min="9995" max="9995" width="9.140625" style="224"/>
    <col min="9996" max="9996" width="9" style="224" customWidth="1"/>
    <col min="9997" max="10240" width="9.140625" style="224"/>
    <col min="10241" max="10241" width="2.5703125" style="224" customWidth="1"/>
    <col min="10242" max="10242" width="4.42578125" style="224" customWidth="1"/>
    <col min="10243" max="10243" width="81.42578125" style="224" customWidth="1"/>
    <col min="10244" max="10244" width="20.42578125" style="224" customWidth="1"/>
    <col min="10245" max="10247" width="11.7109375" style="224" customWidth="1"/>
    <col min="10248" max="10248" width="16.7109375" style="224" customWidth="1"/>
    <col min="10249" max="10249" width="9.85546875" style="224" customWidth="1"/>
    <col min="10250" max="10250" width="2.5703125" style="224" bestFit="1" customWidth="1"/>
    <col min="10251" max="10251" width="9.140625" style="224"/>
    <col min="10252" max="10252" width="9" style="224" customWidth="1"/>
    <col min="10253" max="10496" width="9.140625" style="224"/>
    <col min="10497" max="10497" width="2.5703125" style="224" customWidth="1"/>
    <col min="10498" max="10498" width="4.42578125" style="224" customWidth="1"/>
    <col min="10499" max="10499" width="81.42578125" style="224" customWidth="1"/>
    <col min="10500" max="10500" width="20.42578125" style="224" customWidth="1"/>
    <col min="10501" max="10503" width="11.7109375" style="224" customWidth="1"/>
    <col min="10504" max="10504" width="16.7109375" style="224" customWidth="1"/>
    <col min="10505" max="10505" width="9.85546875" style="224" customWidth="1"/>
    <col min="10506" max="10506" width="2.5703125" style="224" bestFit="1" customWidth="1"/>
    <col min="10507" max="10507" width="9.140625" style="224"/>
    <col min="10508" max="10508" width="9" style="224" customWidth="1"/>
    <col min="10509" max="10752" width="9.140625" style="224"/>
    <col min="10753" max="10753" width="2.5703125" style="224" customWidth="1"/>
    <col min="10754" max="10754" width="4.42578125" style="224" customWidth="1"/>
    <col min="10755" max="10755" width="81.42578125" style="224" customWidth="1"/>
    <col min="10756" max="10756" width="20.42578125" style="224" customWidth="1"/>
    <col min="10757" max="10759" width="11.7109375" style="224" customWidth="1"/>
    <col min="10760" max="10760" width="16.7109375" style="224" customWidth="1"/>
    <col min="10761" max="10761" width="9.85546875" style="224" customWidth="1"/>
    <col min="10762" max="10762" width="2.5703125" style="224" bestFit="1" customWidth="1"/>
    <col min="10763" max="10763" width="9.140625" style="224"/>
    <col min="10764" max="10764" width="9" style="224" customWidth="1"/>
    <col min="10765" max="11008" width="9.140625" style="224"/>
    <col min="11009" max="11009" width="2.5703125" style="224" customWidth="1"/>
    <col min="11010" max="11010" width="4.42578125" style="224" customWidth="1"/>
    <col min="11011" max="11011" width="81.42578125" style="224" customWidth="1"/>
    <col min="11012" max="11012" width="20.42578125" style="224" customWidth="1"/>
    <col min="11013" max="11015" width="11.7109375" style="224" customWidth="1"/>
    <col min="11016" max="11016" width="16.7109375" style="224" customWidth="1"/>
    <col min="11017" max="11017" width="9.85546875" style="224" customWidth="1"/>
    <col min="11018" max="11018" width="2.5703125" style="224" bestFit="1" customWidth="1"/>
    <col min="11019" max="11019" width="9.140625" style="224"/>
    <col min="11020" max="11020" width="9" style="224" customWidth="1"/>
    <col min="11021" max="11264" width="9.140625" style="224"/>
    <col min="11265" max="11265" width="2.5703125" style="224" customWidth="1"/>
    <col min="11266" max="11266" width="4.42578125" style="224" customWidth="1"/>
    <col min="11267" max="11267" width="81.42578125" style="224" customWidth="1"/>
    <col min="11268" max="11268" width="20.42578125" style="224" customWidth="1"/>
    <col min="11269" max="11271" width="11.7109375" style="224" customWidth="1"/>
    <col min="11272" max="11272" width="16.7109375" style="224" customWidth="1"/>
    <col min="11273" max="11273" width="9.85546875" style="224" customWidth="1"/>
    <col min="11274" max="11274" width="2.5703125" style="224" bestFit="1" customWidth="1"/>
    <col min="11275" max="11275" width="9.140625" style="224"/>
    <col min="11276" max="11276" width="9" style="224" customWidth="1"/>
    <col min="11277" max="11520" width="9.140625" style="224"/>
    <col min="11521" max="11521" width="2.5703125" style="224" customWidth="1"/>
    <col min="11522" max="11522" width="4.42578125" style="224" customWidth="1"/>
    <col min="11523" max="11523" width="81.42578125" style="224" customWidth="1"/>
    <col min="11524" max="11524" width="20.42578125" style="224" customWidth="1"/>
    <col min="11525" max="11527" width="11.7109375" style="224" customWidth="1"/>
    <col min="11528" max="11528" width="16.7109375" style="224" customWidth="1"/>
    <col min="11529" max="11529" width="9.85546875" style="224" customWidth="1"/>
    <col min="11530" max="11530" width="2.5703125" style="224" bestFit="1" customWidth="1"/>
    <col min="11531" max="11531" width="9.140625" style="224"/>
    <col min="11532" max="11532" width="9" style="224" customWidth="1"/>
    <col min="11533" max="11776" width="9.140625" style="224"/>
    <col min="11777" max="11777" width="2.5703125" style="224" customWidth="1"/>
    <col min="11778" max="11778" width="4.42578125" style="224" customWidth="1"/>
    <col min="11779" max="11779" width="81.42578125" style="224" customWidth="1"/>
    <col min="11780" max="11780" width="20.42578125" style="224" customWidth="1"/>
    <col min="11781" max="11783" width="11.7109375" style="224" customWidth="1"/>
    <col min="11784" max="11784" width="16.7109375" style="224" customWidth="1"/>
    <col min="11785" max="11785" width="9.85546875" style="224" customWidth="1"/>
    <col min="11786" max="11786" width="2.5703125" style="224" bestFit="1" customWidth="1"/>
    <col min="11787" max="11787" width="9.140625" style="224"/>
    <col min="11788" max="11788" width="9" style="224" customWidth="1"/>
    <col min="11789" max="12032" width="9.140625" style="224"/>
    <col min="12033" max="12033" width="2.5703125" style="224" customWidth="1"/>
    <col min="12034" max="12034" width="4.42578125" style="224" customWidth="1"/>
    <col min="12035" max="12035" width="81.42578125" style="224" customWidth="1"/>
    <col min="12036" max="12036" width="20.42578125" style="224" customWidth="1"/>
    <col min="12037" max="12039" width="11.7109375" style="224" customWidth="1"/>
    <col min="12040" max="12040" width="16.7109375" style="224" customWidth="1"/>
    <col min="12041" max="12041" width="9.85546875" style="224" customWidth="1"/>
    <col min="12042" max="12042" width="2.5703125" style="224" bestFit="1" customWidth="1"/>
    <col min="12043" max="12043" width="9.140625" style="224"/>
    <col min="12044" max="12044" width="9" style="224" customWidth="1"/>
    <col min="12045" max="12288" width="9.140625" style="224"/>
    <col min="12289" max="12289" width="2.5703125" style="224" customWidth="1"/>
    <col min="12290" max="12290" width="4.42578125" style="224" customWidth="1"/>
    <col min="12291" max="12291" width="81.42578125" style="224" customWidth="1"/>
    <col min="12292" max="12292" width="20.42578125" style="224" customWidth="1"/>
    <col min="12293" max="12295" width="11.7109375" style="224" customWidth="1"/>
    <col min="12296" max="12296" width="16.7109375" style="224" customWidth="1"/>
    <col min="12297" max="12297" width="9.85546875" style="224" customWidth="1"/>
    <col min="12298" max="12298" width="2.5703125" style="224" bestFit="1" customWidth="1"/>
    <col min="12299" max="12299" width="9.140625" style="224"/>
    <col min="12300" max="12300" width="9" style="224" customWidth="1"/>
    <col min="12301" max="12544" width="9.140625" style="224"/>
    <col min="12545" max="12545" width="2.5703125" style="224" customWidth="1"/>
    <col min="12546" max="12546" width="4.42578125" style="224" customWidth="1"/>
    <col min="12547" max="12547" width="81.42578125" style="224" customWidth="1"/>
    <col min="12548" max="12548" width="20.42578125" style="224" customWidth="1"/>
    <col min="12549" max="12551" width="11.7109375" style="224" customWidth="1"/>
    <col min="12552" max="12552" width="16.7109375" style="224" customWidth="1"/>
    <col min="12553" max="12553" width="9.85546875" style="224" customWidth="1"/>
    <col min="12554" max="12554" width="2.5703125" style="224" bestFit="1" customWidth="1"/>
    <col min="12555" max="12555" width="9.140625" style="224"/>
    <col min="12556" max="12556" width="9" style="224" customWidth="1"/>
    <col min="12557" max="12800" width="9.140625" style="224"/>
    <col min="12801" max="12801" width="2.5703125" style="224" customWidth="1"/>
    <col min="12802" max="12802" width="4.42578125" style="224" customWidth="1"/>
    <col min="12803" max="12803" width="81.42578125" style="224" customWidth="1"/>
    <col min="12804" max="12804" width="20.42578125" style="224" customWidth="1"/>
    <col min="12805" max="12807" width="11.7109375" style="224" customWidth="1"/>
    <col min="12808" max="12808" width="16.7109375" style="224" customWidth="1"/>
    <col min="12809" max="12809" width="9.85546875" style="224" customWidth="1"/>
    <col min="12810" max="12810" width="2.5703125" style="224" bestFit="1" customWidth="1"/>
    <col min="12811" max="12811" width="9.140625" style="224"/>
    <col min="12812" max="12812" width="9" style="224" customWidth="1"/>
    <col min="12813" max="13056" width="9.140625" style="224"/>
    <col min="13057" max="13057" width="2.5703125" style="224" customWidth="1"/>
    <col min="13058" max="13058" width="4.42578125" style="224" customWidth="1"/>
    <col min="13059" max="13059" width="81.42578125" style="224" customWidth="1"/>
    <col min="13060" max="13060" width="20.42578125" style="224" customWidth="1"/>
    <col min="13061" max="13063" width="11.7109375" style="224" customWidth="1"/>
    <col min="13064" max="13064" width="16.7109375" style="224" customWidth="1"/>
    <col min="13065" max="13065" width="9.85546875" style="224" customWidth="1"/>
    <col min="13066" max="13066" width="2.5703125" style="224" bestFit="1" customWidth="1"/>
    <col min="13067" max="13067" width="9.140625" style="224"/>
    <col min="13068" max="13068" width="9" style="224" customWidth="1"/>
    <col min="13069" max="13312" width="9.140625" style="224"/>
    <col min="13313" max="13313" width="2.5703125" style="224" customWidth="1"/>
    <col min="13314" max="13314" width="4.42578125" style="224" customWidth="1"/>
    <col min="13315" max="13315" width="81.42578125" style="224" customWidth="1"/>
    <col min="13316" max="13316" width="20.42578125" style="224" customWidth="1"/>
    <col min="13317" max="13319" width="11.7109375" style="224" customWidth="1"/>
    <col min="13320" max="13320" width="16.7109375" style="224" customWidth="1"/>
    <col min="13321" max="13321" width="9.85546875" style="224" customWidth="1"/>
    <col min="13322" max="13322" width="2.5703125" style="224" bestFit="1" customWidth="1"/>
    <col min="13323" max="13323" width="9.140625" style="224"/>
    <col min="13324" max="13324" width="9" style="224" customWidth="1"/>
    <col min="13325" max="13568" width="9.140625" style="224"/>
    <col min="13569" max="13569" width="2.5703125" style="224" customWidth="1"/>
    <col min="13570" max="13570" width="4.42578125" style="224" customWidth="1"/>
    <col min="13571" max="13571" width="81.42578125" style="224" customWidth="1"/>
    <col min="13572" max="13572" width="20.42578125" style="224" customWidth="1"/>
    <col min="13573" max="13575" width="11.7109375" style="224" customWidth="1"/>
    <col min="13576" max="13576" width="16.7109375" style="224" customWidth="1"/>
    <col min="13577" max="13577" width="9.85546875" style="224" customWidth="1"/>
    <col min="13578" max="13578" width="2.5703125" style="224" bestFit="1" customWidth="1"/>
    <col min="13579" max="13579" width="9.140625" style="224"/>
    <col min="13580" max="13580" width="9" style="224" customWidth="1"/>
    <col min="13581" max="13824" width="9.140625" style="224"/>
    <col min="13825" max="13825" width="2.5703125" style="224" customWidth="1"/>
    <col min="13826" max="13826" width="4.42578125" style="224" customWidth="1"/>
    <col min="13827" max="13827" width="81.42578125" style="224" customWidth="1"/>
    <col min="13828" max="13828" width="20.42578125" style="224" customWidth="1"/>
    <col min="13829" max="13831" width="11.7109375" style="224" customWidth="1"/>
    <col min="13832" max="13832" width="16.7109375" style="224" customWidth="1"/>
    <col min="13833" max="13833" width="9.85546875" style="224" customWidth="1"/>
    <col min="13834" max="13834" width="2.5703125" style="224" bestFit="1" customWidth="1"/>
    <col min="13835" max="13835" width="9.140625" style="224"/>
    <col min="13836" max="13836" width="9" style="224" customWidth="1"/>
    <col min="13837" max="14080" width="9.140625" style="224"/>
    <col min="14081" max="14081" width="2.5703125" style="224" customWidth="1"/>
    <col min="14082" max="14082" width="4.42578125" style="224" customWidth="1"/>
    <col min="14083" max="14083" width="81.42578125" style="224" customWidth="1"/>
    <col min="14084" max="14084" width="20.42578125" style="224" customWidth="1"/>
    <col min="14085" max="14087" width="11.7109375" style="224" customWidth="1"/>
    <col min="14088" max="14088" width="16.7109375" style="224" customWidth="1"/>
    <col min="14089" max="14089" width="9.85546875" style="224" customWidth="1"/>
    <col min="14090" max="14090" width="2.5703125" style="224" bestFit="1" customWidth="1"/>
    <col min="14091" max="14091" width="9.140625" style="224"/>
    <col min="14092" max="14092" width="9" style="224" customWidth="1"/>
    <col min="14093" max="14336" width="9.140625" style="224"/>
    <col min="14337" max="14337" width="2.5703125" style="224" customWidth="1"/>
    <col min="14338" max="14338" width="4.42578125" style="224" customWidth="1"/>
    <col min="14339" max="14339" width="81.42578125" style="224" customWidth="1"/>
    <col min="14340" max="14340" width="20.42578125" style="224" customWidth="1"/>
    <col min="14341" max="14343" width="11.7109375" style="224" customWidth="1"/>
    <col min="14344" max="14344" width="16.7109375" style="224" customWidth="1"/>
    <col min="14345" max="14345" width="9.85546875" style="224" customWidth="1"/>
    <col min="14346" max="14346" width="2.5703125" style="224" bestFit="1" customWidth="1"/>
    <col min="14347" max="14347" width="9.140625" style="224"/>
    <col min="14348" max="14348" width="9" style="224" customWidth="1"/>
    <col min="14349" max="14592" width="9.140625" style="224"/>
    <col min="14593" max="14593" width="2.5703125" style="224" customWidth="1"/>
    <col min="14594" max="14594" width="4.42578125" style="224" customWidth="1"/>
    <col min="14595" max="14595" width="81.42578125" style="224" customWidth="1"/>
    <col min="14596" max="14596" width="20.42578125" style="224" customWidth="1"/>
    <col min="14597" max="14599" width="11.7109375" style="224" customWidth="1"/>
    <col min="14600" max="14600" width="16.7109375" style="224" customWidth="1"/>
    <col min="14601" max="14601" width="9.85546875" style="224" customWidth="1"/>
    <col min="14602" max="14602" width="2.5703125" style="224" bestFit="1" customWidth="1"/>
    <col min="14603" max="14603" width="9.140625" style="224"/>
    <col min="14604" max="14604" width="9" style="224" customWidth="1"/>
    <col min="14605" max="14848" width="9.140625" style="224"/>
    <col min="14849" max="14849" width="2.5703125" style="224" customWidth="1"/>
    <col min="14850" max="14850" width="4.42578125" style="224" customWidth="1"/>
    <col min="14851" max="14851" width="81.42578125" style="224" customWidth="1"/>
    <col min="14852" max="14852" width="20.42578125" style="224" customWidth="1"/>
    <col min="14853" max="14855" width="11.7109375" style="224" customWidth="1"/>
    <col min="14856" max="14856" width="16.7109375" style="224" customWidth="1"/>
    <col min="14857" max="14857" width="9.85546875" style="224" customWidth="1"/>
    <col min="14858" max="14858" width="2.5703125" style="224" bestFit="1" customWidth="1"/>
    <col min="14859" max="14859" width="9.140625" style="224"/>
    <col min="14860" max="14860" width="9" style="224" customWidth="1"/>
    <col min="14861" max="15104" width="9.140625" style="224"/>
    <col min="15105" max="15105" width="2.5703125" style="224" customWidth="1"/>
    <col min="15106" max="15106" width="4.42578125" style="224" customWidth="1"/>
    <col min="15107" max="15107" width="81.42578125" style="224" customWidth="1"/>
    <col min="15108" max="15108" width="20.42578125" style="224" customWidth="1"/>
    <col min="15109" max="15111" width="11.7109375" style="224" customWidth="1"/>
    <col min="15112" max="15112" width="16.7109375" style="224" customWidth="1"/>
    <col min="15113" max="15113" width="9.85546875" style="224" customWidth="1"/>
    <col min="15114" max="15114" width="2.5703125" style="224" bestFit="1" customWidth="1"/>
    <col min="15115" max="15115" width="9.140625" style="224"/>
    <col min="15116" max="15116" width="9" style="224" customWidth="1"/>
    <col min="15117" max="15360" width="9.140625" style="224"/>
    <col min="15361" max="15361" width="2.5703125" style="224" customWidth="1"/>
    <col min="15362" max="15362" width="4.42578125" style="224" customWidth="1"/>
    <col min="15363" max="15363" width="81.42578125" style="224" customWidth="1"/>
    <col min="15364" max="15364" width="20.42578125" style="224" customWidth="1"/>
    <col min="15365" max="15367" width="11.7109375" style="224" customWidth="1"/>
    <col min="15368" max="15368" width="16.7109375" style="224" customWidth="1"/>
    <col min="15369" max="15369" width="9.85546875" style="224" customWidth="1"/>
    <col min="15370" max="15370" width="2.5703125" style="224" bestFit="1" customWidth="1"/>
    <col min="15371" max="15371" width="9.140625" style="224"/>
    <col min="15372" max="15372" width="9" style="224" customWidth="1"/>
    <col min="15373" max="15616" width="9.140625" style="224"/>
    <col min="15617" max="15617" width="2.5703125" style="224" customWidth="1"/>
    <col min="15618" max="15618" width="4.42578125" style="224" customWidth="1"/>
    <col min="15619" max="15619" width="81.42578125" style="224" customWidth="1"/>
    <col min="15620" max="15620" width="20.42578125" style="224" customWidth="1"/>
    <col min="15621" max="15623" width="11.7109375" style="224" customWidth="1"/>
    <col min="15624" max="15624" width="16.7109375" style="224" customWidth="1"/>
    <col min="15625" max="15625" width="9.85546875" style="224" customWidth="1"/>
    <col min="15626" max="15626" width="2.5703125" style="224" bestFit="1" customWidth="1"/>
    <col min="15627" max="15627" width="9.140625" style="224"/>
    <col min="15628" max="15628" width="9" style="224" customWidth="1"/>
    <col min="15629" max="15872" width="9.140625" style="224"/>
    <col min="15873" max="15873" width="2.5703125" style="224" customWidth="1"/>
    <col min="15874" max="15874" width="4.42578125" style="224" customWidth="1"/>
    <col min="15875" max="15875" width="81.42578125" style="224" customWidth="1"/>
    <col min="15876" max="15876" width="20.42578125" style="224" customWidth="1"/>
    <col min="15877" max="15879" width="11.7109375" style="224" customWidth="1"/>
    <col min="15880" max="15880" width="16.7109375" style="224" customWidth="1"/>
    <col min="15881" max="15881" width="9.85546875" style="224" customWidth="1"/>
    <col min="15882" max="15882" width="2.5703125" style="224" bestFit="1" customWidth="1"/>
    <col min="15883" max="15883" width="9.140625" style="224"/>
    <col min="15884" max="15884" width="9" style="224" customWidth="1"/>
    <col min="15885" max="16128" width="9.140625" style="224"/>
    <col min="16129" max="16129" width="2.5703125" style="224" customWidth="1"/>
    <col min="16130" max="16130" width="4.42578125" style="224" customWidth="1"/>
    <col min="16131" max="16131" width="81.42578125" style="224" customWidth="1"/>
    <col min="16132" max="16132" width="20.42578125" style="224" customWidth="1"/>
    <col min="16133" max="16135" width="11.7109375" style="224" customWidth="1"/>
    <col min="16136" max="16136" width="16.7109375" style="224" customWidth="1"/>
    <col min="16137" max="16137" width="9.85546875" style="224" customWidth="1"/>
    <col min="16138" max="16138" width="2.5703125" style="224" bestFit="1" customWidth="1"/>
    <col min="16139" max="16139" width="9.140625" style="224"/>
    <col min="16140" max="16140" width="9" style="224" customWidth="1"/>
    <col min="16141" max="16384" width="9.140625" style="224"/>
  </cols>
  <sheetData>
    <row r="1" spans="1:12" s="213" customFormat="1" ht="18.75" x14ac:dyDescent="0.25">
      <c r="A1" s="212"/>
      <c r="B1" s="213" t="s">
        <v>1618</v>
      </c>
      <c r="C1" s="212"/>
      <c r="D1" s="214"/>
      <c r="E1" s="215"/>
      <c r="F1" s="216"/>
      <c r="G1" s="216"/>
      <c r="H1" s="217"/>
    </row>
    <row r="2" spans="1:12" s="213" customFormat="1" ht="18.75" x14ac:dyDescent="0.25">
      <c r="A2" s="212"/>
      <c r="B2" s="212"/>
      <c r="C2" s="212"/>
      <c r="D2" s="214"/>
      <c r="E2" s="215"/>
      <c r="F2" s="216"/>
      <c r="G2" s="216"/>
      <c r="H2" s="217"/>
    </row>
    <row r="3" spans="1:12" s="213" customFormat="1" ht="18.75" x14ac:dyDescent="0.25">
      <c r="A3" s="212" t="s">
        <v>37</v>
      </c>
      <c r="C3" s="212" t="s">
        <v>616</v>
      </c>
      <c r="D3" s="214"/>
      <c r="E3" s="215"/>
      <c r="F3" s="216"/>
      <c r="G3" s="216"/>
      <c r="H3" s="217"/>
    </row>
    <row r="4" spans="1:12" x14ac:dyDescent="0.2">
      <c r="A4" s="218"/>
      <c r="B4" s="218"/>
      <c r="C4" s="219"/>
      <c r="H4" s="222"/>
      <c r="I4" s="223"/>
    </row>
    <row r="5" spans="1:12" s="230" customFormat="1" x14ac:dyDescent="0.2">
      <c r="A5" s="225" t="s">
        <v>26</v>
      </c>
      <c r="B5" s="225"/>
      <c r="C5" s="226" t="s">
        <v>27</v>
      </c>
      <c r="D5" s="227"/>
      <c r="E5" s="228"/>
      <c r="F5" s="229"/>
      <c r="G5" s="229"/>
      <c r="I5" s="224"/>
      <c r="K5" s="231"/>
      <c r="L5" s="231"/>
    </row>
    <row r="6" spans="1:12" x14ac:dyDescent="0.2">
      <c r="C6" s="233"/>
    </row>
    <row r="7" spans="1:12" s="239" customFormat="1" ht="16.5" thickBot="1" x14ac:dyDescent="0.25">
      <c r="A7" s="234" t="s">
        <v>509</v>
      </c>
      <c r="B7" s="235"/>
      <c r="C7" s="236"/>
      <c r="D7" s="237"/>
      <c r="E7" s="215"/>
      <c r="F7" s="238"/>
      <c r="G7" s="238"/>
    </row>
    <row r="8" spans="1:12" x14ac:dyDescent="0.2">
      <c r="A8" s="240"/>
      <c r="B8" s="241"/>
      <c r="C8" s="233"/>
    </row>
    <row r="9" spans="1:12" ht="24" x14ac:dyDescent="0.2">
      <c r="A9" s="240"/>
      <c r="B9" s="242">
        <v>1</v>
      </c>
      <c r="C9" s="243" t="s">
        <v>510</v>
      </c>
    </row>
    <row r="10" spans="1:12" ht="24" x14ac:dyDescent="0.2">
      <c r="A10" s="240"/>
      <c r="B10" s="242">
        <v>2</v>
      </c>
      <c r="C10" s="244" t="s">
        <v>511</v>
      </c>
    </row>
    <row r="11" spans="1:12" ht="24" x14ac:dyDescent="0.2">
      <c r="A11" s="240"/>
      <c r="B11" s="242">
        <v>3</v>
      </c>
      <c r="C11" s="243" t="s">
        <v>512</v>
      </c>
    </row>
    <row r="12" spans="1:12" ht="24" x14ac:dyDescent="0.2">
      <c r="A12" s="240"/>
      <c r="B12" s="242">
        <v>4</v>
      </c>
      <c r="C12" s="243" t="s">
        <v>513</v>
      </c>
    </row>
    <row r="13" spans="1:12" ht="24" x14ac:dyDescent="0.2">
      <c r="A13" s="240"/>
      <c r="B13" s="242">
        <v>5</v>
      </c>
      <c r="C13" s="243" t="s">
        <v>514</v>
      </c>
    </row>
    <row r="14" spans="1:12" ht="36" x14ac:dyDescent="0.2">
      <c r="A14" s="245"/>
      <c r="B14" s="242">
        <v>6</v>
      </c>
      <c r="C14" s="243" t="s">
        <v>515</v>
      </c>
    </row>
    <row r="15" spans="1:12" ht="24" x14ac:dyDescent="0.2">
      <c r="A15" s="240"/>
      <c r="B15" s="242">
        <v>7</v>
      </c>
      <c r="C15" s="244" t="s">
        <v>516</v>
      </c>
    </row>
    <row r="16" spans="1:12" s="246" customFormat="1" x14ac:dyDescent="0.2">
      <c r="A16" s="245"/>
      <c r="B16" s="242">
        <v>8</v>
      </c>
      <c r="C16" s="244" t="s">
        <v>517</v>
      </c>
      <c r="H16" s="247"/>
      <c r="I16" s="248"/>
      <c r="J16" s="249"/>
      <c r="K16" s="250"/>
      <c r="L16" s="251"/>
    </row>
    <row r="17" spans="1:12" s="246" customFormat="1" ht="24" x14ac:dyDescent="0.2">
      <c r="A17" s="245"/>
      <c r="B17" s="242">
        <v>9</v>
      </c>
      <c r="C17" s="244" t="s">
        <v>518</v>
      </c>
      <c r="H17" s="247"/>
      <c r="I17" s="248"/>
      <c r="J17" s="249"/>
      <c r="K17" s="250"/>
      <c r="L17" s="251"/>
    </row>
    <row r="18" spans="1:12" s="246" customFormat="1" ht="13.5" customHeight="1" x14ac:dyDescent="0.2">
      <c r="A18" s="245"/>
      <c r="B18" s="242">
        <v>10</v>
      </c>
      <c r="C18" s="244" t="s">
        <v>519</v>
      </c>
      <c r="H18" s="247"/>
      <c r="I18" s="248"/>
      <c r="J18" s="249"/>
      <c r="K18" s="250"/>
      <c r="L18" s="251"/>
    </row>
    <row r="19" spans="1:12" s="246" customFormat="1" ht="24" x14ac:dyDescent="0.2">
      <c r="A19" s="245"/>
      <c r="B19" s="242">
        <v>11</v>
      </c>
      <c r="C19" s="244" t="s">
        <v>520</v>
      </c>
      <c r="H19" s="247"/>
      <c r="I19" s="248"/>
      <c r="J19" s="249"/>
      <c r="K19" s="250"/>
      <c r="L19" s="251"/>
    </row>
    <row r="20" spans="1:12" s="246" customFormat="1" ht="13.5" customHeight="1" x14ac:dyDescent="0.2">
      <c r="A20" s="245"/>
      <c r="B20" s="242" t="s">
        <v>521</v>
      </c>
      <c r="C20" s="244" t="s">
        <v>522</v>
      </c>
      <c r="H20" s="247"/>
      <c r="I20" s="248"/>
      <c r="J20" s="249"/>
      <c r="K20" s="250"/>
      <c r="L20" s="251"/>
    </row>
    <row r="21" spans="1:12" s="246" customFormat="1" ht="24" x14ac:dyDescent="0.2">
      <c r="A21" s="245"/>
      <c r="B21" s="242" t="s">
        <v>521</v>
      </c>
      <c r="C21" s="244" t="s">
        <v>523</v>
      </c>
      <c r="H21" s="247"/>
      <c r="I21" s="248"/>
      <c r="J21" s="249"/>
      <c r="K21" s="250"/>
      <c r="L21" s="251"/>
    </row>
    <row r="22" spans="1:12" s="246" customFormat="1" ht="24" x14ac:dyDescent="0.2">
      <c r="A22" s="245"/>
      <c r="B22" s="242" t="s">
        <v>521</v>
      </c>
      <c r="C22" s="244" t="s">
        <v>524</v>
      </c>
      <c r="D22" s="252"/>
      <c r="E22" s="215"/>
      <c r="F22" s="253"/>
      <c r="G22" s="253"/>
      <c r="H22" s="247"/>
      <c r="I22" s="248"/>
      <c r="J22" s="249"/>
      <c r="K22" s="250"/>
      <c r="L22" s="251"/>
    </row>
    <row r="23" spans="1:12" s="246" customFormat="1" ht="13.5" customHeight="1" x14ac:dyDescent="0.2">
      <c r="A23" s="245"/>
      <c r="B23" s="242" t="s">
        <v>521</v>
      </c>
      <c r="C23" s="244" t="s">
        <v>525</v>
      </c>
      <c r="H23" s="247"/>
      <c r="I23" s="248"/>
      <c r="J23" s="249"/>
      <c r="K23" s="250"/>
      <c r="L23" s="251"/>
    </row>
    <row r="24" spans="1:12" s="260" customFormat="1" ht="24" customHeight="1" x14ac:dyDescent="0.2">
      <c r="A24" s="254"/>
      <c r="B24" s="242" t="s">
        <v>521</v>
      </c>
      <c r="C24" s="244" t="s">
        <v>526</v>
      </c>
      <c r="D24" s="255"/>
      <c r="E24" s="256"/>
      <c r="F24" s="257"/>
      <c r="G24" s="257"/>
      <c r="H24" s="247"/>
      <c r="I24" s="258"/>
      <c r="J24" s="259"/>
      <c r="K24" s="250"/>
      <c r="L24" s="251"/>
    </row>
    <row r="25" spans="1:12" s="246" customFormat="1" ht="24" x14ac:dyDescent="0.2">
      <c r="A25" s="261"/>
      <c r="B25" s="242" t="s">
        <v>521</v>
      </c>
      <c r="C25" s="244" t="s">
        <v>527</v>
      </c>
      <c r="D25" s="262"/>
      <c r="E25" s="215"/>
      <c r="F25" s="263"/>
      <c r="G25" s="263"/>
    </row>
    <row r="26" spans="1:12" s="246" customFormat="1" ht="24" x14ac:dyDescent="0.2">
      <c r="A26" s="261"/>
      <c r="B26" s="242" t="s">
        <v>521</v>
      </c>
      <c r="C26" s="244" t="s">
        <v>528</v>
      </c>
      <c r="D26" s="262"/>
      <c r="E26" s="215"/>
      <c r="F26" s="263"/>
      <c r="G26" s="263"/>
    </row>
    <row r="27" spans="1:12" s="246" customFormat="1" ht="24" x14ac:dyDescent="0.2">
      <c r="A27" s="261"/>
      <c r="B27" s="242" t="s">
        <v>521</v>
      </c>
      <c r="C27" s="244" t="s">
        <v>529</v>
      </c>
      <c r="D27" s="262"/>
      <c r="E27" s="215"/>
      <c r="F27" s="263"/>
      <c r="G27" s="263"/>
    </row>
    <row r="28" spans="1:12" s="246" customFormat="1" ht="14.25" customHeight="1" x14ac:dyDescent="0.2">
      <c r="A28" s="261"/>
      <c r="B28" s="242" t="s">
        <v>521</v>
      </c>
      <c r="C28" s="244" t="s">
        <v>530</v>
      </c>
      <c r="D28" s="262"/>
      <c r="E28" s="215"/>
      <c r="F28" s="263"/>
      <c r="G28" s="263"/>
    </row>
    <row r="29" spans="1:12" s="246" customFormat="1" x14ac:dyDescent="0.2">
      <c r="A29" s="261"/>
      <c r="B29" s="242" t="s">
        <v>521</v>
      </c>
      <c r="C29" s="244" t="s">
        <v>531</v>
      </c>
      <c r="D29" s="262"/>
      <c r="E29" s="215"/>
      <c r="F29" s="263"/>
      <c r="G29" s="263"/>
    </row>
    <row r="30" spans="1:12" s="246" customFormat="1" x14ac:dyDescent="0.2">
      <c r="A30" s="261"/>
      <c r="B30" s="242" t="s">
        <v>521</v>
      </c>
      <c r="C30" s="244" t="s">
        <v>532</v>
      </c>
      <c r="D30" s="262"/>
      <c r="E30" s="215"/>
      <c r="F30" s="263"/>
      <c r="G30" s="263"/>
    </row>
    <row r="31" spans="1:12" s="246" customFormat="1" x14ac:dyDescent="0.2">
      <c r="A31" s="261"/>
      <c r="B31" s="242" t="s">
        <v>521</v>
      </c>
      <c r="C31" s="244" t="s">
        <v>533</v>
      </c>
      <c r="D31" s="262"/>
      <c r="E31" s="215"/>
      <c r="F31" s="263"/>
      <c r="G31" s="263"/>
    </row>
    <row r="32" spans="1:12" s="246" customFormat="1" ht="24" x14ac:dyDescent="0.2">
      <c r="A32" s="261"/>
      <c r="B32" s="242">
        <v>12</v>
      </c>
      <c r="C32" s="244" t="s">
        <v>534</v>
      </c>
      <c r="D32" s="262"/>
      <c r="E32" s="215"/>
      <c r="F32" s="263"/>
      <c r="G32" s="263"/>
    </row>
    <row r="33" spans="1:7" s="246" customFormat="1" x14ac:dyDescent="0.2">
      <c r="A33" s="261"/>
      <c r="B33" s="242">
        <v>13</v>
      </c>
      <c r="C33" s="244" t="s">
        <v>535</v>
      </c>
      <c r="D33" s="262"/>
      <c r="E33" s="215"/>
      <c r="F33" s="263"/>
      <c r="G33" s="263"/>
    </row>
    <row r="34" spans="1:7" s="246" customFormat="1" ht="36" x14ac:dyDescent="0.2">
      <c r="A34" s="261"/>
      <c r="B34" s="242">
        <v>14</v>
      </c>
      <c r="C34" s="264" t="s">
        <v>536</v>
      </c>
      <c r="D34" s="262"/>
      <c r="E34" s="215"/>
      <c r="F34" s="263"/>
      <c r="G34" s="263"/>
    </row>
    <row r="35" spans="1:7" s="246" customFormat="1" ht="24" customHeight="1" x14ac:dyDescent="0.2">
      <c r="A35" s="261"/>
      <c r="B35" s="242">
        <v>15</v>
      </c>
      <c r="C35" s="264" t="s">
        <v>537</v>
      </c>
      <c r="D35" s="262"/>
      <c r="E35" s="215"/>
      <c r="F35" s="263"/>
      <c r="G35" s="263"/>
    </row>
    <row r="36" spans="1:7" s="246" customFormat="1" ht="36" customHeight="1" x14ac:dyDescent="0.2">
      <c r="A36" s="261"/>
      <c r="B36" s="242">
        <v>16</v>
      </c>
      <c r="C36" s="264" t="s">
        <v>538</v>
      </c>
      <c r="D36" s="262"/>
      <c r="E36" s="215"/>
      <c r="F36" s="263"/>
      <c r="G36" s="263"/>
    </row>
    <row r="37" spans="1:7" s="246" customFormat="1" ht="24" x14ac:dyDescent="0.2">
      <c r="A37" s="261"/>
      <c r="B37" s="242">
        <v>17</v>
      </c>
      <c r="C37" s="243" t="s">
        <v>539</v>
      </c>
      <c r="D37" s="243"/>
      <c r="E37" s="243"/>
      <c r="F37" s="243"/>
      <c r="G37" s="243"/>
    </row>
    <row r="38" spans="1:7" s="246" customFormat="1" ht="14.25" customHeight="1" x14ac:dyDescent="0.2">
      <c r="A38" s="261"/>
      <c r="B38" s="242">
        <v>18</v>
      </c>
      <c r="C38" s="264" t="s">
        <v>540</v>
      </c>
      <c r="D38" s="243"/>
      <c r="E38" s="243"/>
      <c r="F38" s="243"/>
      <c r="G38" s="243"/>
    </row>
    <row r="39" spans="1:7" s="246" customFormat="1" ht="36" x14ac:dyDescent="0.2">
      <c r="A39" s="261"/>
      <c r="B39" s="242">
        <v>19</v>
      </c>
      <c r="C39" s="243" t="s">
        <v>541</v>
      </c>
      <c r="D39" s="243"/>
      <c r="E39" s="243"/>
      <c r="F39" s="243"/>
      <c r="G39" s="243"/>
    </row>
    <row r="40" spans="1:7" s="246" customFormat="1" ht="36" x14ac:dyDescent="0.2">
      <c r="A40" s="261"/>
      <c r="B40" s="242">
        <v>20</v>
      </c>
      <c r="C40" s="243" t="s">
        <v>542</v>
      </c>
      <c r="D40" s="243"/>
      <c r="E40" s="243"/>
      <c r="F40" s="243"/>
      <c r="G40" s="243"/>
    </row>
    <row r="41" spans="1:7" s="246" customFormat="1" ht="48" x14ac:dyDescent="0.2">
      <c r="A41" s="261"/>
      <c r="B41" s="242">
        <v>21</v>
      </c>
      <c r="C41" s="243" t="s">
        <v>543</v>
      </c>
      <c r="D41" s="243"/>
      <c r="E41" s="243"/>
      <c r="F41" s="243"/>
      <c r="G41" s="243"/>
    </row>
    <row r="42" spans="1:7" s="246" customFormat="1" ht="24" x14ac:dyDescent="0.2">
      <c r="A42" s="261"/>
      <c r="B42" s="242">
        <v>22</v>
      </c>
      <c r="C42" s="243" t="s">
        <v>544</v>
      </c>
      <c r="D42" s="243"/>
      <c r="E42" s="243"/>
      <c r="F42" s="243"/>
      <c r="G42" s="243"/>
    </row>
    <row r="43" spans="1:7" s="246" customFormat="1" ht="12" x14ac:dyDescent="0.2">
      <c r="A43" s="261"/>
      <c r="B43" s="265"/>
      <c r="C43" s="266" t="s">
        <v>545</v>
      </c>
      <c r="D43" s="243"/>
      <c r="E43" s="243"/>
      <c r="F43" s="243"/>
      <c r="G43" s="243"/>
    </row>
    <row r="44" spans="1:7" s="246" customFormat="1" ht="12" x14ac:dyDescent="0.2">
      <c r="A44" s="261"/>
      <c r="B44" s="267" t="s">
        <v>521</v>
      </c>
      <c r="C44" s="243" t="s">
        <v>546</v>
      </c>
      <c r="D44" s="243"/>
      <c r="E44" s="243"/>
      <c r="F44" s="243"/>
      <c r="G44" s="243"/>
    </row>
    <row r="45" spans="1:7" s="246" customFormat="1" ht="12" x14ac:dyDescent="0.2">
      <c r="A45" s="261"/>
      <c r="B45" s="267" t="s">
        <v>521</v>
      </c>
      <c r="C45" s="243" t="s">
        <v>547</v>
      </c>
      <c r="D45" s="243"/>
      <c r="E45" s="243"/>
      <c r="F45" s="243"/>
      <c r="G45" s="243"/>
    </row>
    <row r="46" spans="1:7" s="246" customFormat="1" ht="12" x14ac:dyDescent="0.2">
      <c r="A46" s="261"/>
      <c r="B46" s="267" t="s">
        <v>521</v>
      </c>
      <c r="C46" s="243" t="s">
        <v>548</v>
      </c>
      <c r="D46" s="243"/>
      <c r="E46" s="243"/>
      <c r="F46" s="243"/>
      <c r="G46" s="243"/>
    </row>
    <row r="47" spans="1:7" s="246" customFormat="1" ht="12" x14ac:dyDescent="0.2">
      <c r="A47" s="261"/>
      <c r="B47" s="267" t="s">
        <v>521</v>
      </c>
      <c r="C47" s="243" t="s">
        <v>549</v>
      </c>
      <c r="D47" s="243"/>
      <c r="E47" s="243"/>
      <c r="F47" s="243"/>
      <c r="G47" s="243"/>
    </row>
    <row r="48" spans="1:7" s="246" customFormat="1" ht="12" x14ac:dyDescent="0.2">
      <c r="A48" s="261"/>
      <c r="B48" s="267" t="s">
        <v>521</v>
      </c>
      <c r="C48" s="243" t="s">
        <v>550</v>
      </c>
      <c r="D48" s="243"/>
      <c r="E48" s="243"/>
      <c r="F48" s="243"/>
      <c r="G48" s="243"/>
    </row>
    <row r="49" spans="1:7" s="246" customFormat="1" ht="12" x14ac:dyDescent="0.2">
      <c r="A49" s="261"/>
      <c r="B49" s="267" t="s">
        <v>521</v>
      </c>
      <c r="C49" s="243" t="s">
        <v>551</v>
      </c>
      <c r="D49" s="243"/>
      <c r="E49" s="243"/>
      <c r="F49" s="243"/>
      <c r="G49" s="243"/>
    </row>
    <row r="50" spans="1:7" s="246" customFormat="1" ht="12" x14ac:dyDescent="0.2">
      <c r="A50" s="261"/>
      <c r="B50" s="267" t="s">
        <v>521</v>
      </c>
      <c r="C50" s="243" t="s">
        <v>552</v>
      </c>
      <c r="D50" s="243"/>
      <c r="E50" s="243"/>
      <c r="F50" s="243"/>
      <c r="G50" s="243"/>
    </row>
    <row r="51" spans="1:7" s="246" customFormat="1" ht="12" x14ac:dyDescent="0.2">
      <c r="A51" s="261"/>
      <c r="B51" s="267" t="s">
        <v>521</v>
      </c>
      <c r="C51" s="243" t="s">
        <v>553</v>
      </c>
      <c r="D51" s="243"/>
      <c r="E51" s="243"/>
      <c r="F51" s="243"/>
      <c r="G51" s="243"/>
    </row>
    <row r="52" spans="1:7" s="246" customFormat="1" ht="12" x14ac:dyDescent="0.2">
      <c r="A52" s="261"/>
      <c r="B52" s="267" t="s">
        <v>521</v>
      </c>
      <c r="C52" s="243" t="s">
        <v>554</v>
      </c>
      <c r="D52" s="243"/>
      <c r="E52" s="243"/>
      <c r="F52" s="243"/>
      <c r="G52" s="243"/>
    </row>
    <row r="53" spans="1:7" s="246" customFormat="1" ht="12" x14ac:dyDescent="0.2">
      <c r="A53" s="261"/>
      <c r="B53" s="267" t="s">
        <v>521</v>
      </c>
      <c r="C53" s="243" t="s">
        <v>555</v>
      </c>
      <c r="D53" s="243"/>
      <c r="E53" s="243"/>
      <c r="F53" s="243"/>
      <c r="G53" s="243"/>
    </row>
    <row r="54" spans="1:7" s="246" customFormat="1" ht="12" x14ac:dyDescent="0.2">
      <c r="A54" s="261"/>
      <c r="B54" s="267" t="s">
        <v>521</v>
      </c>
      <c r="C54" s="243" t="s">
        <v>556</v>
      </c>
      <c r="D54" s="243"/>
      <c r="E54" s="243"/>
      <c r="F54" s="243"/>
      <c r="G54" s="243"/>
    </row>
    <row r="55" spans="1:7" s="246" customFormat="1" ht="12" x14ac:dyDescent="0.2">
      <c r="A55" s="261"/>
      <c r="B55" s="267" t="s">
        <v>521</v>
      </c>
      <c r="C55" s="243" t="s">
        <v>557</v>
      </c>
      <c r="D55" s="243"/>
      <c r="E55" s="243"/>
      <c r="F55" s="243"/>
      <c r="G55" s="243"/>
    </row>
    <row r="56" spans="1:7" s="246" customFormat="1" ht="24" x14ac:dyDescent="0.2">
      <c r="A56" s="261"/>
      <c r="B56" s="267" t="s">
        <v>521</v>
      </c>
      <c r="C56" s="243" t="s">
        <v>558</v>
      </c>
      <c r="D56" s="243"/>
      <c r="E56" s="243"/>
      <c r="F56" s="243"/>
      <c r="G56" s="243"/>
    </row>
    <row r="57" spans="1:7" s="246" customFormat="1" ht="12" x14ac:dyDescent="0.2">
      <c r="A57" s="261"/>
      <c r="B57" s="267" t="s">
        <v>521</v>
      </c>
      <c r="C57" s="243" t="s">
        <v>559</v>
      </c>
      <c r="D57" s="243"/>
      <c r="E57" s="243"/>
      <c r="F57" s="243"/>
      <c r="G57" s="243"/>
    </row>
    <row r="58" spans="1:7" s="246" customFormat="1" ht="12" x14ac:dyDescent="0.2">
      <c r="A58" s="261"/>
      <c r="B58" s="267" t="s">
        <v>521</v>
      </c>
      <c r="C58" s="243" t="s">
        <v>560</v>
      </c>
      <c r="D58" s="243"/>
      <c r="E58" s="243"/>
      <c r="F58" s="243"/>
      <c r="G58" s="243"/>
    </row>
    <row r="59" spans="1:7" s="246" customFormat="1" x14ac:dyDescent="0.2">
      <c r="A59" s="261"/>
      <c r="B59" s="261"/>
      <c r="C59" s="268"/>
      <c r="D59" s="262"/>
      <c r="E59" s="215"/>
      <c r="F59" s="263"/>
      <c r="G59" s="263"/>
    </row>
    <row r="60" spans="1:7" s="246" customFormat="1" ht="16.5" thickBot="1" x14ac:dyDescent="0.25">
      <c r="A60" s="234" t="s">
        <v>505</v>
      </c>
      <c r="B60" s="1699"/>
      <c r="C60" s="1700"/>
      <c r="D60" s="262"/>
      <c r="E60" s="215"/>
      <c r="F60" s="263"/>
      <c r="G60" s="263"/>
    </row>
    <row r="61" spans="1:7" s="246" customFormat="1" ht="36" x14ac:dyDescent="0.25">
      <c r="A61" s="279"/>
      <c r="B61" s="1129" t="s">
        <v>521</v>
      </c>
      <c r="C61" s="1383" t="s">
        <v>565</v>
      </c>
      <c r="D61" s="1383"/>
      <c r="E61" s="1383"/>
      <c r="F61" s="1383"/>
      <c r="G61" s="1383"/>
    </row>
    <row r="62" spans="1:7" s="246" customFormat="1" ht="39" customHeight="1" x14ac:dyDescent="0.25">
      <c r="A62" s="279"/>
      <c r="B62" s="1129" t="s">
        <v>521</v>
      </c>
      <c r="C62" s="1383" t="s">
        <v>566</v>
      </c>
      <c r="D62" s="1383"/>
      <c r="E62" s="1383"/>
      <c r="F62" s="1383"/>
      <c r="G62" s="1383"/>
    </row>
    <row r="63" spans="1:7" s="246" customFormat="1" ht="24" x14ac:dyDescent="0.25">
      <c r="A63" s="279"/>
      <c r="B63" s="1129" t="s">
        <v>521</v>
      </c>
      <c r="C63" s="1383" t="s">
        <v>567</v>
      </c>
      <c r="D63" s="1383"/>
      <c r="E63" s="1383"/>
      <c r="F63" s="1383"/>
      <c r="G63" s="1383"/>
    </row>
    <row r="64" spans="1:7" s="246" customFormat="1" ht="36" x14ac:dyDescent="0.25">
      <c r="A64" s="279"/>
      <c r="B64" s="1129" t="s">
        <v>521</v>
      </c>
      <c r="C64" s="1383" t="s">
        <v>1557</v>
      </c>
      <c r="D64" s="1383"/>
      <c r="E64" s="1383"/>
      <c r="F64" s="1383"/>
      <c r="G64" s="1383"/>
    </row>
    <row r="65" spans="1:7" s="246" customFormat="1" ht="24" x14ac:dyDescent="0.25">
      <c r="A65" s="279"/>
      <c r="B65" s="1129" t="s">
        <v>521</v>
      </c>
      <c r="C65" s="1383" t="s">
        <v>568</v>
      </c>
      <c r="D65" s="1383"/>
      <c r="E65" s="1383"/>
      <c r="F65" s="1383"/>
      <c r="G65" s="1383"/>
    </row>
    <row r="66" spans="1:7" s="246" customFormat="1" ht="24" x14ac:dyDescent="0.25">
      <c r="A66" s="279"/>
      <c r="B66" s="1130" t="s">
        <v>521</v>
      </c>
      <c r="C66" s="1389" t="s">
        <v>569</v>
      </c>
      <c r="D66" s="1389"/>
      <c r="E66" s="1389"/>
      <c r="F66" s="1389"/>
      <c r="G66" s="1389"/>
    </row>
    <row r="67" spans="1:7" s="246" customFormat="1" ht="24" x14ac:dyDescent="0.25">
      <c r="A67" s="279"/>
      <c r="B67" s="1129" t="s">
        <v>521</v>
      </c>
      <c r="C67" s="1385" t="s">
        <v>544</v>
      </c>
      <c r="D67" s="1385"/>
      <c r="E67" s="1385"/>
      <c r="F67" s="1385"/>
      <c r="G67" s="1385"/>
    </row>
    <row r="68" spans="1:7" s="246" customFormat="1" x14ac:dyDescent="0.25">
      <c r="A68" s="279"/>
      <c r="B68" s="1129" t="s">
        <v>521</v>
      </c>
      <c r="C68" s="1383" t="s">
        <v>570</v>
      </c>
      <c r="D68" s="1383"/>
      <c r="E68" s="1383"/>
      <c r="F68" s="1383"/>
      <c r="G68" s="1383"/>
    </row>
    <row r="69" spans="1:7" s="246" customFormat="1" x14ac:dyDescent="0.25">
      <c r="A69" s="279"/>
      <c r="B69" s="1129" t="s">
        <v>521</v>
      </c>
      <c r="C69" s="1383" t="s">
        <v>571</v>
      </c>
      <c r="D69" s="1383"/>
      <c r="E69" s="1383"/>
      <c r="F69" s="1383"/>
      <c r="G69" s="1383"/>
    </row>
    <row r="70" spans="1:7" s="246" customFormat="1" ht="24" x14ac:dyDescent="0.25">
      <c r="A70" s="279"/>
      <c r="B70" s="1129" t="s">
        <v>521</v>
      </c>
      <c r="C70" s="1383" t="s">
        <v>572</v>
      </c>
      <c r="D70" s="1383"/>
      <c r="E70" s="1383"/>
      <c r="F70" s="1383"/>
      <c r="G70" s="1383"/>
    </row>
    <row r="71" spans="1:7" s="246" customFormat="1" ht="24" x14ac:dyDescent="0.25">
      <c r="A71" s="279"/>
      <c r="B71" s="1129" t="s">
        <v>521</v>
      </c>
      <c r="C71" s="1383" t="s">
        <v>573</v>
      </c>
      <c r="D71" s="1383"/>
      <c r="E71" s="1383"/>
      <c r="F71" s="1383"/>
      <c r="G71" s="1383"/>
    </row>
    <row r="72" spans="1:7" s="246" customFormat="1" ht="27.75" customHeight="1" x14ac:dyDescent="0.25">
      <c r="A72" s="279"/>
      <c r="B72" s="1129" t="s">
        <v>521</v>
      </c>
      <c r="C72" s="1383" t="s">
        <v>574</v>
      </c>
      <c r="D72" s="1383"/>
      <c r="E72" s="1383"/>
      <c r="F72" s="1383"/>
      <c r="G72" s="1383"/>
    </row>
    <row r="73" spans="1:7" s="246" customFormat="1" x14ac:dyDescent="0.25">
      <c r="A73" s="279"/>
      <c r="B73" s="1129" t="s">
        <v>521</v>
      </c>
      <c r="C73" s="1383" t="s">
        <v>575</v>
      </c>
      <c r="D73" s="1383"/>
      <c r="E73" s="1383"/>
      <c r="F73" s="1383"/>
      <c r="G73" s="1383"/>
    </row>
    <row r="74" spans="1:7" s="246" customFormat="1" ht="24" x14ac:dyDescent="0.25">
      <c r="A74" s="279"/>
      <c r="B74" s="1129" t="s">
        <v>521</v>
      </c>
      <c r="C74" s="1383" t="s">
        <v>576</v>
      </c>
      <c r="D74" s="1383"/>
      <c r="E74" s="1383"/>
      <c r="F74" s="1383"/>
      <c r="G74" s="1383"/>
    </row>
    <row r="75" spans="1:7" s="246" customFormat="1" x14ac:dyDescent="0.25">
      <c r="A75" s="279"/>
      <c r="B75" s="1129" t="s">
        <v>521</v>
      </c>
      <c r="C75" s="1383" t="s">
        <v>577</v>
      </c>
      <c r="D75" s="1383"/>
      <c r="E75" s="1383"/>
      <c r="F75" s="1383"/>
      <c r="G75" s="1383"/>
    </row>
    <row r="76" spans="1:7" s="246" customFormat="1" x14ac:dyDescent="0.25">
      <c r="A76" s="279"/>
      <c r="B76" s="1129" t="s">
        <v>521</v>
      </c>
      <c r="C76" s="1383" t="s">
        <v>578</v>
      </c>
      <c r="D76" s="1383"/>
      <c r="E76" s="1383"/>
      <c r="F76" s="1383"/>
      <c r="G76" s="1383"/>
    </row>
    <row r="77" spans="1:7" s="246" customFormat="1" x14ac:dyDescent="0.25">
      <c r="A77" s="279"/>
      <c r="B77" s="1131"/>
      <c r="C77" s="1387" t="s">
        <v>579</v>
      </c>
      <c r="D77" s="1387"/>
      <c r="E77" s="1387"/>
      <c r="F77" s="1387"/>
      <c r="G77" s="1387"/>
    </row>
    <row r="78" spans="1:7" s="246" customFormat="1" x14ac:dyDescent="0.25">
      <c r="A78" s="279"/>
      <c r="B78" s="1132" t="s">
        <v>521</v>
      </c>
      <c r="C78" s="1383" t="s">
        <v>580</v>
      </c>
      <c r="D78" s="1383"/>
      <c r="E78" s="1383"/>
      <c r="F78" s="1383"/>
      <c r="G78" s="1383"/>
    </row>
    <row r="79" spans="1:7" s="246" customFormat="1" ht="14.25" customHeight="1" x14ac:dyDescent="0.25">
      <c r="A79" s="279"/>
      <c r="B79" s="1132" t="s">
        <v>521</v>
      </c>
      <c r="C79" s="1383" t="s">
        <v>581</v>
      </c>
      <c r="D79" s="1383"/>
      <c r="E79" s="1383"/>
      <c r="F79" s="1383"/>
      <c r="G79" s="1383"/>
    </row>
    <row r="80" spans="1:7" s="246" customFormat="1" x14ac:dyDescent="0.25">
      <c r="A80" s="279"/>
      <c r="B80" s="1132" t="s">
        <v>521</v>
      </c>
      <c r="C80" s="1383" t="s">
        <v>582</v>
      </c>
      <c r="D80" s="1383"/>
      <c r="E80" s="1383"/>
      <c r="F80" s="1383"/>
      <c r="G80" s="1383"/>
    </row>
    <row r="81" spans="1:8" s="246" customFormat="1" x14ac:dyDescent="0.2">
      <c r="A81" s="261"/>
      <c r="B81" s="261"/>
      <c r="C81" s="268"/>
      <c r="D81" s="262"/>
      <c r="E81" s="215"/>
      <c r="F81" s="263"/>
      <c r="G81" s="263"/>
    </row>
    <row r="82" spans="1:8" s="246" customFormat="1" ht="16.5" thickBot="1" x14ac:dyDescent="0.25">
      <c r="A82" s="234" t="s">
        <v>628</v>
      </c>
      <c r="B82" s="1699"/>
      <c r="C82" s="1700"/>
      <c r="D82" s="262"/>
      <c r="E82" s="215"/>
      <c r="F82" s="263"/>
      <c r="G82" s="263"/>
    </row>
    <row r="83" spans="1:8" s="246" customFormat="1" x14ac:dyDescent="0.2">
      <c r="A83" s="274" t="s">
        <v>561</v>
      </c>
      <c r="B83" s="274"/>
      <c r="C83" s="275"/>
      <c r="D83" s="262"/>
      <c r="E83" s="215"/>
      <c r="F83" s="263"/>
      <c r="G83" s="263"/>
    </row>
    <row r="84" spans="1:8" s="246" customFormat="1" ht="36" x14ac:dyDescent="0.2">
      <c r="A84" s="279"/>
      <c r="B84" s="1133" t="s">
        <v>521</v>
      </c>
      <c r="C84" s="1385" t="s">
        <v>585</v>
      </c>
      <c r="D84" s="262"/>
      <c r="E84" s="215"/>
      <c r="F84" s="263"/>
      <c r="G84" s="263"/>
    </row>
    <row r="85" spans="1:8" s="246" customFormat="1" x14ac:dyDescent="0.2">
      <c r="A85" s="279"/>
      <c r="B85" s="1133" t="s">
        <v>521</v>
      </c>
      <c r="C85" s="1385" t="s">
        <v>586</v>
      </c>
      <c r="D85" s="262"/>
      <c r="E85" s="215"/>
      <c r="F85" s="263"/>
      <c r="G85" s="263"/>
    </row>
    <row r="86" spans="1:8" s="246" customFormat="1" ht="36" x14ac:dyDescent="0.2">
      <c r="A86" s="279"/>
      <c r="B86" s="1133" t="s">
        <v>521</v>
      </c>
      <c r="C86" s="1386" t="s">
        <v>587</v>
      </c>
      <c r="D86" s="262"/>
      <c r="E86" s="215"/>
      <c r="F86" s="263"/>
      <c r="G86" s="263"/>
    </row>
    <row r="87" spans="1:8" s="246" customFormat="1" ht="18.75" customHeight="1" x14ac:dyDescent="0.25">
      <c r="A87" s="279"/>
      <c r="B87" s="1133" t="s">
        <v>521</v>
      </c>
      <c r="C87" s="1386" t="s">
        <v>588</v>
      </c>
      <c r="D87"/>
      <c r="E87"/>
      <c r="F87"/>
      <c r="G87"/>
      <c r="H87"/>
    </row>
    <row r="88" spans="1:8" s="246" customFormat="1" ht="24" x14ac:dyDescent="0.25">
      <c r="A88" s="279"/>
      <c r="B88" s="1134" t="s">
        <v>521</v>
      </c>
      <c r="C88" s="1383" t="s">
        <v>589</v>
      </c>
      <c r="D88"/>
      <c r="E88"/>
      <c r="F88"/>
      <c r="G88"/>
      <c r="H88"/>
    </row>
    <row r="89" spans="1:8" s="246" customFormat="1" ht="24" x14ac:dyDescent="0.25">
      <c r="A89" s="279"/>
      <c r="B89" s="1134" t="s">
        <v>521</v>
      </c>
      <c r="C89" s="1383" t="s">
        <v>590</v>
      </c>
      <c r="D89"/>
      <c r="E89"/>
      <c r="F89"/>
      <c r="G89"/>
      <c r="H89"/>
    </row>
    <row r="90" spans="1:8" s="246" customFormat="1" ht="24" x14ac:dyDescent="0.25">
      <c r="A90" s="279"/>
      <c r="B90" s="1134" t="s">
        <v>521</v>
      </c>
      <c r="C90" s="1386" t="s">
        <v>591</v>
      </c>
      <c r="D90"/>
      <c r="E90"/>
      <c r="F90"/>
      <c r="G90"/>
      <c r="H90"/>
    </row>
    <row r="91" spans="1:8" s="246" customFormat="1" ht="48" x14ac:dyDescent="0.25">
      <c r="A91" s="279"/>
      <c r="B91" s="1134" t="s">
        <v>521</v>
      </c>
      <c r="C91" s="1388" t="s">
        <v>592</v>
      </c>
      <c r="D91"/>
      <c r="E91"/>
      <c r="F91"/>
      <c r="G91"/>
      <c r="H91"/>
    </row>
    <row r="92" spans="1:8" s="246" customFormat="1" ht="15" x14ac:dyDescent="0.25">
      <c r="A92" s="279"/>
      <c r="B92" s="1133"/>
      <c r="C92" s="1387" t="s">
        <v>579</v>
      </c>
      <c r="D92"/>
      <c r="E92"/>
      <c r="F92"/>
      <c r="G92"/>
      <c r="H92"/>
    </row>
    <row r="93" spans="1:8" s="246" customFormat="1" ht="15" x14ac:dyDescent="0.25">
      <c r="A93" s="279"/>
      <c r="B93" s="1134" t="s">
        <v>521</v>
      </c>
      <c r="C93" s="1386" t="s">
        <v>593</v>
      </c>
      <c r="D93"/>
      <c r="E93"/>
      <c r="F93"/>
      <c r="G93"/>
      <c r="H93"/>
    </row>
    <row r="94" spans="1:8" s="246" customFormat="1" ht="15" x14ac:dyDescent="0.25">
      <c r="A94" s="279"/>
      <c r="B94" s="1133" t="s">
        <v>521</v>
      </c>
      <c r="C94" s="1386" t="s">
        <v>594</v>
      </c>
      <c r="D94"/>
      <c r="E94"/>
      <c r="F94"/>
      <c r="G94"/>
      <c r="H94"/>
    </row>
    <row r="95" spans="1:8" s="246" customFormat="1" ht="15" x14ac:dyDescent="0.25">
      <c r="A95" s="279"/>
      <c r="B95" s="1133" t="s">
        <v>521</v>
      </c>
      <c r="C95" s="1386" t="s">
        <v>595</v>
      </c>
      <c r="D95"/>
      <c r="E95"/>
      <c r="F95"/>
      <c r="G95"/>
      <c r="H95"/>
    </row>
    <row r="96" spans="1:8" s="246" customFormat="1" ht="15" x14ac:dyDescent="0.25">
      <c r="A96" s="279"/>
      <c r="B96" s="1133" t="s">
        <v>521</v>
      </c>
      <c r="C96" s="1383" t="s">
        <v>596</v>
      </c>
      <c r="D96"/>
      <c r="E96"/>
      <c r="F96"/>
      <c r="G96"/>
      <c r="H96"/>
    </row>
    <row r="97" spans="1:8" s="246" customFormat="1" ht="15" x14ac:dyDescent="0.25">
      <c r="A97" s="279"/>
      <c r="B97" s="1133" t="s">
        <v>521</v>
      </c>
      <c r="C97" s="1385" t="s">
        <v>597</v>
      </c>
      <c r="D97"/>
      <c r="E97"/>
      <c r="F97"/>
      <c r="G97"/>
      <c r="H97"/>
    </row>
    <row r="98" spans="1:8" s="246" customFormat="1" ht="15" x14ac:dyDescent="0.25">
      <c r="A98" s="279"/>
      <c r="B98" s="1133" t="s">
        <v>521</v>
      </c>
      <c r="C98" s="1385" t="s">
        <v>598</v>
      </c>
      <c r="D98"/>
      <c r="E98"/>
      <c r="F98"/>
      <c r="G98"/>
      <c r="H98"/>
    </row>
    <row r="99" spans="1:8" s="246" customFormat="1" ht="15" x14ac:dyDescent="0.25">
      <c r="A99" s="279"/>
      <c r="B99" s="1133" t="s">
        <v>521</v>
      </c>
      <c r="C99" s="1385" t="s">
        <v>599</v>
      </c>
      <c r="D99"/>
      <c r="E99"/>
      <c r="F99"/>
      <c r="G99"/>
      <c r="H99"/>
    </row>
    <row r="100" spans="1:8" s="246" customFormat="1" ht="15" x14ac:dyDescent="0.25">
      <c r="A100" s="279"/>
      <c r="B100" s="1133" t="s">
        <v>521</v>
      </c>
      <c r="C100" s="1385" t="s">
        <v>600</v>
      </c>
      <c r="D100"/>
      <c r="E100"/>
      <c r="F100"/>
      <c r="G100"/>
      <c r="H100"/>
    </row>
    <row r="101" spans="1:8" s="246" customFormat="1" ht="24" x14ac:dyDescent="0.25">
      <c r="A101" s="279"/>
      <c r="B101" s="1133" t="s">
        <v>521</v>
      </c>
      <c r="C101" s="1385" t="s">
        <v>601</v>
      </c>
      <c r="D101"/>
      <c r="E101"/>
      <c r="F101"/>
      <c r="G101"/>
      <c r="H101"/>
    </row>
    <row r="102" spans="1:8" s="246" customFormat="1" ht="15" x14ac:dyDescent="0.25">
      <c r="A102" s="279"/>
      <c r="B102" s="1133" t="s">
        <v>521</v>
      </c>
      <c r="C102" s="1385" t="s">
        <v>602</v>
      </c>
      <c r="D102"/>
      <c r="E102"/>
      <c r="F102"/>
      <c r="G102"/>
      <c r="H102"/>
    </row>
    <row r="103" spans="1:8" s="246" customFormat="1" ht="24" x14ac:dyDescent="0.25">
      <c r="A103" s="279"/>
      <c r="B103" s="1133" t="s">
        <v>521</v>
      </c>
      <c r="C103" s="1385" t="s">
        <v>603</v>
      </c>
      <c r="D103"/>
      <c r="E103"/>
      <c r="F103"/>
      <c r="G103"/>
      <c r="H103"/>
    </row>
    <row r="104" spans="1:8" s="246" customFormat="1" ht="15" x14ac:dyDescent="0.25">
      <c r="A104" s="279"/>
      <c r="B104" s="1133" t="s">
        <v>521</v>
      </c>
      <c r="C104" s="1386" t="s">
        <v>604</v>
      </c>
      <c r="D104"/>
      <c r="E104"/>
      <c r="F104"/>
      <c r="G104"/>
      <c r="H104"/>
    </row>
    <row r="105" spans="1:8" s="246" customFormat="1" ht="15" x14ac:dyDescent="0.25">
      <c r="A105" s="279"/>
      <c r="B105" s="279"/>
      <c r="C105" s="280"/>
      <c r="D105"/>
      <c r="E105"/>
      <c r="F105"/>
      <c r="G105"/>
      <c r="H105"/>
    </row>
    <row r="106" spans="1:8" s="246" customFormat="1" ht="16.5" thickBot="1" x14ac:dyDescent="0.3">
      <c r="A106" s="234" t="s">
        <v>629</v>
      </c>
      <c r="B106" s="1699"/>
      <c r="C106" s="1700"/>
      <c r="D106"/>
      <c r="E106"/>
      <c r="F106"/>
      <c r="G106"/>
      <c r="H106"/>
    </row>
    <row r="107" spans="1:8" ht="54" customHeight="1" x14ac:dyDescent="0.2">
      <c r="A107" s="279"/>
      <c r="B107" s="1134" t="s">
        <v>521</v>
      </c>
      <c r="C107" s="1383" t="s">
        <v>668</v>
      </c>
    </row>
    <row r="108" spans="1:8" x14ac:dyDescent="0.2">
      <c r="A108" s="279"/>
      <c r="B108" s="1134" t="s">
        <v>521</v>
      </c>
      <c r="C108" s="1386" t="s">
        <v>669</v>
      </c>
    </row>
    <row r="109" spans="1:8" ht="72" x14ac:dyDescent="0.2">
      <c r="A109" s="279"/>
      <c r="B109" s="1134" t="s">
        <v>521</v>
      </c>
      <c r="C109" s="1388" t="s">
        <v>670</v>
      </c>
    </row>
    <row r="110" spans="1:8" x14ac:dyDescent="0.2">
      <c r="A110" s="279"/>
      <c r="B110" s="1133"/>
      <c r="C110" s="1387" t="s">
        <v>579</v>
      </c>
    </row>
    <row r="111" spans="1:8" x14ac:dyDescent="0.2">
      <c r="A111" s="279"/>
      <c r="B111" s="1133" t="s">
        <v>521</v>
      </c>
      <c r="C111" s="1385" t="s">
        <v>671</v>
      </c>
    </row>
    <row r="112" spans="1:8" x14ac:dyDescent="0.2">
      <c r="A112" s="279"/>
      <c r="B112" s="1133" t="s">
        <v>521</v>
      </c>
      <c r="C112" s="1386" t="s">
        <v>672</v>
      </c>
    </row>
    <row r="113" spans="1:3" x14ac:dyDescent="0.2">
      <c r="A113" s="279"/>
      <c r="B113" s="1133" t="s">
        <v>521</v>
      </c>
      <c r="C113" s="1386" t="s">
        <v>673</v>
      </c>
    </row>
    <row r="114" spans="1:3" x14ac:dyDescent="0.2">
      <c r="A114" s="279"/>
      <c r="B114" s="1133" t="s">
        <v>521</v>
      </c>
      <c r="C114" s="1386" t="s">
        <v>674</v>
      </c>
    </row>
    <row r="115" spans="1:3" x14ac:dyDescent="0.2">
      <c r="A115" s="279"/>
      <c r="B115" s="279"/>
      <c r="C115" s="280"/>
    </row>
    <row r="116" spans="1:3" ht="16.5" thickBot="1" x14ac:dyDescent="0.25">
      <c r="A116" s="234" t="s">
        <v>507</v>
      </c>
      <c r="B116" s="1699"/>
      <c r="C116" s="1700"/>
    </row>
    <row r="117" spans="1:3" ht="72" x14ac:dyDescent="0.2">
      <c r="A117" s="274"/>
      <c r="B117" s="1135" t="s">
        <v>521</v>
      </c>
      <c r="C117" s="1384" t="s">
        <v>618</v>
      </c>
    </row>
    <row r="118" spans="1:3" ht="24" x14ac:dyDescent="0.2">
      <c r="A118" s="274"/>
      <c r="B118" s="1136" t="s">
        <v>521</v>
      </c>
      <c r="C118" s="1385" t="s">
        <v>619</v>
      </c>
    </row>
    <row r="119" spans="1:3" ht="36" x14ac:dyDescent="0.2">
      <c r="A119" s="274"/>
      <c r="B119" s="1135" t="s">
        <v>521</v>
      </c>
      <c r="C119" s="1385" t="s">
        <v>542</v>
      </c>
    </row>
    <row r="120" spans="1:3" ht="36" x14ac:dyDescent="0.2">
      <c r="A120" s="274"/>
      <c r="B120" s="1134" t="s">
        <v>521</v>
      </c>
      <c r="C120" s="1384" t="s">
        <v>620</v>
      </c>
    </row>
    <row r="121" spans="1:3" x14ac:dyDescent="0.2">
      <c r="A121" s="274"/>
      <c r="B121" s="1134" t="s">
        <v>521</v>
      </c>
      <c r="C121" s="1384" t="s">
        <v>621</v>
      </c>
    </row>
    <row r="122" spans="1:3" ht="24" x14ac:dyDescent="0.2">
      <c r="A122" s="274"/>
      <c r="B122" s="1134" t="s">
        <v>521</v>
      </c>
      <c r="C122" s="1381" t="s">
        <v>622</v>
      </c>
    </row>
    <row r="123" spans="1:3" x14ac:dyDescent="0.2">
      <c r="A123" s="274"/>
      <c r="B123" s="1136"/>
      <c r="C123" s="1382" t="s">
        <v>579</v>
      </c>
    </row>
    <row r="124" spans="1:3" x14ac:dyDescent="0.2">
      <c r="A124" s="274"/>
      <c r="B124" s="1136" t="s">
        <v>521</v>
      </c>
      <c r="C124" s="1383" t="s">
        <v>623</v>
      </c>
    </row>
    <row r="125" spans="1:3" x14ac:dyDescent="0.2">
      <c r="A125" s="274"/>
      <c r="B125" s="1136" t="s">
        <v>521</v>
      </c>
      <c r="C125" s="1383" t="s">
        <v>624</v>
      </c>
    </row>
    <row r="127" spans="1:3" ht="16.5" thickBot="1" x14ac:dyDescent="0.25">
      <c r="A127" s="234" t="s">
        <v>632</v>
      </c>
      <c r="B127" s="1699"/>
      <c r="C127" s="1700"/>
    </row>
    <row r="128" spans="1:3" ht="54" customHeight="1" x14ac:dyDescent="0.2">
      <c r="A128" s="274"/>
      <c r="B128" s="1135" t="s">
        <v>521</v>
      </c>
      <c r="C128" s="1383" t="s">
        <v>696</v>
      </c>
    </row>
    <row r="129" spans="1:3" ht="36" x14ac:dyDescent="0.2">
      <c r="A129" s="274"/>
      <c r="B129" s="1135" t="s">
        <v>521</v>
      </c>
      <c r="C129" s="1385" t="s">
        <v>542</v>
      </c>
    </row>
    <row r="130" spans="1:3" ht="24" x14ac:dyDescent="0.2">
      <c r="A130" s="274"/>
      <c r="B130" s="1134" t="s">
        <v>521</v>
      </c>
      <c r="C130" s="1385" t="s">
        <v>697</v>
      </c>
    </row>
    <row r="131" spans="1:3" ht="36" x14ac:dyDescent="0.2">
      <c r="A131" s="274"/>
      <c r="B131" s="1136" t="s">
        <v>521</v>
      </c>
      <c r="C131" s="1383" t="s">
        <v>698</v>
      </c>
    </row>
    <row r="132" spans="1:3" ht="24" x14ac:dyDescent="0.2">
      <c r="A132" s="274"/>
      <c r="B132" s="1136" t="s">
        <v>521</v>
      </c>
      <c r="C132" s="1383" t="s">
        <v>699</v>
      </c>
    </row>
    <row r="133" spans="1:3" ht="24" x14ac:dyDescent="0.2">
      <c r="A133" s="274"/>
      <c r="B133" s="1136" t="s">
        <v>521</v>
      </c>
      <c r="C133" s="1385" t="s">
        <v>700</v>
      </c>
    </row>
    <row r="134" spans="1:3" ht="24" x14ac:dyDescent="0.2">
      <c r="A134" s="274"/>
      <c r="B134" s="1136" t="s">
        <v>521</v>
      </c>
      <c r="C134" s="1385" t="s">
        <v>701</v>
      </c>
    </row>
    <row r="135" spans="1:3" x14ac:dyDescent="0.2">
      <c r="A135" s="274"/>
      <c r="B135" s="1136" t="s">
        <v>521</v>
      </c>
      <c r="C135" s="1383" t="s">
        <v>702</v>
      </c>
    </row>
    <row r="136" spans="1:3" x14ac:dyDescent="0.2">
      <c r="A136" s="274"/>
      <c r="B136" s="1136" t="s">
        <v>521</v>
      </c>
      <c r="C136" s="1383" t="s">
        <v>703</v>
      </c>
    </row>
    <row r="137" spans="1:3" x14ac:dyDescent="0.2">
      <c r="A137" s="274"/>
      <c r="B137" s="1136" t="s">
        <v>521</v>
      </c>
      <c r="C137" s="1383" t="s">
        <v>704</v>
      </c>
    </row>
    <row r="138" spans="1:3" ht="24" x14ac:dyDescent="0.2">
      <c r="A138" s="274"/>
      <c r="B138" s="1136" t="s">
        <v>521</v>
      </c>
      <c r="C138" s="1383" t="s">
        <v>705</v>
      </c>
    </row>
    <row r="139" spans="1:3" x14ac:dyDescent="0.2">
      <c r="A139" s="274"/>
      <c r="B139" s="1136" t="s">
        <v>521</v>
      </c>
      <c r="C139" s="1384" t="s">
        <v>706</v>
      </c>
    </row>
    <row r="140" spans="1:3" x14ac:dyDescent="0.2">
      <c r="A140" s="274"/>
      <c r="B140" s="1136"/>
      <c r="C140" s="1390" t="s">
        <v>579</v>
      </c>
    </row>
    <row r="141" spans="1:3" x14ac:dyDescent="0.2">
      <c r="A141" s="274"/>
      <c r="B141" s="1136" t="s">
        <v>521</v>
      </c>
      <c r="C141" s="1385" t="s">
        <v>671</v>
      </c>
    </row>
    <row r="142" spans="1:3" x14ac:dyDescent="0.2">
      <c r="A142" s="274"/>
      <c r="B142" s="1136" t="s">
        <v>521</v>
      </c>
      <c r="C142" s="1383" t="s">
        <v>707</v>
      </c>
    </row>
    <row r="143" spans="1:3" x14ac:dyDescent="0.2">
      <c r="A143" s="274"/>
      <c r="B143" s="1136" t="s">
        <v>521</v>
      </c>
      <c r="C143" s="1383" t="s">
        <v>708</v>
      </c>
    </row>
    <row r="144" spans="1:3" x14ac:dyDescent="0.2">
      <c r="A144" s="274"/>
      <c r="B144" s="1136" t="s">
        <v>521</v>
      </c>
      <c r="C144" s="1383" t="s">
        <v>709</v>
      </c>
    </row>
    <row r="146" spans="1:3" ht="16.5" thickBot="1" x14ac:dyDescent="0.25">
      <c r="A146" s="234" t="s">
        <v>633</v>
      </c>
      <c r="B146" s="1699"/>
      <c r="C146" s="1700"/>
    </row>
    <row r="147" spans="1:3" ht="36" x14ac:dyDescent="0.2">
      <c r="A147" s="274"/>
      <c r="B147" s="1134" t="s">
        <v>521</v>
      </c>
      <c r="C147" s="1385" t="s">
        <v>542</v>
      </c>
    </row>
    <row r="148" spans="1:3" ht="36" x14ac:dyDescent="0.2">
      <c r="A148" s="274"/>
      <c r="B148" s="1134" t="s">
        <v>521</v>
      </c>
      <c r="C148" s="1385" t="s">
        <v>717</v>
      </c>
    </row>
    <row r="149" spans="1:3" ht="36" x14ac:dyDescent="0.2">
      <c r="A149" s="274"/>
      <c r="B149" s="1134" t="s">
        <v>521</v>
      </c>
      <c r="C149" s="1385" t="s">
        <v>718</v>
      </c>
    </row>
    <row r="150" spans="1:3" x14ac:dyDescent="0.2">
      <c r="A150" s="274"/>
      <c r="B150" s="1134" t="s">
        <v>521</v>
      </c>
      <c r="C150" s="1385" t="s">
        <v>719</v>
      </c>
    </row>
    <row r="151" spans="1:3" ht="24" x14ac:dyDescent="0.2">
      <c r="A151" s="274"/>
      <c r="B151" s="1134" t="s">
        <v>521</v>
      </c>
      <c r="C151" s="1383" t="s">
        <v>720</v>
      </c>
    </row>
    <row r="152" spans="1:3" ht="24" x14ac:dyDescent="0.2">
      <c r="A152" s="274"/>
      <c r="B152" s="1134" t="s">
        <v>521</v>
      </c>
      <c r="C152" s="1383" t="s">
        <v>721</v>
      </c>
    </row>
    <row r="153" spans="1:3" ht="24" x14ac:dyDescent="0.2">
      <c r="A153" s="274"/>
      <c r="B153" s="1134" t="s">
        <v>521</v>
      </c>
      <c r="C153" s="1383" t="s">
        <v>722</v>
      </c>
    </row>
    <row r="154" spans="1:3" x14ac:dyDescent="0.2">
      <c r="A154" s="274"/>
      <c r="B154" s="1134" t="s">
        <v>521</v>
      </c>
      <c r="C154" s="1383" t="s">
        <v>704</v>
      </c>
    </row>
    <row r="155" spans="1:3" ht="24" x14ac:dyDescent="0.2">
      <c r="A155" s="274"/>
      <c r="B155" s="1134" t="s">
        <v>521</v>
      </c>
      <c r="C155" s="1383" t="s">
        <v>723</v>
      </c>
    </row>
    <row r="156" spans="1:3" x14ac:dyDescent="0.2">
      <c r="A156" s="274"/>
      <c r="B156" s="1134" t="s">
        <v>521</v>
      </c>
      <c r="C156" s="1384" t="s">
        <v>706</v>
      </c>
    </row>
    <row r="157" spans="1:3" ht="36" x14ac:dyDescent="0.2">
      <c r="A157" s="274"/>
      <c r="B157" s="1134" t="s">
        <v>521</v>
      </c>
      <c r="C157" s="1384" t="s">
        <v>724</v>
      </c>
    </row>
    <row r="158" spans="1:3" ht="42" customHeight="1" x14ac:dyDescent="0.2">
      <c r="A158" s="274"/>
      <c r="B158" s="1134" t="s">
        <v>521</v>
      </c>
      <c r="C158" s="1384" t="s">
        <v>725</v>
      </c>
    </row>
    <row r="159" spans="1:3" ht="48" x14ac:dyDescent="0.2">
      <c r="A159" s="274"/>
      <c r="B159" s="1133" t="s">
        <v>521</v>
      </c>
      <c r="C159" s="1385" t="s">
        <v>726</v>
      </c>
    </row>
    <row r="160" spans="1:3" x14ac:dyDescent="0.2">
      <c r="A160" s="274"/>
      <c r="B160" s="1136"/>
      <c r="C160" s="1390" t="s">
        <v>579</v>
      </c>
    </row>
    <row r="161" spans="1:7" x14ac:dyDescent="0.2">
      <c r="A161" s="274"/>
      <c r="B161" s="1136" t="s">
        <v>521</v>
      </c>
      <c r="C161" s="1383" t="s">
        <v>671</v>
      </c>
    </row>
    <row r="162" spans="1:7" x14ac:dyDescent="0.2">
      <c r="A162" s="274"/>
      <c r="B162" s="1136" t="s">
        <v>521</v>
      </c>
      <c r="C162" s="1385" t="s">
        <v>727</v>
      </c>
    </row>
    <row r="163" spans="1:7" x14ac:dyDescent="0.2">
      <c r="A163" s="274"/>
      <c r="B163" s="1136" t="s">
        <v>521</v>
      </c>
      <c r="C163" s="1383" t="s">
        <v>624</v>
      </c>
    </row>
    <row r="164" spans="1:7" x14ac:dyDescent="0.2">
      <c r="A164" s="274"/>
      <c r="B164" s="1136" t="s">
        <v>521</v>
      </c>
      <c r="C164" s="1383" t="s">
        <v>728</v>
      </c>
    </row>
    <row r="165" spans="1:7" x14ac:dyDescent="0.2">
      <c r="A165" s="274"/>
      <c r="B165" s="1136" t="s">
        <v>521</v>
      </c>
      <c r="C165" s="1383" t="s">
        <v>729</v>
      </c>
    </row>
    <row r="166" spans="1:7" x14ac:dyDescent="0.2">
      <c r="A166" s="274"/>
      <c r="B166" s="1136" t="s">
        <v>521</v>
      </c>
      <c r="C166" s="1385" t="s">
        <v>730</v>
      </c>
    </row>
    <row r="167" spans="1:7" x14ac:dyDescent="0.2">
      <c r="A167" s="274"/>
      <c r="B167" s="1136" t="s">
        <v>521</v>
      </c>
      <c r="C167" s="1385" t="s">
        <v>731</v>
      </c>
    </row>
    <row r="168" spans="1:7" x14ac:dyDescent="0.2">
      <c r="A168" s="274"/>
      <c r="B168" s="1136" t="s">
        <v>521</v>
      </c>
      <c r="C168" s="1385" t="s">
        <v>732</v>
      </c>
    </row>
    <row r="170" spans="1:7" ht="16.5" thickBot="1" x14ac:dyDescent="0.25">
      <c r="A170" s="234" t="s">
        <v>634</v>
      </c>
      <c r="B170" s="1699"/>
      <c r="C170" s="1700"/>
    </row>
    <row r="171" spans="1:7" ht="36" x14ac:dyDescent="0.25">
      <c r="A171" s="274"/>
      <c r="B171" s="1134" t="s">
        <v>521</v>
      </c>
      <c r="C171" s="1383" t="s">
        <v>738</v>
      </c>
      <c r="D171" s="1383"/>
      <c r="E171" s="1383"/>
      <c r="F171" s="1383"/>
      <c r="G171" s="1383"/>
    </row>
    <row r="172" spans="1:7" x14ac:dyDescent="0.25">
      <c r="A172" s="274"/>
      <c r="B172" s="1134" t="s">
        <v>521</v>
      </c>
      <c r="C172" s="1383" t="s">
        <v>739</v>
      </c>
      <c r="D172" s="1383"/>
      <c r="E172" s="1383"/>
      <c r="F172" s="1383"/>
      <c r="G172" s="1383"/>
    </row>
    <row r="173" spans="1:7" x14ac:dyDescent="0.25">
      <c r="A173" s="274"/>
      <c r="B173" s="1134" t="s">
        <v>521</v>
      </c>
      <c r="C173" s="1383" t="s">
        <v>740</v>
      </c>
      <c r="D173" s="1383"/>
      <c r="E173" s="1383"/>
      <c r="F173" s="1383"/>
      <c r="G173" s="1383"/>
    </row>
    <row r="174" spans="1:7" x14ac:dyDescent="0.25">
      <c r="A174" s="274"/>
      <c r="B174" s="1134" t="s">
        <v>521</v>
      </c>
      <c r="C174" s="1383" t="s">
        <v>741</v>
      </c>
      <c r="D174" s="1383"/>
      <c r="E174" s="1383"/>
      <c r="F174" s="1383"/>
      <c r="G174" s="1383"/>
    </row>
    <row r="175" spans="1:7" x14ac:dyDescent="0.25">
      <c r="A175" s="274"/>
      <c r="B175" s="1134" t="s">
        <v>521</v>
      </c>
      <c r="C175" s="1384" t="s">
        <v>742</v>
      </c>
      <c r="D175" s="1384"/>
      <c r="E175" s="1384"/>
      <c r="F175" s="1384"/>
      <c r="G175" s="1384"/>
    </row>
    <row r="176" spans="1:7" ht="48" x14ac:dyDescent="0.25">
      <c r="A176" s="274"/>
      <c r="B176" s="1134" t="s">
        <v>521</v>
      </c>
      <c r="C176" s="1385" t="s">
        <v>743</v>
      </c>
      <c r="D176" s="1385"/>
      <c r="E176" s="1385"/>
      <c r="F176" s="1385"/>
      <c r="G176" s="1385"/>
    </row>
    <row r="177" spans="1:7" ht="24" x14ac:dyDescent="0.25">
      <c r="A177" s="274"/>
      <c r="B177" s="1134" t="s">
        <v>521</v>
      </c>
      <c r="C177" s="1384" t="s">
        <v>744</v>
      </c>
      <c r="D177" s="1384"/>
      <c r="E177" s="1384"/>
      <c r="F177" s="1384"/>
      <c r="G177" s="1384"/>
    </row>
    <row r="178" spans="1:7" ht="36" x14ac:dyDescent="0.25">
      <c r="A178" s="274"/>
      <c r="B178" s="1134" t="s">
        <v>521</v>
      </c>
      <c r="C178" s="1385" t="s">
        <v>745</v>
      </c>
      <c r="D178" s="1385"/>
      <c r="E178" s="1385"/>
      <c r="F178" s="1385"/>
      <c r="G178" s="1385"/>
    </row>
    <row r="179" spans="1:7" ht="24" x14ac:dyDescent="0.25">
      <c r="A179" s="274"/>
      <c r="B179" s="1134" t="s">
        <v>521</v>
      </c>
      <c r="C179" s="1385" t="s">
        <v>746</v>
      </c>
      <c r="D179" s="1385"/>
      <c r="E179" s="1385"/>
      <c r="F179" s="1385"/>
      <c r="G179" s="1385"/>
    </row>
    <row r="180" spans="1:7" x14ac:dyDescent="0.25">
      <c r="A180" s="274"/>
      <c r="B180" s="1136"/>
      <c r="C180" s="1390" t="s">
        <v>579</v>
      </c>
      <c r="D180" s="1390"/>
      <c r="E180" s="1390"/>
      <c r="F180" s="1390"/>
      <c r="G180" s="1390"/>
    </row>
    <row r="181" spans="1:7" x14ac:dyDescent="0.25">
      <c r="A181" s="274"/>
      <c r="B181" s="1136" t="s">
        <v>521</v>
      </c>
      <c r="C181" s="1383" t="s">
        <v>747</v>
      </c>
      <c r="D181" s="1383"/>
      <c r="E181" s="1383"/>
      <c r="F181" s="1383"/>
      <c r="G181" s="1383"/>
    </row>
    <row r="182" spans="1:7" x14ac:dyDescent="0.25">
      <c r="A182" s="274"/>
      <c r="B182" s="1136" t="s">
        <v>521</v>
      </c>
      <c r="C182" s="1385" t="s">
        <v>748</v>
      </c>
      <c r="D182" s="1385"/>
      <c r="E182" s="1385"/>
      <c r="F182" s="1385"/>
      <c r="G182" s="1385"/>
    </row>
    <row r="183" spans="1:7" x14ac:dyDescent="0.25">
      <c r="A183" s="274"/>
      <c r="B183" s="1136" t="s">
        <v>521</v>
      </c>
      <c r="C183" s="1385" t="s">
        <v>749</v>
      </c>
      <c r="D183" s="1385"/>
      <c r="E183" s="1385"/>
      <c r="F183" s="1385"/>
      <c r="G183" s="1385"/>
    </row>
  </sheetData>
  <sheetProtection algorithmName="SHA-512" hashValue="56Hs3d9wjicpfzKYT90JRWwqboSpXz8cr7gOLTQp/XJFCahx+3CowwEm7zQaNi60dUT7TgybrfUjrp/VuxskdQ==" saltValue="XYI7SUA94t1cVjFi19r6wQ==" spinCount="100000" sheet="1" objects="1" scenarios="1"/>
  <pageMargins left="0.98425196850393704" right="0.39370078740157483" top="0.98425196850393704" bottom="0.74803149606299213" header="0" footer="0.39370078740157483"/>
  <pageSetup paperSize="9" scale="99" firstPageNumber="0" orientation="portrait" horizontalDpi="300" verticalDpi="300" r:id="rId1"/>
  <headerFooter alignWithMargins="0">
    <oddHeader xml:space="preserve">&amp;L
</oddHeader>
    <oddFooter>&amp;C&amp;6 &amp; List: &amp;A&amp;L&amp;9&amp;R&amp;R &amp; &amp;9 &amp; List: &amp;A_x000D_&amp;R &amp; &amp;9 &amp; Stran: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tabColor theme="6" tint="-0.249977111117893"/>
  </sheetPr>
  <dimension ref="A1:P64"/>
  <sheetViews>
    <sheetView view="pageBreakPreview" zoomScale="120" zoomScaleNormal="100" zoomScaleSheetLayoutView="120" workbookViewId="0"/>
  </sheetViews>
  <sheetFormatPr defaultRowHeight="12.75" x14ac:dyDescent="0.2"/>
  <cols>
    <col min="1" max="1" width="6" style="232" customWidth="1"/>
    <col min="2" max="2" width="4.42578125" style="232" customWidth="1"/>
    <col min="3" max="3" width="41.7109375" style="269" customWidth="1"/>
    <col min="4" max="4" width="6.28515625" style="331" customWidth="1"/>
    <col min="5" max="5" width="8.28515625" style="332" customWidth="1"/>
    <col min="6" max="6" width="9.85546875" style="1865" customWidth="1"/>
    <col min="7" max="7" width="13.28515625" style="333" customWidth="1"/>
    <col min="8" max="8" width="20.42578125" style="220" customWidth="1"/>
    <col min="9" max="9" width="11.7109375" style="215" customWidth="1"/>
    <col min="10" max="11" width="11.7109375" style="221" customWidth="1"/>
    <col min="12" max="12" width="16.7109375" style="224" customWidth="1"/>
    <col min="13" max="13" width="9.85546875" style="224" customWidth="1"/>
    <col min="14" max="14" width="2.5703125" style="224" bestFit="1" customWidth="1"/>
    <col min="15" max="15" width="9.140625" style="224"/>
    <col min="16" max="16" width="9" style="224" customWidth="1"/>
    <col min="17" max="256" width="9.140625" style="224"/>
    <col min="257" max="257" width="3.140625" style="224" customWidth="1"/>
    <col min="258" max="258" width="4.42578125" style="224" customWidth="1"/>
    <col min="259" max="259" width="43.7109375" style="224" customWidth="1"/>
    <col min="260" max="260" width="6.28515625" style="224" customWidth="1"/>
    <col min="261" max="261" width="7.85546875" style="224" customWidth="1"/>
    <col min="262" max="262" width="9.5703125" style="224" customWidth="1"/>
    <col min="263" max="263" width="13.85546875" style="224" customWidth="1"/>
    <col min="264" max="264" width="20.42578125" style="224" customWidth="1"/>
    <col min="265" max="267" width="11.7109375" style="224" customWidth="1"/>
    <col min="268" max="268" width="16.7109375" style="224" customWidth="1"/>
    <col min="269" max="269" width="9.85546875" style="224" customWidth="1"/>
    <col min="270" max="270" width="2.5703125" style="224" bestFit="1" customWidth="1"/>
    <col min="271" max="271" width="9.140625" style="224"/>
    <col min="272" max="272" width="9" style="224" customWidth="1"/>
    <col min="273" max="512" width="9.140625" style="224"/>
    <col min="513" max="513" width="3.140625" style="224" customWidth="1"/>
    <col min="514" max="514" width="4.42578125" style="224" customWidth="1"/>
    <col min="515" max="515" width="43.7109375" style="224" customWidth="1"/>
    <col min="516" max="516" width="6.28515625" style="224" customWidth="1"/>
    <col min="517" max="517" width="7.85546875" style="224" customWidth="1"/>
    <col min="518" max="518" width="9.5703125" style="224" customWidth="1"/>
    <col min="519" max="519" width="13.85546875" style="224" customWidth="1"/>
    <col min="520" max="520" width="20.42578125" style="224" customWidth="1"/>
    <col min="521" max="523" width="11.7109375" style="224" customWidth="1"/>
    <col min="524" max="524" width="16.7109375" style="224" customWidth="1"/>
    <col min="525" max="525" width="9.85546875" style="224" customWidth="1"/>
    <col min="526" max="526" width="2.5703125" style="224" bestFit="1" customWidth="1"/>
    <col min="527" max="527" width="9.140625" style="224"/>
    <col min="528" max="528" width="9" style="224" customWidth="1"/>
    <col min="529" max="768" width="9.140625" style="224"/>
    <col min="769" max="769" width="3.140625" style="224" customWidth="1"/>
    <col min="770" max="770" width="4.42578125" style="224" customWidth="1"/>
    <col min="771" max="771" width="43.7109375" style="224" customWidth="1"/>
    <col min="772" max="772" width="6.28515625" style="224" customWidth="1"/>
    <col min="773" max="773" width="7.85546875" style="224" customWidth="1"/>
    <col min="774" max="774" width="9.5703125" style="224" customWidth="1"/>
    <col min="775" max="775" width="13.85546875" style="224" customWidth="1"/>
    <col min="776" max="776" width="20.42578125" style="224" customWidth="1"/>
    <col min="777" max="779" width="11.7109375" style="224" customWidth="1"/>
    <col min="780" max="780" width="16.7109375" style="224" customWidth="1"/>
    <col min="781" max="781" width="9.85546875" style="224" customWidth="1"/>
    <col min="782" max="782" width="2.5703125" style="224" bestFit="1" customWidth="1"/>
    <col min="783" max="783" width="9.140625" style="224"/>
    <col min="784" max="784" width="9" style="224" customWidth="1"/>
    <col min="785" max="1024" width="9.140625" style="224"/>
    <col min="1025" max="1025" width="3.140625" style="224" customWidth="1"/>
    <col min="1026" max="1026" width="4.42578125" style="224" customWidth="1"/>
    <col min="1027" max="1027" width="43.7109375" style="224" customWidth="1"/>
    <col min="1028" max="1028" width="6.28515625" style="224" customWidth="1"/>
    <col min="1029" max="1029" width="7.85546875" style="224" customWidth="1"/>
    <col min="1030" max="1030" width="9.5703125" style="224" customWidth="1"/>
    <col min="1031" max="1031" width="13.85546875" style="224" customWidth="1"/>
    <col min="1032" max="1032" width="20.42578125" style="224" customWidth="1"/>
    <col min="1033" max="1035" width="11.7109375" style="224" customWidth="1"/>
    <col min="1036" max="1036" width="16.7109375" style="224" customWidth="1"/>
    <col min="1037" max="1037" width="9.85546875" style="224" customWidth="1"/>
    <col min="1038" max="1038" width="2.5703125" style="224" bestFit="1" customWidth="1"/>
    <col min="1039" max="1039" width="9.140625" style="224"/>
    <col min="1040" max="1040" width="9" style="224" customWidth="1"/>
    <col min="1041" max="1280" width="9.140625" style="224"/>
    <col min="1281" max="1281" width="3.140625" style="224" customWidth="1"/>
    <col min="1282" max="1282" width="4.42578125" style="224" customWidth="1"/>
    <col min="1283" max="1283" width="43.7109375" style="224" customWidth="1"/>
    <col min="1284" max="1284" width="6.28515625" style="224" customWidth="1"/>
    <col min="1285" max="1285" width="7.85546875" style="224" customWidth="1"/>
    <col min="1286" max="1286" width="9.5703125" style="224" customWidth="1"/>
    <col min="1287" max="1287" width="13.85546875" style="224" customWidth="1"/>
    <col min="1288" max="1288" width="20.42578125" style="224" customWidth="1"/>
    <col min="1289" max="1291" width="11.7109375" style="224" customWidth="1"/>
    <col min="1292" max="1292" width="16.7109375" style="224" customWidth="1"/>
    <col min="1293" max="1293" width="9.85546875" style="224" customWidth="1"/>
    <col min="1294" max="1294" width="2.5703125" style="224" bestFit="1" customWidth="1"/>
    <col min="1295" max="1295" width="9.140625" style="224"/>
    <col min="1296" max="1296" width="9" style="224" customWidth="1"/>
    <col min="1297" max="1536" width="9.140625" style="224"/>
    <col min="1537" max="1537" width="3.140625" style="224" customWidth="1"/>
    <col min="1538" max="1538" width="4.42578125" style="224" customWidth="1"/>
    <col min="1539" max="1539" width="43.7109375" style="224" customWidth="1"/>
    <col min="1540" max="1540" width="6.28515625" style="224" customWidth="1"/>
    <col min="1541" max="1541" width="7.85546875" style="224" customWidth="1"/>
    <col min="1542" max="1542" width="9.5703125" style="224" customWidth="1"/>
    <col min="1543" max="1543" width="13.85546875" style="224" customWidth="1"/>
    <col min="1544" max="1544" width="20.42578125" style="224" customWidth="1"/>
    <col min="1545" max="1547" width="11.7109375" style="224" customWidth="1"/>
    <col min="1548" max="1548" width="16.7109375" style="224" customWidth="1"/>
    <col min="1549" max="1549" width="9.85546875" style="224" customWidth="1"/>
    <col min="1550" max="1550" width="2.5703125" style="224" bestFit="1" customWidth="1"/>
    <col min="1551" max="1551" width="9.140625" style="224"/>
    <col min="1552" max="1552" width="9" style="224" customWidth="1"/>
    <col min="1553" max="1792" width="9.140625" style="224"/>
    <col min="1793" max="1793" width="3.140625" style="224" customWidth="1"/>
    <col min="1794" max="1794" width="4.42578125" style="224" customWidth="1"/>
    <col min="1795" max="1795" width="43.7109375" style="224" customWidth="1"/>
    <col min="1796" max="1796" width="6.28515625" style="224" customWidth="1"/>
    <col min="1797" max="1797" width="7.85546875" style="224" customWidth="1"/>
    <col min="1798" max="1798" width="9.5703125" style="224" customWidth="1"/>
    <col min="1799" max="1799" width="13.85546875" style="224" customWidth="1"/>
    <col min="1800" max="1800" width="20.42578125" style="224" customWidth="1"/>
    <col min="1801" max="1803" width="11.7109375" style="224" customWidth="1"/>
    <col min="1804" max="1804" width="16.7109375" style="224" customWidth="1"/>
    <col min="1805" max="1805" width="9.85546875" style="224" customWidth="1"/>
    <col min="1806" max="1806" width="2.5703125" style="224" bestFit="1" customWidth="1"/>
    <col min="1807" max="1807" width="9.140625" style="224"/>
    <col min="1808" max="1808" width="9" style="224" customWidth="1"/>
    <col min="1809" max="2048" width="9.140625" style="224"/>
    <col min="2049" max="2049" width="3.140625" style="224" customWidth="1"/>
    <col min="2050" max="2050" width="4.42578125" style="224" customWidth="1"/>
    <col min="2051" max="2051" width="43.7109375" style="224" customWidth="1"/>
    <col min="2052" max="2052" width="6.28515625" style="224" customWidth="1"/>
    <col min="2053" max="2053" width="7.85546875" style="224" customWidth="1"/>
    <col min="2054" max="2054" width="9.5703125" style="224" customWidth="1"/>
    <col min="2055" max="2055" width="13.85546875" style="224" customWidth="1"/>
    <col min="2056" max="2056" width="20.42578125" style="224" customWidth="1"/>
    <col min="2057" max="2059" width="11.7109375" style="224" customWidth="1"/>
    <col min="2060" max="2060" width="16.7109375" style="224" customWidth="1"/>
    <col min="2061" max="2061" width="9.85546875" style="224" customWidth="1"/>
    <col min="2062" max="2062" width="2.5703125" style="224" bestFit="1" customWidth="1"/>
    <col min="2063" max="2063" width="9.140625" style="224"/>
    <col min="2064" max="2064" width="9" style="224" customWidth="1"/>
    <col min="2065" max="2304" width="9.140625" style="224"/>
    <col min="2305" max="2305" width="3.140625" style="224" customWidth="1"/>
    <col min="2306" max="2306" width="4.42578125" style="224" customWidth="1"/>
    <col min="2307" max="2307" width="43.7109375" style="224" customWidth="1"/>
    <col min="2308" max="2308" width="6.28515625" style="224" customWidth="1"/>
    <col min="2309" max="2309" width="7.85546875" style="224" customWidth="1"/>
    <col min="2310" max="2310" width="9.5703125" style="224" customWidth="1"/>
    <col min="2311" max="2311" width="13.85546875" style="224" customWidth="1"/>
    <col min="2312" max="2312" width="20.42578125" style="224" customWidth="1"/>
    <col min="2313" max="2315" width="11.7109375" style="224" customWidth="1"/>
    <col min="2316" max="2316" width="16.7109375" style="224" customWidth="1"/>
    <col min="2317" max="2317" width="9.85546875" style="224" customWidth="1"/>
    <col min="2318" max="2318" width="2.5703125" style="224" bestFit="1" customWidth="1"/>
    <col min="2319" max="2319" width="9.140625" style="224"/>
    <col min="2320" max="2320" width="9" style="224" customWidth="1"/>
    <col min="2321" max="2560" width="9.140625" style="224"/>
    <col min="2561" max="2561" width="3.140625" style="224" customWidth="1"/>
    <col min="2562" max="2562" width="4.42578125" style="224" customWidth="1"/>
    <col min="2563" max="2563" width="43.7109375" style="224" customWidth="1"/>
    <col min="2564" max="2564" width="6.28515625" style="224" customWidth="1"/>
    <col min="2565" max="2565" width="7.85546875" style="224" customWidth="1"/>
    <col min="2566" max="2566" width="9.5703125" style="224" customWidth="1"/>
    <col min="2567" max="2567" width="13.85546875" style="224" customWidth="1"/>
    <col min="2568" max="2568" width="20.42578125" style="224" customWidth="1"/>
    <col min="2569" max="2571" width="11.7109375" style="224" customWidth="1"/>
    <col min="2572" max="2572" width="16.7109375" style="224" customWidth="1"/>
    <col min="2573" max="2573" width="9.85546875" style="224" customWidth="1"/>
    <col min="2574" max="2574" width="2.5703125" style="224" bestFit="1" customWidth="1"/>
    <col min="2575" max="2575" width="9.140625" style="224"/>
    <col min="2576" max="2576" width="9" style="224" customWidth="1"/>
    <col min="2577" max="2816" width="9.140625" style="224"/>
    <col min="2817" max="2817" width="3.140625" style="224" customWidth="1"/>
    <col min="2818" max="2818" width="4.42578125" style="224" customWidth="1"/>
    <col min="2819" max="2819" width="43.7109375" style="224" customWidth="1"/>
    <col min="2820" max="2820" width="6.28515625" style="224" customWidth="1"/>
    <col min="2821" max="2821" width="7.85546875" style="224" customWidth="1"/>
    <col min="2822" max="2822" width="9.5703125" style="224" customWidth="1"/>
    <col min="2823" max="2823" width="13.85546875" style="224" customWidth="1"/>
    <col min="2824" max="2824" width="20.42578125" style="224" customWidth="1"/>
    <col min="2825" max="2827" width="11.7109375" style="224" customWidth="1"/>
    <col min="2828" max="2828" width="16.7109375" style="224" customWidth="1"/>
    <col min="2829" max="2829" width="9.85546875" style="224" customWidth="1"/>
    <col min="2830" max="2830" width="2.5703125" style="224" bestFit="1" customWidth="1"/>
    <col min="2831" max="2831" width="9.140625" style="224"/>
    <col min="2832" max="2832" width="9" style="224" customWidth="1"/>
    <col min="2833" max="3072" width="9.140625" style="224"/>
    <col min="3073" max="3073" width="3.140625" style="224" customWidth="1"/>
    <col min="3074" max="3074" width="4.42578125" style="224" customWidth="1"/>
    <col min="3075" max="3075" width="43.7109375" style="224" customWidth="1"/>
    <col min="3076" max="3076" width="6.28515625" style="224" customWidth="1"/>
    <col min="3077" max="3077" width="7.85546875" style="224" customWidth="1"/>
    <col min="3078" max="3078" width="9.5703125" style="224" customWidth="1"/>
    <col min="3079" max="3079" width="13.85546875" style="224" customWidth="1"/>
    <col min="3080" max="3080" width="20.42578125" style="224" customWidth="1"/>
    <col min="3081" max="3083" width="11.7109375" style="224" customWidth="1"/>
    <col min="3084" max="3084" width="16.7109375" style="224" customWidth="1"/>
    <col min="3085" max="3085" width="9.85546875" style="224" customWidth="1"/>
    <col min="3086" max="3086" width="2.5703125" style="224" bestFit="1" customWidth="1"/>
    <col min="3087" max="3087" width="9.140625" style="224"/>
    <col min="3088" max="3088" width="9" style="224" customWidth="1"/>
    <col min="3089" max="3328" width="9.140625" style="224"/>
    <col min="3329" max="3329" width="3.140625" style="224" customWidth="1"/>
    <col min="3330" max="3330" width="4.42578125" style="224" customWidth="1"/>
    <col min="3331" max="3331" width="43.7109375" style="224" customWidth="1"/>
    <col min="3332" max="3332" width="6.28515625" style="224" customWidth="1"/>
    <col min="3333" max="3333" width="7.85546875" style="224" customWidth="1"/>
    <col min="3334" max="3334" width="9.5703125" style="224" customWidth="1"/>
    <col min="3335" max="3335" width="13.85546875" style="224" customWidth="1"/>
    <col min="3336" max="3336" width="20.42578125" style="224" customWidth="1"/>
    <col min="3337" max="3339" width="11.7109375" style="224" customWidth="1"/>
    <col min="3340" max="3340" width="16.7109375" style="224" customWidth="1"/>
    <col min="3341" max="3341" width="9.85546875" style="224" customWidth="1"/>
    <col min="3342" max="3342" width="2.5703125" style="224" bestFit="1" customWidth="1"/>
    <col min="3343" max="3343" width="9.140625" style="224"/>
    <col min="3344" max="3344" width="9" style="224" customWidth="1"/>
    <col min="3345" max="3584" width="9.140625" style="224"/>
    <col min="3585" max="3585" width="3.140625" style="224" customWidth="1"/>
    <col min="3586" max="3586" width="4.42578125" style="224" customWidth="1"/>
    <col min="3587" max="3587" width="43.7109375" style="224" customWidth="1"/>
    <col min="3588" max="3588" width="6.28515625" style="224" customWidth="1"/>
    <col min="3589" max="3589" width="7.85546875" style="224" customWidth="1"/>
    <col min="3590" max="3590" width="9.5703125" style="224" customWidth="1"/>
    <col min="3591" max="3591" width="13.85546875" style="224" customWidth="1"/>
    <col min="3592" max="3592" width="20.42578125" style="224" customWidth="1"/>
    <col min="3593" max="3595" width="11.7109375" style="224" customWidth="1"/>
    <col min="3596" max="3596" width="16.7109375" style="224" customWidth="1"/>
    <col min="3597" max="3597" width="9.85546875" style="224" customWidth="1"/>
    <col min="3598" max="3598" width="2.5703125" style="224" bestFit="1" customWidth="1"/>
    <col min="3599" max="3599" width="9.140625" style="224"/>
    <col min="3600" max="3600" width="9" style="224" customWidth="1"/>
    <col min="3601" max="3840" width="9.140625" style="224"/>
    <col min="3841" max="3841" width="3.140625" style="224" customWidth="1"/>
    <col min="3842" max="3842" width="4.42578125" style="224" customWidth="1"/>
    <col min="3843" max="3843" width="43.7109375" style="224" customWidth="1"/>
    <col min="3844" max="3844" width="6.28515625" style="224" customWidth="1"/>
    <col min="3845" max="3845" width="7.85546875" style="224" customWidth="1"/>
    <col min="3846" max="3846" width="9.5703125" style="224" customWidth="1"/>
    <col min="3847" max="3847" width="13.85546875" style="224" customWidth="1"/>
    <col min="3848" max="3848" width="20.42578125" style="224" customWidth="1"/>
    <col min="3849" max="3851" width="11.7109375" style="224" customWidth="1"/>
    <col min="3852" max="3852" width="16.7109375" style="224" customWidth="1"/>
    <col min="3853" max="3853" width="9.85546875" style="224" customWidth="1"/>
    <col min="3854" max="3854" width="2.5703125" style="224" bestFit="1" customWidth="1"/>
    <col min="3855" max="3855" width="9.140625" style="224"/>
    <col min="3856" max="3856" width="9" style="224" customWidth="1"/>
    <col min="3857" max="4096" width="9.140625" style="224"/>
    <col min="4097" max="4097" width="3.140625" style="224" customWidth="1"/>
    <col min="4098" max="4098" width="4.42578125" style="224" customWidth="1"/>
    <col min="4099" max="4099" width="43.7109375" style="224" customWidth="1"/>
    <col min="4100" max="4100" width="6.28515625" style="224" customWidth="1"/>
    <col min="4101" max="4101" width="7.85546875" style="224" customWidth="1"/>
    <col min="4102" max="4102" width="9.5703125" style="224" customWidth="1"/>
    <col min="4103" max="4103" width="13.85546875" style="224" customWidth="1"/>
    <col min="4104" max="4104" width="20.42578125" style="224" customWidth="1"/>
    <col min="4105" max="4107" width="11.7109375" style="224" customWidth="1"/>
    <col min="4108" max="4108" width="16.7109375" style="224" customWidth="1"/>
    <col min="4109" max="4109" width="9.85546875" style="224" customWidth="1"/>
    <col min="4110" max="4110" width="2.5703125" style="224" bestFit="1" customWidth="1"/>
    <col min="4111" max="4111" width="9.140625" style="224"/>
    <col min="4112" max="4112" width="9" style="224" customWidth="1"/>
    <col min="4113" max="4352" width="9.140625" style="224"/>
    <col min="4353" max="4353" width="3.140625" style="224" customWidth="1"/>
    <col min="4354" max="4354" width="4.42578125" style="224" customWidth="1"/>
    <col min="4355" max="4355" width="43.7109375" style="224" customWidth="1"/>
    <col min="4356" max="4356" width="6.28515625" style="224" customWidth="1"/>
    <col min="4357" max="4357" width="7.85546875" style="224" customWidth="1"/>
    <col min="4358" max="4358" width="9.5703125" style="224" customWidth="1"/>
    <col min="4359" max="4359" width="13.85546875" style="224" customWidth="1"/>
    <col min="4360" max="4360" width="20.42578125" style="224" customWidth="1"/>
    <col min="4361" max="4363" width="11.7109375" style="224" customWidth="1"/>
    <col min="4364" max="4364" width="16.7109375" style="224" customWidth="1"/>
    <col min="4365" max="4365" width="9.85546875" style="224" customWidth="1"/>
    <col min="4366" max="4366" width="2.5703125" style="224" bestFit="1" customWidth="1"/>
    <col min="4367" max="4367" width="9.140625" style="224"/>
    <col min="4368" max="4368" width="9" style="224" customWidth="1"/>
    <col min="4369" max="4608" width="9.140625" style="224"/>
    <col min="4609" max="4609" width="3.140625" style="224" customWidth="1"/>
    <col min="4610" max="4610" width="4.42578125" style="224" customWidth="1"/>
    <col min="4611" max="4611" width="43.7109375" style="224" customWidth="1"/>
    <col min="4612" max="4612" width="6.28515625" style="224" customWidth="1"/>
    <col min="4613" max="4613" width="7.85546875" style="224" customWidth="1"/>
    <col min="4614" max="4614" width="9.5703125" style="224" customWidth="1"/>
    <col min="4615" max="4615" width="13.85546875" style="224" customWidth="1"/>
    <col min="4616" max="4616" width="20.42578125" style="224" customWidth="1"/>
    <col min="4617" max="4619" width="11.7109375" style="224" customWidth="1"/>
    <col min="4620" max="4620" width="16.7109375" style="224" customWidth="1"/>
    <col min="4621" max="4621" width="9.85546875" style="224" customWidth="1"/>
    <col min="4622" max="4622" width="2.5703125" style="224" bestFit="1" customWidth="1"/>
    <col min="4623" max="4623" width="9.140625" style="224"/>
    <col min="4624" max="4624" width="9" style="224" customWidth="1"/>
    <col min="4625" max="4864" width="9.140625" style="224"/>
    <col min="4865" max="4865" width="3.140625" style="224" customWidth="1"/>
    <col min="4866" max="4866" width="4.42578125" style="224" customWidth="1"/>
    <col min="4867" max="4867" width="43.7109375" style="224" customWidth="1"/>
    <col min="4868" max="4868" width="6.28515625" style="224" customWidth="1"/>
    <col min="4869" max="4869" width="7.85546875" style="224" customWidth="1"/>
    <col min="4870" max="4870" width="9.5703125" style="224" customWidth="1"/>
    <col min="4871" max="4871" width="13.85546875" style="224" customWidth="1"/>
    <col min="4872" max="4872" width="20.42578125" style="224" customWidth="1"/>
    <col min="4873" max="4875" width="11.7109375" style="224" customWidth="1"/>
    <col min="4876" max="4876" width="16.7109375" style="224" customWidth="1"/>
    <col min="4877" max="4877" width="9.85546875" style="224" customWidth="1"/>
    <col min="4878" max="4878" width="2.5703125" style="224" bestFit="1" customWidth="1"/>
    <col min="4879" max="4879" width="9.140625" style="224"/>
    <col min="4880" max="4880" width="9" style="224" customWidth="1"/>
    <col min="4881" max="5120" width="9.140625" style="224"/>
    <col min="5121" max="5121" width="3.140625" style="224" customWidth="1"/>
    <col min="5122" max="5122" width="4.42578125" style="224" customWidth="1"/>
    <col min="5123" max="5123" width="43.7109375" style="224" customWidth="1"/>
    <col min="5124" max="5124" width="6.28515625" style="224" customWidth="1"/>
    <col min="5125" max="5125" width="7.85546875" style="224" customWidth="1"/>
    <col min="5126" max="5126" width="9.5703125" style="224" customWidth="1"/>
    <col min="5127" max="5127" width="13.85546875" style="224" customWidth="1"/>
    <col min="5128" max="5128" width="20.42578125" style="224" customWidth="1"/>
    <col min="5129" max="5131" width="11.7109375" style="224" customWidth="1"/>
    <col min="5132" max="5132" width="16.7109375" style="224" customWidth="1"/>
    <col min="5133" max="5133" width="9.85546875" style="224" customWidth="1"/>
    <col min="5134" max="5134" width="2.5703125" style="224" bestFit="1" customWidth="1"/>
    <col min="5135" max="5135" width="9.140625" style="224"/>
    <col min="5136" max="5136" width="9" style="224" customWidth="1"/>
    <col min="5137" max="5376" width="9.140625" style="224"/>
    <col min="5377" max="5377" width="3.140625" style="224" customWidth="1"/>
    <col min="5378" max="5378" width="4.42578125" style="224" customWidth="1"/>
    <col min="5379" max="5379" width="43.7109375" style="224" customWidth="1"/>
    <col min="5380" max="5380" width="6.28515625" style="224" customWidth="1"/>
    <col min="5381" max="5381" width="7.85546875" style="224" customWidth="1"/>
    <col min="5382" max="5382" width="9.5703125" style="224" customWidth="1"/>
    <col min="5383" max="5383" width="13.85546875" style="224" customWidth="1"/>
    <col min="5384" max="5384" width="20.42578125" style="224" customWidth="1"/>
    <col min="5385" max="5387" width="11.7109375" style="224" customWidth="1"/>
    <col min="5388" max="5388" width="16.7109375" style="224" customWidth="1"/>
    <col min="5389" max="5389" width="9.85546875" style="224" customWidth="1"/>
    <col min="5390" max="5390" width="2.5703125" style="224" bestFit="1" customWidth="1"/>
    <col min="5391" max="5391" width="9.140625" style="224"/>
    <col min="5392" max="5392" width="9" style="224" customWidth="1"/>
    <col min="5393" max="5632" width="9.140625" style="224"/>
    <col min="5633" max="5633" width="3.140625" style="224" customWidth="1"/>
    <col min="5634" max="5634" width="4.42578125" style="224" customWidth="1"/>
    <col min="5635" max="5635" width="43.7109375" style="224" customWidth="1"/>
    <col min="5636" max="5636" width="6.28515625" style="224" customWidth="1"/>
    <col min="5637" max="5637" width="7.85546875" style="224" customWidth="1"/>
    <col min="5638" max="5638" width="9.5703125" style="224" customWidth="1"/>
    <col min="5639" max="5639" width="13.85546875" style="224" customWidth="1"/>
    <col min="5640" max="5640" width="20.42578125" style="224" customWidth="1"/>
    <col min="5641" max="5643" width="11.7109375" style="224" customWidth="1"/>
    <col min="5644" max="5644" width="16.7109375" style="224" customWidth="1"/>
    <col min="5645" max="5645" width="9.85546875" style="224" customWidth="1"/>
    <col min="5646" max="5646" width="2.5703125" style="224" bestFit="1" customWidth="1"/>
    <col min="5647" max="5647" width="9.140625" style="224"/>
    <col min="5648" max="5648" width="9" style="224" customWidth="1"/>
    <col min="5649" max="5888" width="9.140625" style="224"/>
    <col min="5889" max="5889" width="3.140625" style="224" customWidth="1"/>
    <col min="5890" max="5890" width="4.42578125" style="224" customWidth="1"/>
    <col min="5891" max="5891" width="43.7109375" style="224" customWidth="1"/>
    <col min="5892" max="5892" width="6.28515625" style="224" customWidth="1"/>
    <col min="5893" max="5893" width="7.85546875" style="224" customWidth="1"/>
    <col min="5894" max="5894" width="9.5703125" style="224" customWidth="1"/>
    <col min="5895" max="5895" width="13.85546875" style="224" customWidth="1"/>
    <col min="5896" max="5896" width="20.42578125" style="224" customWidth="1"/>
    <col min="5897" max="5899" width="11.7109375" style="224" customWidth="1"/>
    <col min="5900" max="5900" width="16.7109375" style="224" customWidth="1"/>
    <col min="5901" max="5901" width="9.85546875" style="224" customWidth="1"/>
    <col min="5902" max="5902" width="2.5703125" style="224" bestFit="1" customWidth="1"/>
    <col min="5903" max="5903" width="9.140625" style="224"/>
    <col min="5904" max="5904" width="9" style="224" customWidth="1"/>
    <col min="5905" max="6144" width="9.140625" style="224"/>
    <col min="6145" max="6145" width="3.140625" style="224" customWidth="1"/>
    <col min="6146" max="6146" width="4.42578125" style="224" customWidth="1"/>
    <col min="6147" max="6147" width="43.7109375" style="224" customWidth="1"/>
    <col min="6148" max="6148" width="6.28515625" style="224" customWidth="1"/>
    <col min="6149" max="6149" width="7.85546875" style="224" customWidth="1"/>
    <col min="6150" max="6150" width="9.5703125" style="224" customWidth="1"/>
    <col min="6151" max="6151" width="13.85546875" style="224" customWidth="1"/>
    <col min="6152" max="6152" width="20.42578125" style="224" customWidth="1"/>
    <col min="6153" max="6155" width="11.7109375" style="224" customWidth="1"/>
    <col min="6156" max="6156" width="16.7109375" style="224" customWidth="1"/>
    <col min="6157" max="6157" width="9.85546875" style="224" customWidth="1"/>
    <col min="6158" max="6158" width="2.5703125" style="224" bestFit="1" customWidth="1"/>
    <col min="6159" max="6159" width="9.140625" style="224"/>
    <col min="6160" max="6160" width="9" style="224" customWidth="1"/>
    <col min="6161" max="6400" width="9.140625" style="224"/>
    <col min="6401" max="6401" width="3.140625" style="224" customWidth="1"/>
    <col min="6402" max="6402" width="4.42578125" style="224" customWidth="1"/>
    <col min="6403" max="6403" width="43.7109375" style="224" customWidth="1"/>
    <col min="6404" max="6404" width="6.28515625" style="224" customWidth="1"/>
    <col min="6405" max="6405" width="7.85546875" style="224" customWidth="1"/>
    <col min="6406" max="6406" width="9.5703125" style="224" customWidth="1"/>
    <col min="6407" max="6407" width="13.85546875" style="224" customWidth="1"/>
    <col min="6408" max="6408" width="20.42578125" style="224" customWidth="1"/>
    <col min="6409" max="6411" width="11.7109375" style="224" customWidth="1"/>
    <col min="6412" max="6412" width="16.7109375" style="224" customWidth="1"/>
    <col min="6413" max="6413" width="9.85546875" style="224" customWidth="1"/>
    <col min="6414" max="6414" width="2.5703125" style="224" bestFit="1" customWidth="1"/>
    <col min="6415" max="6415" width="9.140625" style="224"/>
    <col min="6416" max="6416" width="9" style="224" customWidth="1"/>
    <col min="6417" max="6656" width="9.140625" style="224"/>
    <col min="6657" max="6657" width="3.140625" style="224" customWidth="1"/>
    <col min="6658" max="6658" width="4.42578125" style="224" customWidth="1"/>
    <col min="6659" max="6659" width="43.7109375" style="224" customWidth="1"/>
    <col min="6660" max="6660" width="6.28515625" style="224" customWidth="1"/>
    <col min="6661" max="6661" width="7.85546875" style="224" customWidth="1"/>
    <col min="6662" max="6662" width="9.5703125" style="224" customWidth="1"/>
    <col min="6663" max="6663" width="13.85546875" style="224" customWidth="1"/>
    <col min="6664" max="6664" width="20.42578125" style="224" customWidth="1"/>
    <col min="6665" max="6667" width="11.7109375" style="224" customWidth="1"/>
    <col min="6668" max="6668" width="16.7109375" style="224" customWidth="1"/>
    <col min="6669" max="6669" width="9.85546875" style="224" customWidth="1"/>
    <col min="6670" max="6670" width="2.5703125" style="224" bestFit="1" customWidth="1"/>
    <col min="6671" max="6671" width="9.140625" style="224"/>
    <col min="6672" max="6672" width="9" style="224" customWidth="1"/>
    <col min="6673" max="6912" width="9.140625" style="224"/>
    <col min="6913" max="6913" width="3.140625" style="224" customWidth="1"/>
    <col min="6914" max="6914" width="4.42578125" style="224" customWidth="1"/>
    <col min="6915" max="6915" width="43.7109375" style="224" customWidth="1"/>
    <col min="6916" max="6916" width="6.28515625" style="224" customWidth="1"/>
    <col min="6917" max="6917" width="7.85546875" style="224" customWidth="1"/>
    <col min="6918" max="6918" width="9.5703125" style="224" customWidth="1"/>
    <col min="6919" max="6919" width="13.85546875" style="224" customWidth="1"/>
    <col min="6920" max="6920" width="20.42578125" style="224" customWidth="1"/>
    <col min="6921" max="6923" width="11.7109375" style="224" customWidth="1"/>
    <col min="6924" max="6924" width="16.7109375" style="224" customWidth="1"/>
    <col min="6925" max="6925" width="9.85546875" style="224" customWidth="1"/>
    <col min="6926" max="6926" width="2.5703125" style="224" bestFit="1" customWidth="1"/>
    <col min="6927" max="6927" width="9.140625" style="224"/>
    <col min="6928" max="6928" width="9" style="224" customWidth="1"/>
    <col min="6929" max="7168" width="9.140625" style="224"/>
    <col min="7169" max="7169" width="3.140625" style="224" customWidth="1"/>
    <col min="7170" max="7170" width="4.42578125" style="224" customWidth="1"/>
    <col min="7171" max="7171" width="43.7109375" style="224" customWidth="1"/>
    <col min="7172" max="7172" width="6.28515625" style="224" customWidth="1"/>
    <col min="7173" max="7173" width="7.85546875" style="224" customWidth="1"/>
    <col min="7174" max="7174" width="9.5703125" style="224" customWidth="1"/>
    <col min="7175" max="7175" width="13.85546875" style="224" customWidth="1"/>
    <col min="7176" max="7176" width="20.42578125" style="224" customWidth="1"/>
    <col min="7177" max="7179" width="11.7109375" style="224" customWidth="1"/>
    <col min="7180" max="7180" width="16.7109375" style="224" customWidth="1"/>
    <col min="7181" max="7181" width="9.85546875" style="224" customWidth="1"/>
    <col min="7182" max="7182" width="2.5703125" style="224" bestFit="1" customWidth="1"/>
    <col min="7183" max="7183" width="9.140625" style="224"/>
    <col min="7184" max="7184" width="9" style="224" customWidth="1"/>
    <col min="7185" max="7424" width="9.140625" style="224"/>
    <col min="7425" max="7425" width="3.140625" style="224" customWidth="1"/>
    <col min="7426" max="7426" width="4.42578125" style="224" customWidth="1"/>
    <col min="7427" max="7427" width="43.7109375" style="224" customWidth="1"/>
    <col min="7428" max="7428" width="6.28515625" style="224" customWidth="1"/>
    <col min="7429" max="7429" width="7.85546875" style="224" customWidth="1"/>
    <col min="7430" max="7430" width="9.5703125" style="224" customWidth="1"/>
    <col min="7431" max="7431" width="13.85546875" style="224" customWidth="1"/>
    <col min="7432" max="7432" width="20.42578125" style="224" customWidth="1"/>
    <col min="7433" max="7435" width="11.7109375" style="224" customWidth="1"/>
    <col min="7436" max="7436" width="16.7109375" style="224" customWidth="1"/>
    <col min="7437" max="7437" width="9.85546875" style="224" customWidth="1"/>
    <col min="7438" max="7438" width="2.5703125" style="224" bestFit="1" customWidth="1"/>
    <col min="7439" max="7439" width="9.140625" style="224"/>
    <col min="7440" max="7440" width="9" style="224" customWidth="1"/>
    <col min="7441" max="7680" width="9.140625" style="224"/>
    <col min="7681" max="7681" width="3.140625" style="224" customWidth="1"/>
    <col min="7682" max="7682" width="4.42578125" style="224" customWidth="1"/>
    <col min="7683" max="7683" width="43.7109375" style="224" customWidth="1"/>
    <col min="7684" max="7684" width="6.28515625" style="224" customWidth="1"/>
    <col min="7685" max="7685" width="7.85546875" style="224" customWidth="1"/>
    <col min="7686" max="7686" width="9.5703125" style="224" customWidth="1"/>
    <col min="7687" max="7687" width="13.85546875" style="224" customWidth="1"/>
    <col min="7688" max="7688" width="20.42578125" style="224" customWidth="1"/>
    <col min="7689" max="7691" width="11.7109375" style="224" customWidth="1"/>
    <col min="7692" max="7692" width="16.7109375" style="224" customWidth="1"/>
    <col min="7693" max="7693" width="9.85546875" style="224" customWidth="1"/>
    <col min="7694" max="7694" width="2.5703125" style="224" bestFit="1" customWidth="1"/>
    <col min="7695" max="7695" width="9.140625" style="224"/>
    <col min="7696" max="7696" width="9" style="224" customWidth="1"/>
    <col min="7697" max="7936" width="9.140625" style="224"/>
    <col min="7937" max="7937" width="3.140625" style="224" customWidth="1"/>
    <col min="7938" max="7938" width="4.42578125" style="224" customWidth="1"/>
    <col min="7939" max="7939" width="43.7109375" style="224" customWidth="1"/>
    <col min="7940" max="7940" width="6.28515625" style="224" customWidth="1"/>
    <col min="7941" max="7941" width="7.85546875" style="224" customWidth="1"/>
    <col min="7942" max="7942" width="9.5703125" style="224" customWidth="1"/>
    <col min="7943" max="7943" width="13.85546875" style="224" customWidth="1"/>
    <col min="7944" max="7944" width="20.42578125" style="224" customWidth="1"/>
    <col min="7945" max="7947" width="11.7109375" style="224" customWidth="1"/>
    <col min="7948" max="7948" width="16.7109375" style="224" customWidth="1"/>
    <col min="7949" max="7949" width="9.85546875" style="224" customWidth="1"/>
    <col min="7950" max="7950" width="2.5703125" style="224" bestFit="1" customWidth="1"/>
    <col min="7951" max="7951" width="9.140625" style="224"/>
    <col min="7952" max="7952" width="9" style="224" customWidth="1"/>
    <col min="7953" max="8192" width="9.140625" style="224"/>
    <col min="8193" max="8193" width="3.140625" style="224" customWidth="1"/>
    <col min="8194" max="8194" width="4.42578125" style="224" customWidth="1"/>
    <col min="8195" max="8195" width="43.7109375" style="224" customWidth="1"/>
    <col min="8196" max="8196" width="6.28515625" style="224" customWidth="1"/>
    <col min="8197" max="8197" width="7.85546875" style="224" customWidth="1"/>
    <col min="8198" max="8198" width="9.5703125" style="224" customWidth="1"/>
    <col min="8199" max="8199" width="13.85546875" style="224" customWidth="1"/>
    <col min="8200" max="8200" width="20.42578125" style="224" customWidth="1"/>
    <col min="8201" max="8203" width="11.7109375" style="224" customWidth="1"/>
    <col min="8204" max="8204" width="16.7109375" style="224" customWidth="1"/>
    <col min="8205" max="8205" width="9.85546875" style="224" customWidth="1"/>
    <col min="8206" max="8206" width="2.5703125" style="224" bestFit="1" customWidth="1"/>
    <col min="8207" max="8207" width="9.140625" style="224"/>
    <col min="8208" max="8208" width="9" style="224" customWidth="1"/>
    <col min="8209" max="8448" width="9.140625" style="224"/>
    <col min="8449" max="8449" width="3.140625" style="224" customWidth="1"/>
    <col min="8450" max="8450" width="4.42578125" style="224" customWidth="1"/>
    <col min="8451" max="8451" width="43.7109375" style="224" customWidth="1"/>
    <col min="8452" max="8452" width="6.28515625" style="224" customWidth="1"/>
    <col min="8453" max="8453" width="7.85546875" style="224" customWidth="1"/>
    <col min="8454" max="8454" width="9.5703125" style="224" customWidth="1"/>
    <col min="8455" max="8455" width="13.85546875" style="224" customWidth="1"/>
    <col min="8456" max="8456" width="20.42578125" style="224" customWidth="1"/>
    <col min="8457" max="8459" width="11.7109375" style="224" customWidth="1"/>
    <col min="8460" max="8460" width="16.7109375" style="224" customWidth="1"/>
    <col min="8461" max="8461" width="9.85546875" style="224" customWidth="1"/>
    <col min="8462" max="8462" width="2.5703125" style="224" bestFit="1" customWidth="1"/>
    <col min="8463" max="8463" width="9.140625" style="224"/>
    <col min="8464" max="8464" width="9" style="224" customWidth="1"/>
    <col min="8465" max="8704" width="9.140625" style="224"/>
    <col min="8705" max="8705" width="3.140625" style="224" customWidth="1"/>
    <col min="8706" max="8706" width="4.42578125" style="224" customWidth="1"/>
    <col min="8707" max="8707" width="43.7109375" style="224" customWidth="1"/>
    <col min="8708" max="8708" width="6.28515625" style="224" customWidth="1"/>
    <col min="8709" max="8709" width="7.85546875" style="224" customWidth="1"/>
    <col min="8710" max="8710" width="9.5703125" style="224" customWidth="1"/>
    <col min="8711" max="8711" width="13.85546875" style="224" customWidth="1"/>
    <col min="8712" max="8712" width="20.42578125" style="224" customWidth="1"/>
    <col min="8713" max="8715" width="11.7109375" style="224" customWidth="1"/>
    <col min="8716" max="8716" width="16.7109375" style="224" customWidth="1"/>
    <col min="8717" max="8717" width="9.85546875" style="224" customWidth="1"/>
    <col min="8718" max="8718" width="2.5703125" style="224" bestFit="1" customWidth="1"/>
    <col min="8719" max="8719" width="9.140625" style="224"/>
    <col min="8720" max="8720" width="9" style="224" customWidth="1"/>
    <col min="8721" max="8960" width="9.140625" style="224"/>
    <col min="8961" max="8961" width="3.140625" style="224" customWidth="1"/>
    <col min="8962" max="8962" width="4.42578125" style="224" customWidth="1"/>
    <col min="8963" max="8963" width="43.7109375" style="224" customWidth="1"/>
    <col min="8964" max="8964" width="6.28515625" style="224" customWidth="1"/>
    <col min="8965" max="8965" width="7.85546875" style="224" customWidth="1"/>
    <col min="8966" max="8966" width="9.5703125" style="224" customWidth="1"/>
    <col min="8967" max="8967" width="13.85546875" style="224" customWidth="1"/>
    <col min="8968" max="8968" width="20.42578125" style="224" customWidth="1"/>
    <col min="8969" max="8971" width="11.7109375" style="224" customWidth="1"/>
    <col min="8972" max="8972" width="16.7109375" style="224" customWidth="1"/>
    <col min="8973" max="8973" width="9.85546875" style="224" customWidth="1"/>
    <col min="8974" max="8974" width="2.5703125" style="224" bestFit="1" customWidth="1"/>
    <col min="8975" max="8975" width="9.140625" style="224"/>
    <col min="8976" max="8976" width="9" style="224" customWidth="1"/>
    <col min="8977" max="9216" width="9.140625" style="224"/>
    <col min="9217" max="9217" width="3.140625" style="224" customWidth="1"/>
    <col min="9218" max="9218" width="4.42578125" style="224" customWidth="1"/>
    <col min="9219" max="9219" width="43.7109375" style="224" customWidth="1"/>
    <col min="9220" max="9220" width="6.28515625" style="224" customWidth="1"/>
    <col min="9221" max="9221" width="7.85546875" style="224" customWidth="1"/>
    <col min="9222" max="9222" width="9.5703125" style="224" customWidth="1"/>
    <col min="9223" max="9223" width="13.85546875" style="224" customWidth="1"/>
    <col min="9224" max="9224" width="20.42578125" style="224" customWidth="1"/>
    <col min="9225" max="9227" width="11.7109375" style="224" customWidth="1"/>
    <col min="9228" max="9228" width="16.7109375" style="224" customWidth="1"/>
    <col min="9229" max="9229" width="9.85546875" style="224" customWidth="1"/>
    <col min="9230" max="9230" width="2.5703125" style="224" bestFit="1" customWidth="1"/>
    <col min="9231" max="9231" width="9.140625" style="224"/>
    <col min="9232" max="9232" width="9" style="224" customWidth="1"/>
    <col min="9233" max="9472" width="9.140625" style="224"/>
    <col min="9473" max="9473" width="3.140625" style="224" customWidth="1"/>
    <col min="9474" max="9474" width="4.42578125" style="224" customWidth="1"/>
    <col min="9475" max="9475" width="43.7109375" style="224" customWidth="1"/>
    <col min="9476" max="9476" width="6.28515625" style="224" customWidth="1"/>
    <col min="9477" max="9477" width="7.85546875" style="224" customWidth="1"/>
    <col min="9478" max="9478" width="9.5703125" style="224" customWidth="1"/>
    <col min="9479" max="9479" width="13.85546875" style="224" customWidth="1"/>
    <col min="9480" max="9480" width="20.42578125" style="224" customWidth="1"/>
    <col min="9481" max="9483" width="11.7109375" style="224" customWidth="1"/>
    <col min="9484" max="9484" width="16.7109375" style="224" customWidth="1"/>
    <col min="9485" max="9485" width="9.85546875" style="224" customWidth="1"/>
    <col min="9486" max="9486" width="2.5703125" style="224" bestFit="1" customWidth="1"/>
    <col min="9487" max="9487" width="9.140625" style="224"/>
    <col min="9488" max="9488" width="9" style="224" customWidth="1"/>
    <col min="9489" max="9728" width="9.140625" style="224"/>
    <col min="9729" max="9729" width="3.140625" style="224" customWidth="1"/>
    <col min="9730" max="9730" width="4.42578125" style="224" customWidth="1"/>
    <col min="9731" max="9731" width="43.7109375" style="224" customWidth="1"/>
    <col min="9732" max="9732" width="6.28515625" style="224" customWidth="1"/>
    <col min="9733" max="9733" width="7.85546875" style="224" customWidth="1"/>
    <col min="9734" max="9734" width="9.5703125" style="224" customWidth="1"/>
    <col min="9735" max="9735" width="13.85546875" style="224" customWidth="1"/>
    <col min="9736" max="9736" width="20.42578125" style="224" customWidth="1"/>
    <col min="9737" max="9739" width="11.7109375" style="224" customWidth="1"/>
    <col min="9740" max="9740" width="16.7109375" style="224" customWidth="1"/>
    <col min="9741" max="9741" width="9.85546875" style="224" customWidth="1"/>
    <col min="9742" max="9742" width="2.5703125" style="224" bestFit="1" customWidth="1"/>
    <col min="9743" max="9743" width="9.140625" style="224"/>
    <col min="9744" max="9744" width="9" style="224" customWidth="1"/>
    <col min="9745" max="9984" width="9.140625" style="224"/>
    <col min="9985" max="9985" width="3.140625" style="224" customWidth="1"/>
    <col min="9986" max="9986" width="4.42578125" style="224" customWidth="1"/>
    <col min="9987" max="9987" width="43.7109375" style="224" customWidth="1"/>
    <col min="9988" max="9988" width="6.28515625" style="224" customWidth="1"/>
    <col min="9989" max="9989" width="7.85546875" style="224" customWidth="1"/>
    <col min="9990" max="9990" width="9.5703125" style="224" customWidth="1"/>
    <col min="9991" max="9991" width="13.85546875" style="224" customWidth="1"/>
    <col min="9992" max="9992" width="20.42578125" style="224" customWidth="1"/>
    <col min="9993" max="9995" width="11.7109375" style="224" customWidth="1"/>
    <col min="9996" max="9996" width="16.7109375" style="224" customWidth="1"/>
    <col min="9997" max="9997" width="9.85546875" style="224" customWidth="1"/>
    <col min="9998" max="9998" width="2.5703125" style="224" bestFit="1" customWidth="1"/>
    <col min="9999" max="9999" width="9.140625" style="224"/>
    <col min="10000" max="10000" width="9" style="224" customWidth="1"/>
    <col min="10001" max="10240" width="9.140625" style="224"/>
    <col min="10241" max="10241" width="3.140625" style="224" customWidth="1"/>
    <col min="10242" max="10242" width="4.42578125" style="224" customWidth="1"/>
    <col min="10243" max="10243" width="43.7109375" style="224" customWidth="1"/>
    <col min="10244" max="10244" width="6.28515625" style="224" customWidth="1"/>
    <col min="10245" max="10245" width="7.85546875" style="224" customWidth="1"/>
    <col min="10246" max="10246" width="9.5703125" style="224" customWidth="1"/>
    <col min="10247" max="10247" width="13.85546875" style="224" customWidth="1"/>
    <col min="10248" max="10248" width="20.42578125" style="224" customWidth="1"/>
    <col min="10249" max="10251" width="11.7109375" style="224" customWidth="1"/>
    <col min="10252" max="10252" width="16.7109375" style="224" customWidth="1"/>
    <col min="10253" max="10253" width="9.85546875" style="224" customWidth="1"/>
    <col min="10254" max="10254" width="2.5703125" style="224" bestFit="1" customWidth="1"/>
    <col min="10255" max="10255" width="9.140625" style="224"/>
    <col min="10256" max="10256" width="9" style="224" customWidth="1"/>
    <col min="10257" max="10496" width="9.140625" style="224"/>
    <col min="10497" max="10497" width="3.140625" style="224" customWidth="1"/>
    <col min="10498" max="10498" width="4.42578125" style="224" customWidth="1"/>
    <col min="10499" max="10499" width="43.7109375" style="224" customWidth="1"/>
    <col min="10500" max="10500" width="6.28515625" style="224" customWidth="1"/>
    <col min="10501" max="10501" width="7.85546875" style="224" customWidth="1"/>
    <col min="10502" max="10502" width="9.5703125" style="224" customWidth="1"/>
    <col min="10503" max="10503" width="13.85546875" style="224" customWidth="1"/>
    <col min="10504" max="10504" width="20.42578125" style="224" customWidth="1"/>
    <col min="10505" max="10507" width="11.7109375" style="224" customWidth="1"/>
    <col min="10508" max="10508" width="16.7109375" style="224" customWidth="1"/>
    <col min="10509" max="10509" width="9.85546875" style="224" customWidth="1"/>
    <col min="10510" max="10510" width="2.5703125" style="224" bestFit="1" customWidth="1"/>
    <col min="10511" max="10511" width="9.140625" style="224"/>
    <col min="10512" max="10512" width="9" style="224" customWidth="1"/>
    <col min="10513" max="10752" width="9.140625" style="224"/>
    <col min="10753" max="10753" width="3.140625" style="224" customWidth="1"/>
    <col min="10754" max="10754" width="4.42578125" style="224" customWidth="1"/>
    <col min="10755" max="10755" width="43.7109375" style="224" customWidth="1"/>
    <col min="10756" max="10756" width="6.28515625" style="224" customWidth="1"/>
    <col min="10757" max="10757" width="7.85546875" style="224" customWidth="1"/>
    <col min="10758" max="10758" width="9.5703125" style="224" customWidth="1"/>
    <col min="10759" max="10759" width="13.85546875" style="224" customWidth="1"/>
    <col min="10760" max="10760" width="20.42578125" style="224" customWidth="1"/>
    <col min="10761" max="10763" width="11.7109375" style="224" customWidth="1"/>
    <col min="10764" max="10764" width="16.7109375" style="224" customWidth="1"/>
    <col min="10765" max="10765" width="9.85546875" style="224" customWidth="1"/>
    <col min="10766" max="10766" width="2.5703125" style="224" bestFit="1" customWidth="1"/>
    <col min="10767" max="10767" width="9.140625" style="224"/>
    <col min="10768" max="10768" width="9" style="224" customWidth="1"/>
    <col min="10769" max="11008" width="9.140625" style="224"/>
    <col min="11009" max="11009" width="3.140625" style="224" customWidth="1"/>
    <col min="11010" max="11010" width="4.42578125" style="224" customWidth="1"/>
    <col min="11011" max="11011" width="43.7109375" style="224" customWidth="1"/>
    <col min="11012" max="11012" width="6.28515625" style="224" customWidth="1"/>
    <col min="11013" max="11013" width="7.85546875" style="224" customWidth="1"/>
    <col min="11014" max="11014" width="9.5703125" style="224" customWidth="1"/>
    <col min="11015" max="11015" width="13.85546875" style="224" customWidth="1"/>
    <col min="11016" max="11016" width="20.42578125" style="224" customWidth="1"/>
    <col min="11017" max="11019" width="11.7109375" style="224" customWidth="1"/>
    <col min="11020" max="11020" width="16.7109375" style="224" customWidth="1"/>
    <col min="11021" max="11021" width="9.85546875" style="224" customWidth="1"/>
    <col min="11022" max="11022" width="2.5703125" style="224" bestFit="1" customWidth="1"/>
    <col min="11023" max="11023" width="9.140625" style="224"/>
    <col min="11024" max="11024" width="9" style="224" customWidth="1"/>
    <col min="11025" max="11264" width="9.140625" style="224"/>
    <col min="11265" max="11265" width="3.140625" style="224" customWidth="1"/>
    <col min="11266" max="11266" width="4.42578125" style="224" customWidth="1"/>
    <col min="11267" max="11267" width="43.7109375" style="224" customWidth="1"/>
    <col min="11268" max="11268" width="6.28515625" style="224" customWidth="1"/>
    <col min="11269" max="11269" width="7.85546875" style="224" customWidth="1"/>
    <col min="11270" max="11270" width="9.5703125" style="224" customWidth="1"/>
    <col min="11271" max="11271" width="13.85546875" style="224" customWidth="1"/>
    <col min="11272" max="11272" width="20.42578125" style="224" customWidth="1"/>
    <col min="11273" max="11275" width="11.7109375" style="224" customWidth="1"/>
    <col min="11276" max="11276" width="16.7109375" style="224" customWidth="1"/>
    <col min="11277" max="11277" width="9.85546875" style="224" customWidth="1"/>
    <col min="11278" max="11278" width="2.5703125" style="224" bestFit="1" customWidth="1"/>
    <col min="11279" max="11279" width="9.140625" style="224"/>
    <col min="11280" max="11280" width="9" style="224" customWidth="1"/>
    <col min="11281" max="11520" width="9.140625" style="224"/>
    <col min="11521" max="11521" width="3.140625" style="224" customWidth="1"/>
    <col min="11522" max="11522" width="4.42578125" style="224" customWidth="1"/>
    <col min="11523" max="11523" width="43.7109375" style="224" customWidth="1"/>
    <col min="11524" max="11524" width="6.28515625" style="224" customWidth="1"/>
    <col min="11525" max="11525" width="7.85546875" style="224" customWidth="1"/>
    <col min="11526" max="11526" width="9.5703125" style="224" customWidth="1"/>
    <col min="11527" max="11527" width="13.85546875" style="224" customWidth="1"/>
    <col min="11528" max="11528" width="20.42578125" style="224" customWidth="1"/>
    <col min="11529" max="11531" width="11.7109375" style="224" customWidth="1"/>
    <col min="11532" max="11532" width="16.7109375" style="224" customWidth="1"/>
    <col min="11533" max="11533" width="9.85546875" style="224" customWidth="1"/>
    <col min="11534" max="11534" width="2.5703125" style="224" bestFit="1" customWidth="1"/>
    <col min="11535" max="11535" width="9.140625" style="224"/>
    <col min="11536" max="11536" width="9" style="224" customWidth="1"/>
    <col min="11537" max="11776" width="9.140625" style="224"/>
    <col min="11777" max="11777" width="3.140625" style="224" customWidth="1"/>
    <col min="11778" max="11778" width="4.42578125" style="224" customWidth="1"/>
    <col min="11779" max="11779" width="43.7109375" style="224" customWidth="1"/>
    <col min="11780" max="11780" width="6.28515625" style="224" customWidth="1"/>
    <col min="11781" max="11781" width="7.85546875" style="224" customWidth="1"/>
    <col min="11782" max="11782" width="9.5703125" style="224" customWidth="1"/>
    <col min="11783" max="11783" width="13.85546875" style="224" customWidth="1"/>
    <col min="11784" max="11784" width="20.42578125" style="224" customWidth="1"/>
    <col min="11785" max="11787" width="11.7109375" style="224" customWidth="1"/>
    <col min="11788" max="11788" width="16.7109375" style="224" customWidth="1"/>
    <col min="11789" max="11789" width="9.85546875" style="224" customWidth="1"/>
    <col min="11790" max="11790" width="2.5703125" style="224" bestFit="1" customWidth="1"/>
    <col min="11791" max="11791" width="9.140625" style="224"/>
    <col min="11792" max="11792" width="9" style="224" customWidth="1"/>
    <col min="11793" max="12032" width="9.140625" style="224"/>
    <col min="12033" max="12033" width="3.140625" style="224" customWidth="1"/>
    <col min="12034" max="12034" width="4.42578125" style="224" customWidth="1"/>
    <col min="12035" max="12035" width="43.7109375" style="224" customWidth="1"/>
    <col min="12036" max="12036" width="6.28515625" style="224" customWidth="1"/>
    <col min="12037" max="12037" width="7.85546875" style="224" customWidth="1"/>
    <col min="12038" max="12038" width="9.5703125" style="224" customWidth="1"/>
    <col min="12039" max="12039" width="13.85546875" style="224" customWidth="1"/>
    <col min="12040" max="12040" width="20.42578125" style="224" customWidth="1"/>
    <col min="12041" max="12043" width="11.7109375" style="224" customWidth="1"/>
    <col min="12044" max="12044" width="16.7109375" style="224" customWidth="1"/>
    <col min="12045" max="12045" width="9.85546875" style="224" customWidth="1"/>
    <col min="12046" max="12046" width="2.5703125" style="224" bestFit="1" customWidth="1"/>
    <col min="12047" max="12047" width="9.140625" style="224"/>
    <col min="12048" max="12048" width="9" style="224" customWidth="1"/>
    <col min="12049" max="12288" width="9.140625" style="224"/>
    <col min="12289" max="12289" width="3.140625" style="224" customWidth="1"/>
    <col min="12290" max="12290" width="4.42578125" style="224" customWidth="1"/>
    <col min="12291" max="12291" width="43.7109375" style="224" customWidth="1"/>
    <col min="12292" max="12292" width="6.28515625" style="224" customWidth="1"/>
    <col min="12293" max="12293" width="7.85546875" style="224" customWidth="1"/>
    <col min="12294" max="12294" width="9.5703125" style="224" customWidth="1"/>
    <col min="12295" max="12295" width="13.85546875" style="224" customWidth="1"/>
    <col min="12296" max="12296" width="20.42578125" style="224" customWidth="1"/>
    <col min="12297" max="12299" width="11.7109375" style="224" customWidth="1"/>
    <col min="12300" max="12300" width="16.7109375" style="224" customWidth="1"/>
    <col min="12301" max="12301" width="9.85546875" style="224" customWidth="1"/>
    <col min="12302" max="12302" width="2.5703125" style="224" bestFit="1" customWidth="1"/>
    <col min="12303" max="12303" width="9.140625" style="224"/>
    <col min="12304" max="12304" width="9" style="224" customWidth="1"/>
    <col min="12305" max="12544" width="9.140625" style="224"/>
    <col min="12545" max="12545" width="3.140625" style="224" customWidth="1"/>
    <col min="12546" max="12546" width="4.42578125" style="224" customWidth="1"/>
    <col min="12547" max="12547" width="43.7109375" style="224" customWidth="1"/>
    <col min="12548" max="12548" width="6.28515625" style="224" customWidth="1"/>
    <col min="12549" max="12549" width="7.85546875" style="224" customWidth="1"/>
    <col min="12550" max="12550" width="9.5703125" style="224" customWidth="1"/>
    <col min="12551" max="12551" width="13.85546875" style="224" customWidth="1"/>
    <col min="12552" max="12552" width="20.42578125" style="224" customWidth="1"/>
    <col min="12553" max="12555" width="11.7109375" style="224" customWidth="1"/>
    <col min="12556" max="12556" width="16.7109375" style="224" customWidth="1"/>
    <col min="12557" max="12557" width="9.85546875" style="224" customWidth="1"/>
    <col min="12558" max="12558" width="2.5703125" style="224" bestFit="1" customWidth="1"/>
    <col min="12559" max="12559" width="9.140625" style="224"/>
    <col min="12560" max="12560" width="9" style="224" customWidth="1"/>
    <col min="12561" max="12800" width="9.140625" style="224"/>
    <col min="12801" max="12801" width="3.140625" style="224" customWidth="1"/>
    <col min="12802" max="12802" width="4.42578125" style="224" customWidth="1"/>
    <col min="12803" max="12803" width="43.7109375" style="224" customWidth="1"/>
    <col min="12804" max="12804" width="6.28515625" style="224" customWidth="1"/>
    <col min="12805" max="12805" width="7.85546875" style="224" customWidth="1"/>
    <col min="12806" max="12806" width="9.5703125" style="224" customWidth="1"/>
    <col min="12807" max="12807" width="13.85546875" style="224" customWidth="1"/>
    <col min="12808" max="12808" width="20.42578125" style="224" customWidth="1"/>
    <col min="12809" max="12811" width="11.7109375" style="224" customWidth="1"/>
    <col min="12812" max="12812" width="16.7109375" style="224" customWidth="1"/>
    <col min="12813" max="12813" width="9.85546875" style="224" customWidth="1"/>
    <col min="12814" max="12814" width="2.5703125" style="224" bestFit="1" customWidth="1"/>
    <col min="12815" max="12815" width="9.140625" style="224"/>
    <col min="12816" max="12816" width="9" style="224" customWidth="1"/>
    <col min="12817" max="13056" width="9.140625" style="224"/>
    <col min="13057" max="13057" width="3.140625" style="224" customWidth="1"/>
    <col min="13058" max="13058" width="4.42578125" style="224" customWidth="1"/>
    <col min="13059" max="13059" width="43.7109375" style="224" customWidth="1"/>
    <col min="13060" max="13060" width="6.28515625" style="224" customWidth="1"/>
    <col min="13061" max="13061" width="7.85546875" style="224" customWidth="1"/>
    <col min="13062" max="13062" width="9.5703125" style="224" customWidth="1"/>
    <col min="13063" max="13063" width="13.85546875" style="224" customWidth="1"/>
    <col min="13064" max="13064" width="20.42578125" style="224" customWidth="1"/>
    <col min="13065" max="13067" width="11.7109375" style="224" customWidth="1"/>
    <col min="13068" max="13068" width="16.7109375" style="224" customWidth="1"/>
    <col min="13069" max="13069" width="9.85546875" style="224" customWidth="1"/>
    <col min="13070" max="13070" width="2.5703125" style="224" bestFit="1" customWidth="1"/>
    <col min="13071" max="13071" width="9.140625" style="224"/>
    <col min="13072" max="13072" width="9" style="224" customWidth="1"/>
    <col min="13073" max="13312" width="9.140625" style="224"/>
    <col min="13313" max="13313" width="3.140625" style="224" customWidth="1"/>
    <col min="13314" max="13314" width="4.42578125" style="224" customWidth="1"/>
    <col min="13315" max="13315" width="43.7109375" style="224" customWidth="1"/>
    <col min="13316" max="13316" width="6.28515625" style="224" customWidth="1"/>
    <col min="13317" max="13317" width="7.85546875" style="224" customWidth="1"/>
    <col min="13318" max="13318" width="9.5703125" style="224" customWidth="1"/>
    <col min="13319" max="13319" width="13.85546875" style="224" customWidth="1"/>
    <col min="13320" max="13320" width="20.42578125" style="224" customWidth="1"/>
    <col min="13321" max="13323" width="11.7109375" style="224" customWidth="1"/>
    <col min="13324" max="13324" width="16.7109375" style="224" customWidth="1"/>
    <col min="13325" max="13325" width="9.85546875" style="224" customWidth="1"/>
    <col min="13326" max="13326" width="2.5703125" style="224" bestFit="1" customWidth="1"/>
    <col min="13327" max="13327" width="9.140625" style="224"/>
    <col min="13328" max="13328" width="9" style="224" customWidth="1"/>
    <col min="13329" max="13568" width="9.140625" style="224"/>
    <col min="13569" max="13569" width="3.140625" style="224" customWidth="1"/>
    <col min="13570" max="13570" width="4.42578125" style="224" customWidth="1"/>
    <col min="13571" max="13571" width="43.7109375" style="224" customWidth="1"/>
    <col min="13572" max="13572" width="6.28515625" style="224" customWidth="1"/>
    <col min="13573" max="13573" width="7.85546875" style="224" customWidth="1"/>
    <col min="13574" max="13574" width="9.5703125" style="224" customWidth="1"/>
    <col min="13575" max="13575" width="13.85546875" style="224" customWidth="1"/>
    <col min="13576" max="13576" width="20.42578125" style="224" customWidth="1"/>
    <col min="13577" max="13579" width="11.7109375" style="224" customWidth="1"/>
    <col min="13580" max="13580" width="16.7109375" style="224" customWidth="1"/>
    <col min="13581" max="13581" width="9.85546875" style="224" customWidth="1"/>
    <col min="13582" max="13582" width="2.5703125" style="224" bestFit="1" customWidth="1"/>
    <col min="13583" max="13583" width="9.140625" style="224"/>
    <col min="13584" max="13584" width="9" style="224" customWidth="1"/>
    <col min="13585" max="13824" width="9.140625" style="224"/>
    <col min="13825" max="13825" width="3.140625" style="224" customWidth="1"/>
    <col min="13826" max="13826" width="4.42578125" style="224" customWidth="1"/>
    <col min="13827" max="13827" width="43.7109375" style="224" customWidth="1"/>
    <col min="13828" max="13828" width="6.28515625" style="224" customWidth="1"/>
    <col min="13829" max="13829" width="7.85546875" style="224" customWidth="1"/>
    <col min="13830" max="13830" width="9.5703125" style="224" customWidth="1"/>
    <col min="13831" max="13831" width="13.85546875" style="224" customWidth="1"/>
    <col min="13832" max="13832" width="20.42578125" style="224" customWidth="1"/>
    <col min="13833" max="13835" width="11.7109375" style="224" customWidth="1"/>
    <col min="13836" max="13836" width="16.7109375" style="224" customWidth="1"/>
    <col min="13837" max="13837" width="9.85546875" style="224" customWidth="1"/>
    <col min="13838" max="13838" width="2.5703125" style="224" bestFit="1" customWidth="1"/>
    <col min="13839" max="13839" width="9.140625" style="224"/>
    <col min="13840" max="13840" width="9" style="224" customWidth="1"/>
    <col min="13841" max="14080" width="9.140625" style="224"/>
    <col min="14081" max="14081" width="3.140625" style="224" customWidth="1"/>
    <col min="14082" max="14082" width="4.42578125" style="224" customWidth="1"/>
    <col min="14083" max="14083" width="43.7109375" style="224" customWidth="1"/>
    <col min="14084" max="14084" width="6.28515625" style="224" customWidth="1"/>
    <col min="14085" max="14085" width="7.85546875" style="224" customWidth="1"/>
    <col min="14086" max="14086" width="9.5703125" style="224" customWidth="1"/>
    <col min="14087" max="14087" width="13.85546875" style="224" customWidth="1"/>
    <col min="14088" max="14088" width="20.42578125" style="224" customWidth="1"/>
    <col min="14089" max="14091" width="11.7109375" style="224" customWidth="1"/>
    <col min="14092" max="14092" width="16.7109375" style="224" customWidth="1"/>
    <col min="14093" max="14093" width="9.85546875" style="224" customWidth="1"/>
    <col min="14094" max="14094" width="2.5703125" style="224" bestFit="1" customWidth="1"/>
    <col min="14095" max="14095" width="9.140625" style="224"/>
    <col min="14096" max="14096" width="9" style="224" customWidth="1"/>
    <col min="14097" max="14336" width="9.140625" style="224"/>
    <col min="14337" max="14337" width="3.140625" style="224" customWidth="1"/>
    <col min="14338" max="14338" width="4.42578125" style="224" customWidth="1"/>
    <col min="14339" max="14339" width="43.7109375" style="224" customWidth="1"/>
    <col min="14340" max="14340" width="6.28515625" style="224" customWidth="1"/>
    <col min="14341" max="14341" width="7.85546875" style="224" customWidth="1"/>
    <col min="14342" max="14342" width="9.5703125" style="224" customWidth="1"/>
    <col min="14343" max="14343" width="13.85546875" style="224" customWidth="1"/>
    <col min="14344" max="14344" width="20.42578125" style="224" customWidth="1"/>
    <col min="14345" max="14347" width="11.7109375" style="224" customWidth="1"/>
    <col min="14348" max="14348" width="16.7109375" style="224" customWidth="1"/>
    <col min="14349" max="14349" width="9.85546875" style="224" customWidth="1"/>
    <col min="14350" max="14350" width="2.5703125" style="224" bestFit="1" customWidth="1"/>
    <col min="14351" max="14351" width="9.140625" style="224"/>
    <col min="14352" max="14352" width="9" style="224" customWidth="1"/>
    <col min="14353" max="14592" width="9.140625" style="224"/>
    <col min="14593" max="14593" width="3.140625" style="224" customWidth="1"/>
    <col min="14594" max="14594" width="4.42578125" style="224" customWidth="1"/>
    <col min="14595" max="14595" width="43.7109375" style="224" customWidth="1"/>
    <col min="14596" max="14596" width="6.28515625" style="224" customWidth="1"/>
    <col min="14597" max="14597" width="7.85546875" style="224" customWidth="1"/>
    <col min="14598" max="14598" width="9.5703125" style="224" customWidth="1"/>
    <col min="14599" max="14599" width="13.85546875" style="224" customWidth="1"/>
    <col min="14600" max="14600" width="20.42578125" style="224" customWidth="1"/>
    <col min="14601" max="14603" width="11.7109375" style="224" customWidth="1"/>
    <col min="14604" max="14604" width="16.7109375" style="224" customWidth="1"/>
    <col min="14605" max="14605" width="9.85546875" style="224" customWidth="1"/>
    <col min="14606" max="14606" width="2.5703125" style="224" bestFit="1" customWidth="1"/>
    <col min="14607" max="14607" width="9.140625" style="224"/>
    <col min="14608" max="14608" width="9" style="224" customWidth="1"/>
    <col min="14609" max="14848" width="9.140625" style="224"/>
    <col min="14849" max="14849" width="3.140625" style="224" customWidth="1"/>
    <col min="14850" max="14850" width="4.42578125" style="224" customWidth="1"/>
    <col min="14851" max="14851" width="43.7109375" style="224" customWidth="1"/>
    <col min="14852" max="14852" width="6.28515625" style="224" customWidth="1"/>
    <col min="14853" max="14853" width="7.85546875" style="224" customWidth="1"/>
    <col min="14854" max="14854" width="9.5703125" style="224" customWidth="1"/>
    <col min="14855" max="14855" width="13.85546875" style="224" customWidth="1"/>
    <col min="14856" max="14856" width="20.42578125" style="224" customWidth="1"/>
    <col min="14857" max="14859" width="11.7109375" style="224" customWidth="1"/>
    <col min="14860" max="14860" width="16.7109375" style="224" customWidth="1"/>
    <col min="14861" max="14861" width="9.85546875" style="224" customWidth="1"/>
    <col min="14862" max="14862" width="2.5703125" style="224" bestFit="1" customWidth="1"/>
    <col min="14863" max="14863" width="9.140625" style="224"/>
    <col min="14864" max="14864" width="9" style="224" customWidth="1"/>
    <col min="14865" max="15104" width="9.140625" style="224"/>
    <col min="15105" max="15105" width="3.140625" style="224" customWidth="1"/>
    <col min="15106" max="15106" width="4.42578125" style="224" customWidth="1"/>
    <col min="15107" max="15107" width="43.7109375" style="224" customWidth="1"/>
    <col min="15108" max="15108" width="6.28515625" style="224" customWidth="1"/>
    <col min="15109" max="15109" width="7.85546875" style="224" customWidth="1"/>
    <col min="15110" max="15110" width="9.5703125" style="224" customWidth="1"/>
    <col min="15111" max="15111" width="13.85546875" style="224" customWidth="1"/>
    <col min="15112" max="15112" width="20.42578125" style="224" customWidth="1"/>
    <col min="15113" max="15115" width="11.7109375" style="224" customWidth="1"/>
    <col min="15116" max="15116" width="16.7109375" style="224" customWidth="1"/>
    <col min="15117" max="15117" width="9.85546875" style="224" customWidth="1"/>
    <col min="15118" max="15118" width="2.5703125" style="224" bestFit="1" customWidth="1"/>
    <col min="15119" max="15119" width="9.140625" style="224"/>
    <col min="15120" max="15120" width="9" style="224" customWidth="1"/>
    <col min="15121" max="15360" width="9.140625" style="224"/>
    <col min="15361" max="15361" width="3.140625" style="224" customWidth="1"/>
    <col min="15362" max="15362" width="4.42578125" style="224" customWidth="1"/>
    <col min="15363" max="15363" width="43.7109375" style="224" customWidth="1"/>
    <col min="15364" max="15364" width="6.28515625" style="224" customWidth="1"/>
    <col min="15365" max="15365" width="7.85546875" style="224" customWidth="1"/>
    <col min="15366" max="15366" width="9.5703125" style="224" customWidth="1"/>
    <col min="15367" max="15367" width="13.85546875" style="224" customWidth="1"/>
    <col min="15368" max="15368" width="20.42578125" style="224" customWidth="1"/>
    <col min="15369" max="15371" width="11.7109375" style="224" customWidth="1"/>
    <col min="15372" max="15372" width="16.7109375" style="224" customWidth="1"/>
    <col min="15373" max="15373" width="9.85546875" style="224" customWidth="1"/>
    <col min="15374" max="15374" width="2.5703125" style="224" bestFit="1" customWidth="1"/>
    <col min="15375" max="15375" width="9.140625" style="224"/>
    <col min="15376" max="15376" width="9" style="224" customWidth="1"/>
    <col min="15377" max="15616" width="9.140625" style="224"/>
    <col min="15617" max="15617" width="3.140625" style="224" customWidth="1"/>
    <col min="15618" max="15618" width="4.42578125" style="224" customWidth="1"/>
    <col min="15619" max="15619" width="43.7109375" style="224" customWidth="1"/>
    <col min="15620" max="15620" width="6.28515625" style="224" customWidth="1"/>
    <col min="15621" max="15621" width="7.85546875" style="224" customWidth="1"/>
    <col min="15622" max="15622" width="9.5703125" style="224" customWidth="1"/>
    <col min="15623" max="15623" width="13.85546875" style="224" customWidth="1"/>
    <col min="15624" max="15624" width="20.42578125" style="224" customWidth="1"/>
    <col min="15625" max="15627" width="11.7109375" style="224" customWidth="1"/>
    <col min="15628" max="15628" width="16.7109375" style="224" customWidth="1"/>
    <col min="15629" max="15629" width="9.85546875" style="224" customWidth="1"/>
    <col min="15630" max="15630" width="2.5703125" style="224" bestFit="1" customWidth="1"/>
    <col min="15631" max="15631" width="9.140625" style="224"/>
    <col min="15632" max="15632" width="9" style="224" customWidth="1"/>
    <col min="15633" max="15872" width="9.140625" style="224"/>
    <col min="15873" max="15873" width="3.140625" style="224" customWidth="1"/>
    <col min="15874" max="15874" width="4.42578125" style="224" customWidth="1"/>
    <col min="15875" max="15875" width="43.7109375" style="224" customWidth="1"/>
    <col min="15876" max="15876" width="6.28515625" style="224" customWidth="1"/>
    <col min="15877" max="15877" width="7.85546875" style="224" customWidth="1"/>
    <col min="15878" max="15878" width="9.5703125" style="224" customWidth="1"/>
    <col min="15879" max="15879" width="13.85546875" style="224" customWidth="1"/>
    <col min="15880" max="15880" width="20.42578125" style="224" customWidth="1"/>
    <col min="15881" max="15883" width="11.7109375" style="224" customWidth="1"/>
    <col min="15884" max="15884" width="16.7109375" style="224" customWidth="1"/>
    <col min="15885" max="15885" width="9.85546875" style="224" customWidth="1"/>
    <col min="15886" max="15886" width="2.5703125" style="224" bestFit="1" customWidth="1"/>
    <col min="15887" max="15887" width="9.140625" style="224"/>
    <col min="15888" max="15888" width="9" style="224" customWidth="1"/>
    <col min="15889" max="16128" width="9.140625" style="224"/>
    <col min="16129" max="16129" width="3.140625" style="224" customWidth="1"/>
    <col min="16130" max="16130" width="4.42578125" style="224" customWidth="1"/>
    <col min="16131" max="16131" width="43.7109375" style="224" customWidth="1"/>
    <col min="16132" max="16132" width="6.28515625" style="224" customWidth="1"/>
    <col min="16133" max="16133" width="7.85546875" style="224" customWidth="1"/>
    <col min="16134" max="16134" width="9.5703125" style="224" customWidth="1"/>
    <col min="16135" max="16135" width="13.85546875" style="224" customWidth="1"/>
    <col min="16136" max="16136" width="20.42578125" style="224" customWidth="1"/>
    <col min="16137" max="16139" width="11.7109375" style="224" customWidth="1"/>
    <col min="16140" max="16140" width="16.7109375" style="224" customWidth="1"/>
    <col min="16141" max="16141" width="9.85546875" style="224" customWidth="1"/>
    <col min="16142" max="16142" width="2.5703125" style="224" bestFit="1" customWidth="1"/>
    <col min="16143" max="16143" width="9.140625" style="224"/>
    <col min="16144" max="16144" width="9" style="224" customWidth="1"/>
    <col min="16145" max="16384" width="9.140625" style="224"/>
  </cols>
  <sheetData>
    <row r="1" spans="1:16" s="213" customFormat="1" ht="18.75" x14ac:dyDescent="0.25">
      <c r="A1" s="1859" t="s">
        <v>493</v>
      </c>
      <c r="B1" s="1860" t="s">
        <v>503</v>
      </c>
      <c r="C1" s="1859"/>
      <c r="D1" s="315"/>
      <c r="E1" s="316"/>
      <c r="F1" s="1863"/>
      <c r="G1" s="317"/>
      <c r="H1" s="214"/>
      <c r="I1" s="215"/>
      <c r="J1" s="216"/>
      <c r="K1" s="216"/>
      <c r="L1" s="217"/>
    </row>
    <row r="2" spans="1:16" s="213" customFormat="1" ht="18.75" x14ac:dyDescent="0.25">
      <c r="A2" s="1859"/>
      <c r="B2" s="1859"/>
      <c r="C2" s="1859"/>
      <c r="D2" s="315"/>
      <c r="E2" s="316"/>
      <c r="F2" s="1863"/>
      <c r="G2" s="317"/>
      <c r="H2" s="214"/>
      <c r="I2" s="215"/>
      <c r="J2" s="216"/>
      <c r="K2" s="216"/>
      <c r="L2" s="217"/>
    </row>
    <row r="3" spans="1:16" s="213" customFormat="1" ht="18.75" x14ac:dyDescent="0.25">
      <c r="A3" s="1859" t="s">
        <v>37</v>
      </c>
      <c r="B3" s="1860"/>
      <c r="C3" s="1859" t="s">
        <v>616</v>
      </c>
      <c r="D3" s="315"/>
      <c r="E3" s="316"/>
      <c r="F3" s="1863"/>
      <c r="G3" s="317"/>
      <c r="H3" s="214"/>
      <c r="I3" s="215"/>
      <c r="J3" s="216"/>
      <c r="K3" s="216"/>
      <c r="L3" s="217"/>
    </row>
    <row r="4" spans="1:16" s="213" customFormat="1" ht="18.75" x14ac:dyDescent="0.25">
      <c r="A4" s="1859"/>
      <c r="B4" s="1861"/>
      <c r="C4" s="1859"/>
      <c r="D4" s="315"/>
      <c r="E4" s="316"/>
      <c r="F4" s="1863"/>
      <c r="G4" s="317"/>
      <c r="H4" s="214"/>
      <c r="I4" s="215"/>
      <c r="J4" s="216"/>
      <c r="K4" s="216"/>
      <c r="L4" s="319"/>
      <c r="M4" s="217"/>
    </row>
    <row r="5" spans="1:16" s="330" customFormat="1" ht="15.75" customHeight="1" x14ac:dyDescent="0.25">
      <c r="A5" s="1862" t="s">
        <v>22</v>
      </c>
      <c r="B5" s="1861"/>
      <c r="C5" s="1859" t="s">
        <v>21</v>
      </c>
      <c r="D5" s="323"/>
      <c r="E5" s="324"/>
      <c r="F5" s="1864"/>
      <c r="G5" s="325"/>
      <c r="H5" s="326"/>
      <c r="I5" s="215"/>
      <c r="J5" s="327"/>
      <c r="K5" s="327"/>
      <c r="L5" s="328"/>
      <c r="M5" s="329"/>
    </row>
    <row r="6" spans="1:16" ht="14.25" customHeight="1" x14ac:dyDescent="0.2">
      <c r="A6" s="218" t="s">
        <v>561</v>
      </c>
      <c r="B6" s="218"/>
      <c r="L6" s="2044"/>
      <c r="M6" s="334"/>
    </row>
    <row r="7" spans="1:16" x14ac:dyDescent="0.2">
      <c r="C7" s="335"/>
      <c r="D7" s="336"/>
      <c r="E7" s="337"/>
      <c r="F7" s="1866"/>
      <c r="G7" s="336"/>
      <c r="L7" s="2044"/>
      <c r="M7" s="334"/>
    </row>
    <row r="8" spans="1:16" ht="12.75" customHeight="1" x14ac:dyDescent="0.2">
      <c r="A8" s="218" t="s">
        <v>63</v>
      </c>
      <c r="B8" s="218"/>
      <c r="C8" s="219"/>
      <c r="D8" s="336"/>
      <c r="E8" s="337"/>
      <c r="F8" s="1866"/>
      <c r="G8" s="336"/>
      <c r="L8" s="2044"/>
      <c r="M8" s="223"/>
    </row>
    <row r="9" spans="1:16" s="230" customFormat="1" x14ac:dyDescent="0.2">
      <c r="A9" s="225" t="s">
        <v>26</v>
      </c>
      <c r="B9" s="225"/>
      <c r="C9" s="226" t="s">
        <v>27</v>
      </c>
      <c r="D9" s="338" t="s">
        <v>28</v>
      </c>
      <c r="E9" s="339" t="s">
        <v>29</v>
      </c>
      <c r="F9" s="1867" t="s">
        <v>30</v>
      </c>
      <c r="G9" s="340" t="s">
        <v>31</v>
      </c>
      <c r="H9" s="227"/>
      <c r="I9" s="228"/>
      <c r="J9" s="229"/>
      <c r="K9" s="229"/>
      <c r="M9" s="224"/>
      <c r="O9" s="231"/>
      <c r="P9" s="231"/>
    </row>
    <row r="10" spans="1:16" ht="15" x14ac:dyDescent="0.25">
      <c r="C10" s="233"/>
      <c r="G10" s="341"/>
      <c r="H10"/>
      <c r="I10"/>
      <c r="J10"/>
      <c r="K10"/>
      <c r="L10"/>
    </row>
    <row r="11" spans="1:16" s="239" customFormat="1" ht="16.5" thickBot="1" x14ac:dyDescent="0.3">
      <c r="A11" s="342"/>
      <c r="B11" s="343" t="s">
        <v>20</v>
      </c>
      <c r="C11" s="344" t="s">
        <v>504</v>
      </c>
      <c r="D11" s="345"/>
      <c r="E11" s="346"/>
      <c r="F11" s="1868"/>
      <c r="G11" s="347"/>
      <c r="H11"/>
      <c r="I11"/>
      <c r="J11"/>
      <c r="K11"/>
      <c r="L11"/>
    </row>
    <row r="12" spans="1:16" ht="15" x14ac:dyDescent="0.25">
      <c r="A12" s="240"/>
      <c r="B12" s="241"/>
      <c r="C12" s="233"/>
      <c r="G12" s="341"/>
      <c r="H12"/>
      <c r="I12"/>
      <c r="J12"/>
      <c r="K12"/>
      <c r="L12"/>
    </row>
    <row r="13" spans="1:16" ht="36" x14ac:dyDescent="0.25">
      <c r="A13" s="245" t="str">
        <f>$B$11</f>
        <v>I.</v>
      </c>
      <c r="B13" s="348">
        <v>1</v>
      </c>
      <c r="C13" s="349" t="s">
        <v>562</v>
      </c>
      <c r="D13" s="350" t="s">
        <v>58</v>
      </c>
      <c r="E13" s="351">
        <v>1</v>
      </c>
      <c r="F13" s="1869"/>
      <c r="G13" s="352">
        <f>ROUND(E13*F13,2)</f>
        <v>0</v>
      </c>
      <c r="H13"/>
      <c r="I13"/>
      <c r="J13"/>
      <c r="K13"/>
      <c r="L13"/>
    </row>
    <row r="14" spans="1:16" ht="15" x14ac:dyDescent="0.25">
      <c r="A14" s="245"/>
      <c r="B14" s="348"/>
      <c r="C14" s="353"/>
      <c r="D14" s="354"/>
      <c r="E14" s="355"/>
      <c r="F14" s="1870"/>
      <c r="G14" s="352"/>
      <c r="H14"/>
      <c r="I14"/>
      <c r="J14"/>
      <c r="K14"/>
      <c r="L14"/>
    </row>
    <row r="15" spans="1:16" ht="36" x14ac:dyDescent="0.25">
      <c r="A15" s="245" t="str">
        <f>$B$11</f>
        <v>I.</v>
      </c>
      <c r="B15" s="348">
        <f>COUNT($A$13:B14)+1</f>
        <v>2</v>
      </c>
      <c r="C15" s="349" t="s">
        <v>563</v>
      </c>
      <c r="D15" s="350" t="s">
        <v>58</v>
      </c>
      <c r="E15" s="351">
        <v>1</v>
      </c>
      <c r="F15" s="1869"/>
      <c r="G15" s="352">
        <f>ROUND(E15*F15,2)</f>
        <v>0</v>
      </c>
      <c r="H15"/>
      <c r="I15"/>
      <c r="J15"/>
      <c r="K15"/>
      <c r="L15"/>
    </row>
    <row r="16" spans="1:16" ht="15" x14ac:dyDescent="0.25">
      <c r="A16" s="245"/>
      <c r="B16" s="357"/>
      <c r="C16" s="349"/>
      <c r="D16" s="350"/>
      <c r="E16" s="351"/>
      <c r="F16" s="1869"/>
      <c r="G16" s="352"/>
      <c r="H16"/>
      <c r="I16"/>
      <c r="J16"/>
      <c r="K16"/>
      <c r="L16"/>
    </row>
    <row r="17" spans="1:16" ht="72" x14ac:dyDescent="0.25">
      <c r="A17" s="245" t="str">
        <f>$B$11</f>
        <v>I.</v>
      </c>
      <c r="B17" s="348">
        <f>COUNT($A$13:B16)+1</f>
        <v>3</v>
      </c>
      <c r="C17" s="349" t="s">
        <v>564</v>
      </c>
      <c r="D17" s="350" t="s">
        <v>69</v>
      </c>
      <c r="E17" s="351">
        <v>95</v>
      </c>
      <c r="F17" s="1869"/>
      <c r="G17" s="352">
        <f>ROUND(E17*F17,2)</f>
        <v>0</v>
      </c>
      <c r="H17"/>
      <c r="I17"/>
      <c r="J17"/>
      <c r="K17"/>
      <c r="L17"/>
    </row>
    <row r="18" spans="1:16" s="260" customFormat="1" ht="15" x14ac:dyDescent="0.25">
      <c r="A18" s="254"/>
      <c r="B18" s="358"/>
      <c r="C18" s="359"/>
      <c r="D18" s="360"/>
      <c r="E18" s="361"/>
      <c r="F18" s="1871"/>
      <c r="G18" s="361"/>
      <c r="H18"/>
      <c r="I18"/>
      <c r="J18"/>
      <c r="K18"/>
      <c r="L18"/>
      <c r="M18" s="258"/>
      <c r="N18" s="259"/>
      <c r="O18" s="250"/>
      <c r="P18" s="251"/>
    </row>
    <row r="19" spans="1:16" s="369" customFormat="1" ht="15.75" thickBot="1" x14ac:dyDescent="0.3">
      <c r="A19" s="362"/>
      <c r="B19" s="363"/>
      <c r="C19" s="364"/>
      <c r="D19" s="365"/>
      <c r="E19" s="366" t="str">
        <f>CONCATENATE(B11," ",C11," - SKUPAJ:")</f>
        <v>I. Odstranjevalna in rušitvena dela - SKUPAJ:</v>
      </c>
      <c r="F19" s="1872"/>
      <c r="G19" s="367">
        <f>ROUND(SUM(G13:G17),2)</f>
        <v>0</v>
      </c>
      <c r="H19"/>
      <c r="I19"/>
      <c r="J19"/>
      <c r="K19"/>
      <c r="L19"/>
    </row>
    <row r="20" spans="1:16" s="375" customFormat="1" ht="15" x14ac:dyDescent="0.25">
      <c r="A20" s="370"/>
      <c r="B20" s="370"/>
      <c r="C20" s="371"/>
      <c r="D20" s="372"/>
      <c r="E20" s="373"/>
      <c r="F20" s="1873"/>
      <c r="G20" s="374"/>
      <c r="H20"/>
      <c r="I20"/>
      <c r="J20"/>
      <c r="K20"/>
      <c r="L20"/>
    </row>
    <row r="21" spans="1:16" x14ac:dyDescent="0.2">
      <c r="A21" s="274"/>
      <c r="B21" s="274"/>
      <c r="C21" s="283"/>
      <c r="D21" s="281"/>
      <c r="E21" s="282"/>
      <c r="F21" s="1874"/>
      <c r="G21" s="281"/>
    </row>
    <row r="22" spans="1:16" x14ac:dyDescent="0.2">
      <c r="A22" s="284" t="s">
        <v>26</v>
      </c>
      <c r="B22" s="284"/>
      <c r="C22" s="285" t="s">
        <v>27</v>
      </c>
      <c r="D22" s="286" t="s">
        <v>28</v>
      </c>
      <c r="E22" s="287" t="s">
        <v>29</v>
      </c>
      <c r="F22" s="1875" t="s">
        <v>30</v>
      </c>
      <c r="G22" s="288" t="s">
        <v>31</v>
      </c>
    </row>
    <row r="23" spans="1:16" x14ac:dyDescent="0.2">
      <c r="A23" s="279"/>
      <c r="B23" s="279"/>
      <c r="C23" s="289"/>
      <c r="D23" s="276"/>
      <c r="E23" s="277"/>
      <c r="F23" s="1876"/>
      <c r="G23" s="290"/>
    </row>
    <row r="24" spans="1:16" ht="16.5" thickBot="1" x14ac:dyDescent="0.25">
      <c r="A24" s="291"/>
      <c r="B24" s="292" t="s">
        <v>77</v>
      </c>
      <c r="C24" s="376" t="s">
        <v>505</v>
      </c>
      <c r="D24" s="293"/>
      <c r="E24" s="294"/>
      <c r="F24" s="1877"/>
      <c r="G24" s="295"/>
    </row>
    <row r="25" spans="1:16" x14ac:dyDescent="0.2">
      <c r="A25" s="296"/>
      <c r="B25" s="297"/>
      <c r="C25" s="275"/>
      <c r="D25" s="276"/>
      <c r="E25" s="277"/>
      <c r="F25" s="1876"/>
      <c r="G25" s="278"/>
    </row>
    <row r="26" spans="1:16" ht="24" x14ac:dyDescent="0.2">
      <c r="A26" s="380" t="str">
        <f>$B$24</f>
        <v>II.</v>
      </c>
      <c r="B26" s="299">
        <f>1</f>
        <v>1</v>
      </c>
      <c r="C26" s="377" t="s">
        <v>583</v>
      </c>
      <c r="D26" s="301" t="s">
        <v>71</v>
      </c>
      <c r="E26" s="302">
        <v>105</v>
      </c>
      <c r="F26" s="1878"/>
      <c r="G26" s="303">
        <f>ROUND(E26*F26,2)</f>
        <v>0</v>
      </c>
    </row>
    <row r="27" spans="1:16" x14ac:dyDescent="0.2">
      <c r="A27" s="298"/>
      <c r="B27" s="299"/>
      <c r="C27" s="377"/>
      <c r="D27" s="301"/>
      <c r="E27" s="302"/>
      <c r="F27" s="1878"/>
      <c r="G27" s="303"/>
    </row>
    <row r="28" spans="1:16" ht="36" x14ac:dyDescent="0.2">
      <c r="A28" s="298"/>
      <c r="B28" s="299" t="s">
        <v>521</v>
      </c>
      <c r="C28" s="377" t="s">
        <v>584</v>
      </c>
      <c r="D28" s="301"/>
      <c r="E28" s="302"/>
      <c r="F28" s="1878"/>
      <c r="G28" s="303"/>
    </row>
    <row r="29" spans="1:16" x14ac:dyDescent="0.2">
      <c r="A29" s="296"/>
      <c r="B29" s="297"/>
      <c r="C29" s="289"/>
      <c r="D29" s="276"/>
      <c r="E29" s="277"/>
      <c r="F29" s="1876"/>
      <c r="G29" s="277"/>
    </row>
    <row r="30" spans="1:16" ht="13.5" thickBot="1" x14ac:dyDescent="0.25">
      <c r="A30" s="309"/>
      <c r="B30" s="310"/>
      <c r="C30" s="311"/>
      <c r="D30" s="312"/>
      <c r="E30" s="313" t="str">
        <f>CONCATENATE(B24," ",C24," - SKUPAJ:")</f>
        <v>II. Zemeljska dela - SKUPAJ:</v>
      </c>
      <c r="F30" s="1879"/>
      <c r="G30" s="314">
        <f>SUM(G26:G28)</f>
        <v>0</v>
      </c>
    </row>
    <row r="31" spans="1:16" x14ac:dyDescent="0.2">
      <c r="A31" s="279"/>
      <c r="B31" s="279"/>
      <c r="C31" s="280"/>
      <c r="D31" s="281"/>
      <c r="E31" s="282"/>
      <c r="F31" s="1874"/>
      <c r="G31" s="281"/>
    </row>
    <row r="32" spans="1:16" x14ac:dyDescent="0.2">
      <c r="A32" s="274"/>
      <c r="B32" s="274"/>
      <c r="C32" s="283"/>
      <c r="D32" s="281"/>
      <c r="E32" s="282"/>
      <c r="F32" s="1874"/>
      <c r="G32" s="281"/>
    </row>
    <row r="33" spans="1:7" x14ac:dyDescent="0.2">
      <c r="A33" s="284" t="s">
        <v>26</v>
      </c>
      <c r="B33" s="284"/>
      <c r="C33" s="285" t="s">
        <v>27</v>
      </c>
      <c r="D33" s="286" t="s">
        <v>28</v>
      </c>
      <c r="E33" s="287" t="s">
        <v>29</v>
      </c>
      <c r="F33" s="1875" t="s">
        <v>30</v>
      </c>
      <c r="G33" s="288" t="s">
        <v>31</v>
      </c>
    </row>
    <row r="34" spans="1:7" x14ac:dyDescent="0.2">
      <c r="A34" s="279"/>
      <c r="B34" s="279"/>
      <c r="C34" s="289"/>
      <c r="D34" s="276"/>
      <c r="E34" s="277"/>
      <c r="F34" s="1876"/>
      <c r="G34" s="290"/>
    </row>
    <row r="35" spans="1:7" ht="16.5" thickBot="1" x14ac:dyDescent="0.25">
      <c r="A35" s="291"/>
      <c r="B35" s="292" t="s">
        <v>84</v>
      </c>
      <c r="C35" s="376" t="s">
        <v>506</v>
      </c>
      <c r="D35" s="293"/>
      <c r="E35" s="294"/>
      <c r="F35" s="1877"/>
      <c r="G35" s="295"/>
    </row>
    <row r="36" spans="1:7" x14ac:dyDescent="0.2">
      <c r="A36" s="296"/>
      <c r="B36" s="297"/>
      <c r="C36" s="289"/>
      <c r="D36" s="276"/>
      <c r="E36" s="277"/>
      <c r="F36" s="1876"/>
      <c r="G36" s="290"/>
    </row>
    <row r="37" spans="1:7" ht="132" customHeight="1" x14ac:dyDescent="0.2">
      <c r="A37" s="380" t="str">
        <f>$B$35</f>
        <v>III.</v>
      </c>
      <c r="B37" s="299">
        <f>1</f>
        <v>1</v>
      </c>
      <c r="C37" s="378" t="s">
        <v>605</v>
      </c>
      <c r="D37" s="302" t="s">
        <v>138</v>
      </c>
      <c r="E37" s="302">
        <v>52003.15</v>
      </c>
      <c r="F37" s="1878"/>
      <c r="G37" s="303">
        <f>ROUND(E37*F37,2)</f>
        <v>0</v>
      </c>
    </row>
    <row r="38" spans="1:7" x14ac:dyDescent="0.2">
      <c r="A38" s="380"/>
      <c r="B38" s="299"/>
      <c r="C38" s="377"/>
      <c r="D38" s="301"/>
      <c r="E38" s="302"/>
      <c r="F38" s="1878"/>
      <c r="G38" s="303"/>
    </row>
    <row r="39" spans="1:7" ht="192" customHeight="1" x14ac:dyDescent="0.2">
      <c r="A39" s="380" t="str">
        <f t="shared" ref="A39:A51" si="0">$B$35</f>
        <v>III.</v>
      </c>
      <c r="B39" s="299">
        <f>COUNT($A$36:B38)+1</f>
        <v>2</v>
      </c>
      <c r="C39" s="378" t="s">
        <v>606</v>
      </c>
      <c r="D39" s="302" t="s">
        <v>138</v>
      </c>
      <c r="E39" s="379">
        <v>107540</v>
      </c>
      <c r="F39" s="1878"/>
      <c r="G39" s="303">
        <f>ROUND(E39*F39,2)</f>
        <v>0</v>
      </c>
    </row>
    <row r="40" spans="1:7" x14ac:dyDescent="0.2">
      <c r="A40" s="380"/>
      <c r="B40" s="299"/>
      <c r="C40" s="377"/>
      <c r="D40" s="301"/>
      <c r="E40" s="302"/>
      <c r="F40" s="1878"/>
      <c r="G40" s="303"/>
    </row>
    <row r="41" spans="1:7" ht="191.25" customHeight="1" x14ac:dyDescent="0.2">
      <c r="A41" s="380" t="str">
        <f t="shared" si="0"/>
        <v>III.</v>
      </c>
      <c r="B41" s="381" t="s">
        <v>37</v>
      </c>
      <c r="C41" s="378" t="s">
        <v>607</v>
      </c>
      <c r="D41" s="302" t="s">
        <v>138</v>
      </c>
      <c r="E41" s="379">
        <v>44578</v>
      </c>
      <c r="F41" s="1878"/>
      <c r="G41" s="303">
        <f>ROUND(E41*F41,2)</f>
        <v>0</v>
      </c>
    </row>
    <row r="42" spans="1:7" x14ac:dyDescent="0.2">
      <c r="A42" s="380"/>
      <c r="B42" s="299"/>
      <c r="C42" s="300"/>
      <c r="D42" s="301"/>
      <c r="E42" s="302"/>
      <c r="F42" s="1878"/>
      <c r="G42" s="303"/>
    </row>
    <row r="43" spans="1:7" ht="215.25" customHeight="1" x14ac:dyDescent="0.2">
      <c r="A43" s="380" t="str">
        <f t="shared" si="0"/>
        <v>III.</v>
      </c>
      <c r="B43" s="299">
        <f>COUNT($A$21:B39)+1</f>
        <v>4</v>
      </c>
      <c r="C43" s="378" t="s">
        <v>608</v>
      </c>
      <c r="D43" s="301" t="s">
        <v>138</v>
      </c>
      <c r="E43" s="302">
        <v>3110</v>
      </c>
      <c r="F43" s="1878"/>
      <c r="G43" s="303">
        <f>ROUND(E43*F43,2)</f>
        <v>0</v>
      </c>
    </row>
    <row r="44" spans="1:7" x14ac:dyDescent="0.2">
      <c r="A44" s="380"/>
      <c r="B44" s="299"/>
      <c r="C44" s="300" t="s">
        <v>609</v>
      </c>
      <c r="D44" s="301"/>
      <c r="E44" s="302"/>
      <c r="F44" s="1878"/>
      <c r="G44" s="303"/>
    </row>
    <row r="45" spans="1:7" x14ac:dyDescent="0.2">
      <c r="A45" s="380"/>
      <c r="B45" s="299"/>
      <c r="C45" s="300" t="s">
        <v>610</v>
      </c>
      <c r="D45" s="301" t="s">
        <v>138</v>
      </c>
      <c r="E45" s="302">
        <v>500</v>
      </c>
      <c r="F45" s="1878"/>
      <c r="G45" s="303"/>
    </row>
    <row r="46" spans="1:7" x14ac:dyDescent="0.2">
      <c r="A46" s="380"/>
      <c r="B46" s="299"/>
      <c r="C46" s="300" t="s">
        <v>611</v>
      </c>
      <c r="D46" s="301" t="s">
        <v>138</v>
      </c>
      <c r="E46" s="302">
        <v>230</v>
      </c>
      <c r="F46" s="1878"/>
      <c r="G46" s="303"/>
    </row>
    <row r="47" spans="1:7" x14ac:dyDescent="0.2">
      <c r="A47" s="380"/>
      <c r="B47" s="299"/>
      <c r="C47" s="300" t="s">
        <v>612</v>
      </c>
      <c r="D47" s="301" t="s">
        <v>138</v>
      </c>
      <c r="E47" s="302">
        <v>1260</v>
      </c>
      <c r="F47" s="1878"/>
      <c r="G47" s="303"/>
    </row>
    <row r="48" spans="1:7" x14ac:dyDescent="0.2">
      <c r="A48" s="380"/>
      <c r="B48" s="299"/>
      <c r="C48" s="300" t="s">
        <v>613</v>
      </c>
      <c r="D48" s="301" t="s">
        <v>138</v>
      </c>
      <c r="E48" s="302">
        <v>400</v>
      </c>
      <c r="F48" s="1878"/>
      <c r="G48" s="303"/>
    </row>
    <row r="49" spans="1:7" x14ac:dyDescent="0.2">
      <c r="A49" s="380"/>
      <c r="B49" s="299"/>
      <c r="C49" s="300" t="s">
        <v>614</v>
      </c>
      <c r="D49" s="301" t="s">
        <v>138</v>
      </c>
      <c r="E49" s="302">
        <v>720</v>
      </c>
      <c r="F49" s="1878"/>
      <c r="G49" s="303"/>
    </row>
    <row r="50" spans="1:7" x14ac:dyDescent="0.2">
      <c r="A50" s="380"/>
      <c r="B50" s="299"/>
      <c r="C50" s="300"/>
      <c r="D50" s="301"/>
      <c r="E50" s="302"/>
      <c r="F50" s="1878"/>
      <c r="G50" s="303"/>
    </row>
    <row r="51" spans="1:7" ht="60" x14ac:dyDescent="0.2">
      <c r="A51" s="380" t="str">
        <f t="shared" si="0"/>
        <v>III.</v>
      </c>
      <c r="B51" s="299">
        <f>COUNT($A$21:B50)+1</f>
        <v>5</v>
      </c>
      <c r="C51" s="300" t="s">
        <v>615</v>
      </c>
      <c r="D51" s="301" t="s">
        <v>69</v>
      </c>
      <c r="E51" s="302">
        <v>122</v>
      </c>
      <c r="F51" s="1878"/>
      <c r="G51" s="303">
        <f>ROUND(E51*F51,2)</f>
        <v>0</v>
      </c>
    </row>
    <row r="52" spans="1:7" x14ac:dyDescent="0.2">
      <c r="A52" s="296"/>
      <c r="B52" s="297"/>
      <c r="C52" s="289"/>
      <c r="D52" s="276"/>
      <c r="E52" s="277"/>
      <c r="F52" s="1876"/>
      <c r="G52" s="277"/>
    </row>
    <row r="53" spans="1:7" ht="13.5" thickBot="1" x14ac:dyDescent="0.25">
      <c r="A53" s="309"/>
      <c r="B53" s="310"/>
      <c r="C53" s="311"/>
      <c r="D53" s="312"/>
      <c r="E53" s="313" t="str">
        <f>CONCATENATE(B35," ",C35," - SKUPAJ:")</f>
        <v>III. Ostala dela - SKUPAJ:</v>
      </c>
      <c r="F53" s="1879"/>
      <c r="G53" s="314">
        <f>SUM(G37:G51)</f>
        <v>0</v>
      </c>
    </row>
    <row r="55" spans="1:7" ht="18" x14ac:dyDescent="0.25">
      <c r="A55" s="270" t="s">
        <v>24</v>
      </c>
      <c r="B55" s="271"/>
      <c r="C55" s="272" t="s">
        <v>617</v>
      </c>
      <c r="D55" s="382"/>
      <c r="E55" s="273"/>
      <c r="F55" s="1880"/>
      <c r="G55" s="382"/>
    </row>
    <row r="56" spans="1:7" x14ac:dyDescent="0.2">
      <c r="A56" s="274"/>
      <c r="B56" s="274"/>
      <c r="C56" s="386"/>
      <c r="D56" s="384"/>
      <c r="E56" s="277"/>
      <c r="F56" s="1881"/>
      <c r="G56" s="386"/>
    </row>
    <row r="57" spans="1:7" x14ac:dyDescent="0.2">
      <c r="A57" s="274"/>
      <c r="B57" s="274"/>
      <c r="C57" s="275"/>
      <c r="D57" s="282"/>
      <c r="E57" s="282"/>
      <c r="F57" s="1882"/>
      <c r="G57" s="282"/>
    </row>
    <row r="58" spans="1:7" x14ac:dyDescent="0.2">
      <c r="A58" s="284" t="s">
        <v>26</v>
      </c>
      <c r="B58" s="284"/>
      <c r="C58" s="285" t="s">
        <v>27</v>
      </c>
      <c r="D58" s="387" t="s">
        <v>28</v>
      </c>
      <c r="E58" s="287" t="s">
        <v>29</v>
      </c>
      <c r="F58" s="1883" t="s">
        <v>30</v>
      </c>
      <c r="G58" s="287" t="s">
        <v>31</v>
      </c>
    </row>
    <row r="59" spans="1:7" x14ac:dyDescent="0.2">
      <c r="A59" s="279"/>
      <c r="B59" s="279"/>
      <c r="C59" s="289"/>
      <c r="D59" s="384"/>
      <c r="E59" s="277"/>
      <c r="F59" s="1881"/>
      <c r="G59" s="277"/>
    </row>
    <row r="60" spans="1:7" ht="16.5" thickBot="1" x14ac:dyDescent="0.25">
      <c r="A60" s="291"/>
      <c r="B60" s="292" t="s">
        <v>20</v>
      </c>
      <c r="C60" s="376" t="s">
        <v>506</v>
      </c>
      <c r="D60" s="388"/>
      <c r="E60" s="294"/>
      <c r="F60" s="1884"/>
      <c r="G60" s="294"/>
    </row>
    <row r="61" spans="1:7" x14ac:dyDescent="0.2">
      <c r="A61" s="296"/>
      <c r="B61" s="297"/>
      <c r="C61" s="289"/>
      <c r="D61" s="384"/>
      <c r="E61" s="277"/>
      <c r="F61" s="1881"/>
      <c r="G61" s="277"/>
    </row>
    <row r="62" spans="1:7" ht="72" customHeight="1" x14ac:dyDescent="0.2">
      <c r="A62" s="298" t="s">
        <v>627</v>
      </c>
      <c r="B62" s="299">
        <v>1</v>
      </c>
      <c r="C62" s="300" t="s">
        <v>625</v>
      </c>
      <c r="D62" s="301" t="s">
        <v>626</v>
      </c>
      <c r="E62" s="302">
        <v>3</v>
      </c>
      <c r="F62" s="1878"/>
      <c r="G62" s="303">
        <f>ROUND(F62*E62,2)</f>
        <v>0</v>
      </c>
    </row>
    <row r="63" spans="1:7" x14ac:dyDescent="0.2">
      <c r="A63" s="298"/>
      <c r="B63" s="299"/>
      <c r="C63" s="389"/>
      <c r="D63" s="390"/>
      <c r="E63" s="390"/>
      <c r="F63" s="1885"/>
      <c r="G63" s="303"/>
    </row>
    <row r="64" spans="1:7" ht="13.5" thickBot="1" x14ac:dyDescent="0.25">
      <c r="A64" s="391"/>
      <c r="B64" s="392"/>
      <c r="C64" s="393"/>
      <c r="D64" s="394"/>
      <c r="E64" s="313" t="str">
        <f>CONCATENATE(B60," ",C60," - SKUPAJ:")</f>
        <v>I. Ostala dela - SKUPAJ:</v>
      </c>
      <c r="F64" s="1886"/>
      <c r="G64" s="314">
        <f>G62</f>
        <v>0</v>
      </c>
    </row>
  </sheetData>
  <sheetProtection algorithmName="SHA-512" hashValue="LnP9S20RIkFQLQDFfmFLKQ5iJ1NLSCpaIjx3vl6GDW3ENB1BREkqRQVT+nRzC5fEk0mOM3aVTteF9xkSsxCQ1w==" saltValue="mIhojF5sIrJuXHQqLDt27Q==" spinCount="100000" sheet="1" objects="1" scenarios="1"/>
  <mergeCells count="1">
    <mergeCell ref="L6:L8"/>
  </mergeCells>
  <pageMargins left="0.98425196850393704" right="0.39370078740157483" top="0.98425196850393704" bottom="0.74803149606299213" header="0" footer="0.39370078740157483"/>
  <pageSetup paperSize="9" scale="97" firstPageNumber="0" orientation="portrait" horizontalDpi="300" verticalDpi="300" r:id="rId1"/>
  <headerFooter alignWithMargins="0">
    <oddHeader xml:space="preserve">&amp;L
</oddHeader>
    <oddFooter>&amp;C&amp;6 &amp; List: &amp;A&amp;L&amp;9&amp;R&amp;R &amp; &amp;9 &amp; List: &amp;A_x000D_&amp;R &amp; &amp;9 &amp; Stran: &amp;P</oddFooter>
  </headerFooter>
  <rowBreaks count="3" manualBreakCount="3">
    <brk id="32" max="6" man="1"/>
    <brk id="41" max="6" man="1"/>
    <brk id="53" max="6" man="1"/>
  </rowBreaks>
  <ignoredErrors>
    <ignoredError sqref="A1" twoDigitTextYea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tabColor theme="6" tint="-0.249977111117893"/>
  </sheetPr>
  <dimension ref="A1:P206"/>
  <sheetViews>
    <sheetView view="pageBreakPreview" zoomScale="115" zoomScaleNormal="100" zoomScaleSheetLayoutView="115" workbookViewId="0"/>
  </sheetViews>
  <sheetFormatPr defaultRowHeight="12.75" x14ac:dyDescent="0.2"/>
  <cols>
    <col min="1" max="1" width="3.140625" style="232" customWidth="1"/>
    <col min="2" max="2" width="4.42578125" style="232" customWidth="1"/>
    <col min="3" max="3" width="44.42578125" style="269" customWidth="1"/>
    <col min="4" max="4" width="5.5703125" style="331" customWidth="1"/>
    <col min="5" max="5" width="9" style="332" customWidth="1"/>
    <col min="6" max="6" width="10.140625" style="1865" customWidth="1"/>
    <col min="7" max="7" width="13.28515625" style="333" customWidth="1"/>
    <col min="8" max="8" width="20.42578125" style="220" customWidth="1"/>
    <col min="9" max="9" width="11.7109375" style="215" customWidth="1"/>
    <col min="10" max="11" width="11.7109375" style="221" customWidth="1"/>
    <col min="12" max="12" width="16.7109375" style="224" customWidth="1"/>
    <col min="13" max="13" width="9.85546875" style="224" customWidth="1"/>
    <col min="14" max="14" width="2.5703125" style="224" bestFit="1" customWidth="1"/>
    <col min="15" max="15" width="9.140625" style="224"/>
    <col min="16" max="16" width="9" style="224" customWidth="1"/>
    <col min="17" max="256" width="9.140625" style="224"/>
    <col min="257" max="257" width="3.140625" style="224" customWidth="1"/>
    <col min="258" max="258" width="4.42578125" style="224" customWidth="1"/>
    <col min="259" max="259" width="43.7109375" style="224" customWidth="1"/>
    <col min="260" max="260" width="6.28515625" style="224" customWidth="1"/>
    <col min="261" max="261" width="7.85546875" style="224" customWidth="1"/>
    <col min="262" max="262" width="9.5703125" style="224" customWidth="1"/>
    <col min="263" max="263" width="13.85546875" style="224" customWidth="1"/>
    <col min="264" max="264" width="20.42578125" style="224" customWidth="1"/>
    <col min="265" max="267" width="11.7109375" style="224" customWidth="1"/>
    <col min="268" max="268" width="16.7109375" style="224" customWidth="1"/>
    <col min="269" max="269" width="9.85546875" style="224" customWidth="1"/>
    <col min="270" max="270" width="2.5703125" style="224" bestFit="1" customWidth="1"/>
    <col min="271" max="271" width="9.140625" style="224"/>
    <col min="272" max="272" width="9" style="224" customWidth="1"/>
    <col min="273" max="512" width="9.140625" style="224"/>
    <col min="513" max="513" width="3.140625" style="224" customWidth="1"/>
    <col min="514" max="514" width="4.42578125" style="224" customWidth="1"/>
    <col min="515" max="515" width="43.7109375" style="224" customWidth="1"/>
    <col min="516" max="516" width="6.28515625" style="224" customWidth="1"/>
    <col min="517" max="517" width="7.85546875" style="224" customWidth="1"/>
    <col min="518" max="518" width="9.5703125" style="224" customWidth="1"/>
    <col min="519" max="519" width="13.85546875" style="224" customWidth="1"/>
    <col min="520" max="520" width="20.42578125" style="224" customWidth="1"/>
    <col min="521" max="523" width="11.7109375" style="224" customWidth="1"/>
    <col min="524" max="524" width="16.7109375" style="224" customWidth="1"/>
    <col min="525" max="525" width="9.85546875" style="224" customWidth="1"/>
    <col min="526" max="526" width="2.5703125" style="224" bestFit="1" customWidth="1"/>
    <col min="527" max="527" width="9.140625" style="224"/>
    <col min="528" max="528" width="9" style="224" customWidth="1"/>
    <col min="529" max="768" width="9.140625" style="224"/>
    <col min="769" max="769" width="3.140625" style="224" customWidth="1"/>
    <col min="770" max="770" width="4.42578125" style="224" customWidth="1"/>
    <col min="771" max="771" width="43.7109375" style="224" customWidth="1"/>
    <col min="772" max="772" width="6.28515625" style="224" customWidth="1"/>
    <col min="773" max="773" width="7.85546875" style="224" customWidth="1"/>
    <col min="774" max="774" width="9.5703125" style="224" customWidth="1"/>
    <col min="775" max="775" width="13.85546875" style="224" customWidth="1"/>
    <col min="776" max="776" width="20.42578125" style="224" customWidth="1"/>
    <col min="777" max="779" width="11.7109375" style="224" customWidth="1"/>
    <col min="780" max="780" width="16.7109375" style="224" customWidth="1"/>
    <col min="781" max="781" width="9.85546875" style="224" customWidth="1"/>
    <col min="782" max="782" width="2.5703125" style="224" bestFit="1" customWidth="1"/>
    <col min="783" max="783" width="9.140625" style="224"/>
    <col min="784" max="784" width="9" style="224" customWidth="1"/>
    <col min="785" max="1024" width="9.140625" style="224"/>
    <col min="1025" max="1025" width="3.140625" style="224" customWidth="1"/>
    <col min="1026" max="1026" width="4.42578125" style="224" customWidth="1"/>
    <col min="1027" max="1027" width="43.7109375" style="224" customWidth="1"/>
    <col min="1028" max="1028" width="6.28515625" style="224" customWidth="1"/>
    <col min="1029" max="1029" width="7.85546875" style="224" customWidth="1"/>
    <col min="1030" max="1030" width="9.5703125" style="224" customWidth="1"/>
    <col min="1031" max="1031" width="13.85546875" style="224" customWidth="1"/>
    <col min="1032" max="1032" width="20.42578125" style="224" customWidth="1"/>
    <col min="1033" max="1035" width="11.7109375" style="224" customWidth="1"/>
    <col min="1036" max="1036" width="16.7109375" style="224" customWidth="1"/>
    <col min="1037" max="1037" width="9.85546875" style="224" customWidth="1"/>
    <col min="1038" max="1038" width="2.5703125" style="224" bestFit="1" customWidth="1"/>
    <col min="1039" max="1039" width="9.140625" style="224"/>
    <col min="1040" max="1040" width="9" style="224" customWidth="1"/>
    <col min="1041" max="1280" width="9.140625" style="224"/>
    <col min="1281" max="1281" width="3.140625" style="224" customWidth="1"/>
    <col min="1282" max="1282" width="4.42578125" style="224" customWidth="1"/>
    <col min="1283" max="1283" width="43.7109375" style="224" customWidth="1"/>
    <col min="1284" max="1284" width="6.28515625" style="224" customWidth="1"/>
    <col min="1285" max="1285" width="7.85546875" style="224" customWidth="1"/>
    <col min="1286" max="1286" width="9.5703125" style="224" customWidth="1"/>
    <col min="1287" max="1287" width="13.85546875" style="224" customWidth="1"/>
    <col min="1288" max="1288" width="20.42578125" style="224" customWidth="1"/>
    <col min="1289" max="1291" width="11.7109375" style="224" customWidth="1"/>
    <col min="1292" max="1292" width="16.7109375" style="224" customWidth="1"/>
    <col min="1293" max="1293" width="9.85546875" style="224" customWidth="1"/>
    <col min="1294" max="1294" width="2.5703125" style="224" bestFit="1" customWidth="1"/>
    <col min="1295" max="1295" width="9.140625" style="224"/>
    <col min="1296" max="1296" width="9" style="224" customWidth="1"/>
    <col min="1297" max="1536" width="9.140625" style="224"/>
    <col min="1537" max="1537" width="3.140625" style="224" customWidth="1"/>
    <col min="1538" max="1538" width="4.42578125" style="224" customWidth="1"/>
    <col min="1539" max="1539" width="43.7109375" style="224" customWidth="1"/>
    <col min="1540" max="1540" width="6.28515625" style="224" customWidth="1"/>
    <col min="1541" max="1541" width="7.85546875" style="224" customWidth="1"/>
    <col min="1542" max="1542" width="9.5703125" style="224" customWidth="1"/>
    <col min="1543" max="1543" width="13.85546875" style="224" customWidth="1"/>
    <col min="1544" max="1544" width="20.42578125" style="224" customWidth="1"/>
    <col min="1545" max="1547" width="11.7109375" style="224" customWidth="1"/>
    <col min="1548" max="1548" width="16.7109375" style="224" customWidth="1"/>
    <col min="1549" max="1549" width="9.85546875" style="224" customWidth="1"/>
    <col min="1550" max="1550" width="2.5703125" style="224" bestFit="1" customWidth="1"/>
    <col min="1551" max="1551" width="9.140625" style="224"/>
    <col min="1552" max="1552" width="9" style="224" customWidth="1"/>
    <col min="1553" max="1792" width="9.140625" style="224"/>
    <col min="1793" max="1793" width="3.140625" style="224" customWidth="1"/>
    <col min="1794" max="1794" width="4.42578125" style="224" customWidth="1"/>
    <col min="1795" max="1795" width="43.7109375" style="224" customWidth="1"/>
    <col min="1796" max="1796" width="6.28515625" style="224" customWidth="1"/>
    <col min="1797" max="1797" width="7.85546875" style="224" customWidth="1"/>
    <col min="1798" max="1798" width="9.5703125" style="224" customWidth="1"/>
    <col min="1799" max="1799" width="13.85546875" style="224" customWidth="1"/>
    <col min="1800" max="1800" width="20.42578125" style="224" customWidth="1"/>
    <col min="1801" max="1803" width="11.7109375" style="224" customWidth="1"/>
    <col min="1804" max="1804" width="16.7109375" style="224" customWidth="1"/>
    <col min="1805" max="1805" width="9.85546875" style="224" customWidth="1"/>
    <col min="1806" max="1806" width="2.5703125" style="224" bestFit="1" customWidth="1"/>
    <col min="1807" max="1807" width="9.140625" style="224"/>
    <col min="1808" max="1808" width="9" style="224" customWidth="1"/>
    <col min="1809" max="2048" width="9.140625" style="224"/>
    <col min="2049" max="2049" width="3.140625" style="224" customWidth="1"/>
    <col min="2050" max="2050" width="4.42578125" style="224" customWidth="1"/>
    <col min="2051" max="2051" width="43.7109375" style="224" customWidth="1"/>
    <col min="2052" max="2052" width="6.28515625" style="224" customWidth="1"/>
    <col min="2053" max="2053" width="7.85546875" style="224" customWidth="1"/>
    <col min="2054" max="2054" width="9.5703125" style="224" customWidth="1"/>
    <col min="2055" max="2055" width="13.85546875" style="224" customWidth="1"/>
    <col min="2056" max="2056" width="20.42578125" style="224" customWidth="1"/>
    <col min="2057" max="2059" width="11.7109375" style="224" customWidth="1"/>
    <col min="2060" max="2060" width="16.7109375" style="224" customWidth="1"/>
    <col min="2061" max="2061" width="9.85546875" style="224" customWidth="1"/>
    <col min="2062" max="2062" width="2.5703125" style="224" bestFit="1" customWidth="1"/>
    <col min="2063" max="2063" width="9.140625" style="224"/>
    <col min="2064" max="2064" width="9" style="224" customWidth="1"/>
    <col min="2065" max="2304" width="9.140625" style="224"/>
    <col min="2305" max="2305" width="3.140625" style="224" customWidth="1"/>
    <col min="2306" max="2306" width="4.42578125" style="224" customWidth="1"/>
    <col min="2307" max="2307" width="43.7109375" style="224" customWidth="1"/>
    <col min="2308" max="2308" width="6.28515625" style="224" customWidth="1"/>
    <col min="2309" max="2309" width="7.85546875" style="224" customWidth="1"/>
    <col min="2310" max="2310" width="9.5703125" style="224" customWidth="1"/>
    <col min="2311" max="2311" width="13.85546875" style="224" customWidth="1"/>
    <col min="2312" max="2312" width="20.42578125" style="224" customWidth="1"/>
    <col min="2313" max="2315" width="11.7109375" style="224" customWidth="1"/>
    <col min="2316" max="2316" width="16.7109375" style="224" customWidth="1"/>
    <col min="2317" max="2317" width="9.85546875" style="224" customWidth="1"/>
    <col min="2318" max="2318" width="2.5703125" style="224" bestFit="1" customWidth="1"/>
    <col min="2319" max="2319" width="9.140625" style="224"/>
    <col min="2320" max="2320" width="9" style="224" customWidth="1"/>
    <col min="2321" max="2560" width="9.140625" style="224"/>
    <col min="2561" max="2561" width="3.140625" style="224" customWidth="1"/>
    <col min="2562" max="2562" width="4.42578125" style="224" customWidth="1"/>
    <col min="2563" max="2563" width="43.7109375" style="224" customWidth="1"/>
    <col min="2564" max="2564" width="6.28515625" style="224" customWidth="1"/>
    <col min="2565" max="2565" width="7.85546875" style="224" customWidth="1"/>
    <col min="2566" max="2566" width="9.5703125" style="224" customWidth="1"/>
    <col min="2567" max="2567" width="13.85546875" style="224" customWidth="1"/>
    <col min="2568" max="2568" width="20.42578125" style="224" customWidth="1"/>
    <col min="2569" max="2571" width="11.7109375" style="224" customWidth="1"/>
    <col min="2572" max="2572" width="16.7109375" style="224" customWidth="1"/>
    <col min="2573" max="2573" width="9.85546875" style="224" customWidth="1"/>
    <col min="2574" max="2574" width="2.5703125" style="224" bestFit="1" customWidth="1"/>
    <col min="2575" max="2575" width="9.140625" style="224"/>
    <col min="2576" max="2576" width="9" style="224" customWidth="1"/>
    <col min="2577" max="2816" width="9.140625" style="224"/>
    <col min="2817" max="2817" width="3.140625" style="224" customWidth="1"/>
    <col min="2818" max="2818" width="4.42578125" style="224" customWidth="1"/>
    <col min="2819" max="2819" width="43.7109375" style="224" customWidth="1"/>
    <col min="2820" max="2820" width="6.28515625" style="224" customWidth="1"/>
    <col min="2821" max="2821" width="7.85546875" style="224" customWidth="1"/>
    <col min="2822" max="2822" width="9.5703125" style="224" customWidth="1"/>
    <col min="2823" max="2823" width="13.85546875" style="224" customWidth="1"/>
    <col min="2824" max="2824" width="20.42578125" style="224" customWidth="1"/>
    <col min="2825" max="2827" width="11.7109375" style="224" customWidth="1"/>
    <col min="2828" max="2828" width="16.7109375" style="224" customWidth="1"/>
    <col min="2829" max="2829" width="9.85546875" style="224" customWidth="1"/>
    <col min="2830" max="2830" width="2.5703125" style="224" bestFit="1" customWidth="1"/>
    <col min="2831" max="2831" width="9.140625" style="224"/>
    <col min="2832" max="2832" width="9" style="224" customWidth="1"/>
    <col min="2833" max="3072" width="9.140625" style="224"/>
    <col min="3073" max="3073" width="3.140625" style="224" customWidth="1"/>
    <col min="3074" max="3074" width="4.42578125" style="224" customWidth="1"/>
    <col min="3075" max="3075" width="43.7109375" style="224" customWidth="1"/>
    <col min="3076" max="3076" width="6.28515625" style="224" customWidth="1"/>
    <col min="3077" max="3077" width="7.85546875" style="224" customWidth="1"/>
    <col min="3078" max="3078" width="9.5703125" style="224" customWidth="1"/>
    <col min="3079" max="3079" width="13.85546875" style="224" customWidth="1"/>
    <col min="3080" max="3080" width="20.42578125" style="224" customWidth="1"/>
    <col min="3081" max="3083" width="11.7109375" style="224" customWidth="1"/>
    <col min="3084" max="3084" width="16.7109375" style="224" customWidth="1"/>
    <col min="3085" max="3085" width="9.85546875" style="224" customWidth="1"/>
    <col min="3086" max="3086" width="2.5703125" style="224" bestFit="1" customWidth="1"/>
    <col min="3087" max="3087" width="9.140625" style="224"/>
    <col min="3088" max="3088" width="9" style="224" customWidth="1"/>
    <col min="3089" max="3328" width="9.140625" style="224"/>
    <col min="3329" max="3329" width="3.140625" style="224" customWidth="1"/>
    <col min="3330" max="3330" width="4.42578125" style="224" customWidth="1"/>
    <col min="3331" max="3331" width="43.7109375" style="224" customWidth="1"/>
    <col min="3332" max="3332" width="6.28515625" style="224" customWidth="1"/>
    <col min="3333" max="3333" width="7.85546875" style="224" customWidth="1"/>
    <col min="3334" max="3334" width="9.5703125" style="224" customWidth="1"/>
    <col min="3335" max="3335" width="13.85546875" style="224" customWidth="1"/>
    <col min="3336" max="3336" width="20.42578125" style="224" customWidth="1"/>
    <col min="3337" max="3339" width="11.7109375" style="224" customWidth="1"/>
    <col min="3340" max="3340" width="16.7109375" style="224" customWidth="1"/>
    <col min="3341" max="3341" width="9.85546875" style="224" customWidth="1"/>
    <col min="3342" max="3342" width="2.5703125" style="224" bestFit="1" customWidth="1"/>
    <col min="3343" max="3343" width="9.140625" style="224"/>
    <col min="3344" max="3344" width="9" style="224" customWidth="1"/>
    <col min="3345" max="3584" width="9.140625" style="224"/>
    <col min="3585" max="3585" width="3.140625" style="224" customWidth="1"/>
    <col min="3586" max="3586" width="4.42578125" style="224" customWidth="1"/>
    <col min="3587" max="3587" width="43.7109375" style="224" customWidth="1"/>
    <col min="3588" max="3588" width="6.28515625" style="224" customWidth="1"/>
    <col min="3589" max="3589" width="7.85546875" style="224" customWidth="1"/>
    <col min="3590" max="3590" width="9.5703125" style="224" customWidth="1"/>
    <col min="3591" max="3591" width="13.85546875" style="224" customWidth="1"/>
    <col min="3592" max="3592" width="20.42578125" style="224" customWidth="1"/>
    <col min="3593" max="3595" width="11.7109375" style="224" customWidth="1"/>
    <col min="3596" max="3596" width="16.7109375" style="224" customWidth="1"/>
    <col min="3597" max="3597" width="9.85546875" style="224" customWidth="1"/>
    <col min="3598" max="3598" width="2.5703125" style="224" bestFit="1" customWidth="1"/>
    <col min="3599" max="3599" width="9.140625" style="224"/>
    <col min="3600" max="3600" width="9" style="224" customWidth="1"/>
    <col min="3601" max="3840" width="9.140625" style="224"/>
    <col min="3841" max="3841" width="3.140625" style="224" customWidth="1"/>
    <col min="3842" max="3842" width="4.42578125" style="224" customWidth="1"/>
    <col min="3843" max="3843" width="43.7109375" style="224" customWidth="1"/>
    <col min="3844" max="3844" width="6.28515625" style="224" customWidth="1"/>
    <col min="3845" max="3845" width="7.85546875" style="224" customWidth="1"/>
    <col min="3846" max="3846" width="9.5703125" style="224" customWidth="1"/>
    <col min="3847" max="3847" width="13.85546875" style="224" customWidth="1"/>
    <col min="3848" max="3848" width="20.42578125" style="224" customWidth="1"/>
    <col min="3849" max="3851" width="11.7109375" style="224" customWidth="1"/>
    <col min="3852" max="3852" width="16.7109375" style="224" customWidth="1"/>
    <col min="3853" max="3853" width="9.85546875" style="224" customWidth="1"/>
    <col min="3854" max="3854" width="2.5703125" style="224" bestFit="1" customWidth="1"/>
    <col min="3855" max="3855" width="9.140625" style="224"/>
    <col min="3856" max="3856" width="9" style="224" customWidth="1"/>
    <col min="3857" max="4096" width="9.140625" style="224"/>
    <col min="4097" max="4097" width="3.140625" style="224" customWidth="1"/>
    <col min="4098" max="4098" width="4.42578125" style="224" customWidth="1"/>
    <col min="4099" max="4099" width="43.7109375" style="224" customWidth="1"/>
    <col min="4100" max="4100" width="6.28515625" style="224" customWidth="1"/>
    <col min="4101" max="4101" width="7.85546875" style="224" customWidth="1"/>
    <col min="4102" max="4102" width="9.5703125" style="224" customWidth="1"/>
    <col min="4103" max="4103" width="13.85546875" style="224" customWidth="1"/>
    <col min="4104" max="4104" width="20.42578125" style="224" customWidth="1"/>
    <col min="4105" max="4107" width="11.7109375" style="224" customWidth="1"/>
    <col min="4108" max="4108" width="16.7109375" style="224" customWidth="1"/>
    <col min="4109" max="4109" width="9.85546875" style="224" customWidth="1"/>
    <col min="4110" max="4110" width="2.5703125" style="224" bestFit="1" customWidth="1"/>
    <col min="4111" max="4111" width="9.140625" style="224"/>
    <col min="4112" max="4112" width="9" style="224" customWidth="1"/>
    <col min="4113" max="4352" width="9.140625" style="224"/>
    <col min="4353" max="4353" width="3.140625" style="224" customWidth="1"/>
    <col min="4354" max="4354" width="4.42578125" style="224" customWidth="1"/>
    <col min="4355" max="4355" width="43.7109375" style="224" customWidth="1"/>
    <col min="4356" max="4356" width="6.28515625" style="224" customWidth="1"/>
    <col min="4357" max="4357" width="7.85546875" style="224" customWidth="1"/>
    <col min="4358" max="4358" width="9.5703125" style="224" customWidth="1"/>
    <col min="4359" max="4359" width="13.85546875" style="224" customWidth="1"/>
    <col min="4360" max="4360" width="20.42578125" style="224" customWidth="1"/>
    <col min="4361" max="4363" width="11.7109375" style="224" customWidth="1"/>
    <col min="4364" max="4364" width="16.7109375" style="224" customWidth="1"/>
    <col min="4365" max="4365" width="9.85546875" style="224" customWidth="1"/>
    <col min="4366" max="4366" width="2.5703125" style="224" bestFit="1" customWidth="1"/>
    <col min="4367" max="4367" width="9.140625" style="224"/>
    <col min="4368" max="4368" width="9" style="224" customWidth="1"/>
    <col min="4369" max="4608" width="9.140625" style="224"/>
    <col min="4609" max="4609" width="3.140625" style="224" customWidth="1"/>
    <col min="4610" max="4610" width="4.42578125" style="224" customWidth="1"/>
    <col min="4611" max="4611" width="43.7109375" style="224" customWidth="1"/>
    <col min="4612" max="4612" width="6.28515625" style="224" customWidth="1"/>
    <col min="4613" max="4613" width="7.85546875" style="224" customWidth="1"/>
    <col min="4614" max="4614" width="9.5703125" style="224" customWidth="1"/>
    <col min="4615" max="4615" width="13.85546875" style="224" customWidth="1"/>
    <col min="4616" max="4616" width="20.42578125" style="224" customWidth="1"/>
    <col min="4617" max="4619" width="11.7109375" style="224" customWidth="1"/>
    <col min="4620" max="4620" width="16.7109375" style="224" customWidth="1"/>
    <col min="4621" max="4621" width="9.85546875" style="224" customWidth="1"/>
    <col min="4622" max="4622" width="2.5703125" style="224" bestFit="1" customWidth="1"/>
    <col min="4623" max="4623" width="9.140625" style="224"/>
    <col min="4624" max="4624" width="9" style="224" customWidth="1"/>
    <col min="4625" max="4864" width="9.140625" style="224"/>
    <col min="4865" max="4865" width="3.140625" style="224" customWidth="1"/>
    <col min="4866" max="4866" width="4.42578125" style="224" customWidth="1"/>
    <col min="4867" max="4867" width="43.7109375" style="224" customWidth="1"/>
    <col min="4868" max="4868" width="6.28515625" style="224" customWidth="1"/>
    <col min="4869" max="4869" width="7.85546875" style="224" customWidth="1"/>
    <col min="4870" max="4870" width="9.5703125" style="224" customWidth="1"/>
    <col min="4871" max="4871" width="13.85546875" style="224" customWidth="1"/>
    <col min="4872" max="4872" width="20.42578125" style="224" customWidth="1"/>
    <col min="4873" max="4875" width="11.7109375" style="224" customWidth="1"/>
    <col min="4876" max="4876" width="16.7109375" style="224" customWidth="1"/>
    <col min="4877" max="4877" width="9.85546875" style="224" customWidth="1"/>
    <col min="4878" max="4878" width="2.5703125" style="224" bestFit="1" customWidth="1"/>
    <col min="4879" max="4879" width="9.140625" style="224"/>
    <col min="4880" max="4880" width="9" style="224" customWidth="1"/>
    <col min="4881" max="5120" width="9.140625" style="224"/>
    <col min="5121" max="5121" width="3.140625" style="224" customWidth="1"/>
    <col min="5122" max="5122" width="4.42578125" style="224" customWidth="1"/>
    <col min="5123" max="5123" width="43.7109375" style="224" customWidth="1"/>
    <col min="5124" max="5124" width="6.28515625" style="224" customWidth="1"/>
    <col min="5125" max="5125" width="7.85546875" style="224" customWidth="1"/>
    <col min="5126" max="5126" width="9.5703125" style="224" customWidth="1"/>
    <col min="5127" max="5127" width="13.85546875" style="224" customWidth="1"/>
    <col min="5128" max="5128" width="20.42578125" style="224" customWidth="1"/>
    <col min="5129" max="5131" width="11.7109375" style="224" customWidth="1"/>
    <col min="5132" max="5132" width="16.7109375" style="224" customWidth="1"/>
    <col min="5133" max="5133" width="9.85546875" style="224" customWidth="1"/>
    <col min="5134" max="5134" width="2.5703125" style="224" bestFit="1" customWidth="1"/>
    <col min="5135" max="5135" width="9.140625" style="224"/>
    <col min="5136" max="5136" width="9" style="224" customWidth="1"/>
    <col min="5137" max="5376" width="9.140625" style="224"/>
    <col min="5377" max="5377" width="3.140625" style="224" customWidth="1"/>
    <col min="5378" max="5378" width="4.42578125" style="224" customWidth="1"/>
    <col min="5379" max="5379" width="43.7109375" style="224" customWidth="1"/>
    <col min="5380" max="5380" width="6.28515625" style="224" customWidth="1"/>
    <col min="5381" max="5381" width="7.85546875" style="224" customWidth="1"/>
    <col min="5382" max="5382" width="9.5703125" style="224" customWidth="1"/>
    <col min="5383" max="5383" width="13.85546875" style="224" customWidth="1"/>
    <col min="5384" max="5384" width="20.42578125" style="224" customWidth="1"/>
    <col min="5385" max="5387" width="11.7109375" style="224" customWidth="1"/>
    <col min="5388" max="5388" width="16.7109375" style="224" customWidth="1"/>
    <col min="5389" max="5389" width="9.85546875" style="224" customWidth="1"/>
    <col min="5390" max="5390" width="2.5703125" style="224" bestFit="1" customWidth="1"/>
    <col min="5391" max="5391" width="9.140625" style="224"/>
    <col min="5392" max="5392" width="9" style="224" customWidth="1"/>
    <col min="5393" max="5632" width="9.140625" style="224"/>
    <col min="5633" max="5633" width="3.140625" style="224" customWidth="1"/>
    <col min="5634" max="5634" width="4.42578125" style="224" customWidth="1"/>
    <col min="5635" max="5635" width="43.7109375" style="224" customWidth="1"/>
    <col min="5636" max="5636" width="6.28515625" style="224" customWidth="1"/>
    <col min="5637" max="5637" width="7.85546875" style="224" customWidth="1"/>
    <col min="5638" max="5638" width="9.5703125" style="224" customWidth="1"/>
    <col min="5639" max="5639" width="13.85546875" style="224" customWidth="1"/>
    <col min="5640" max="5640" width="20.42578125" style="224" customWidth="1"/>
    <col min="5641" max="5643" width="11.7109375" style="224" customWidth="1"/>
    <col min="5644" max="5644" width="16.7109375" style="224" customWidth="1"/>
    <col min="5645" max="5645" width="9.85546875" style="224" customWidth="1"/>
    <col min="5646" max="5646" width="2.5703125" style="224" bestFit="1" customWidth="1"/>
    <col min="5647" max="5647" width="9.140625" style="224"/>
    <col min="5648" max="5648" width="9" style="224" customWidth="1"/>
    <col min="5649" max="5888" width="9.140625" style="224"/>
    <col min="5889" max="5889" width="3.140625" style="224" customWidth="1"/>
    <col min="5890" max="5890" width="4.42578125" style="224" customWidth="1"/>
    <col min="5891" max="5891" width="43.7109375" style="224" customWidth="1"/>
    <col min="5892" max="5892" width="6.28515625" style="224" customWidth="1"/>
    <col min="5893" max="5893" width="7.85546875" style="224" customWidth="1"/>
    <col min="5894" max="5894" width="9.5703125" style="224" customWidth="1"/>
    <col min="5895" max="5895" width="13.85546875" style="224" customWidth="1"/>
    <col min="5896" max="5896" width="20.42578125" style="224" customWidth="1"/>
    <col min="5897" max="5899" width="11.7109375" style="224" customWidth="1"/>
    <col min="5900" max="5900" width="16.7109375" style="224" customWidth="1"/>
    <col min="5901" max="5901" width="9.85546875" style="224" customWidth="1"/>
    <col min="5902" max="5902" width="2.5703125" style="224" bestFit="1" customWidth="1"/>
    <col min="5903" max="5903" width="9.140625" style="224"/>
    <col min="5904" max="5904" width="9" style="224" customWidth="1"/>
    <col min="5905" max="6144" width="9.140625" style="224"/>
    <col min="6145" max="6145" width="3.140625" style="224" customWidth="1"/>
    <col min="6146" max="6146" width="4.42578125" style="224" customWidth="1"/>
    <col min="6147" max="6147" width="43.7109375" style="224" customWidth="1"/>
    <col min="6148" max="6148" width="6.28515625" style="224" customWidth="1"/>
    <col min="6149" max="6149" width="7.85546875" style="224" customWidth="1"/>
    <col min="6150" max="6150" width="9.5703125" style="224" customWidth="1"/>
    <col min="6151" max="6151" width="13.85546875" style="224" customWidth="1"/>
    <col min="6152" max="6152" width="20.42578125" style="224" customWidth="1"/>
    <col min="6153" max="6155" width="11.7109375" style="224" customWidth="1"/>
    <col min="6156" max="6156" width="16.7109375" style="224" customWidth="1"/>
    <col min="6157" max="6157" width="9.85546875" style="224" customWidth="1"/>
    <col min="6158" max="6158" width="2.5703125" style="224" bestFit="1" customWidth="1"/>
    <col min="6159" max="6159" width="9.140625" style="224"/>
    <col min="6160" max="6160" width="9" style="224" customWidth="1"/>
    <col min="6161" max="6400" width="9.140625" style="224"/>
    <col min="6401" max="6401" width="3.140625" style="224" customWidth="1"/>
    <col min="6402" max="6402" width="4.42578125" style="224" customWidth="1"/>
    <col min="6403" max="6403" width="43.7109375" style="224" customWidth="1"/>
    <col min="6404" max="6404" width="6.28515625" style="224" customWidth="1"/>
    <col min="6405" max="6405" width="7.85546875" style="224" customWidth="1"/>
    <col min="6406" max="6406" width="9.5703125" style="224" customWidth="1"/>
    <col min="6407" max="6407" width="13.85546875" style="224" customWidth="1"/>
    <col min="6408" max="6408" width="20.42578125" style="224" customWidth="1"/>
    <col min="6409" max="6411" width="11.7109375" style="224" customWidth="1"/>
    <col min="6412" max="6412" width="16.7109375" style="224" customWidth="1"/>
    <col min="6413" max="6413" width="9.85546875" style="224" customWidth="1"/>
    <col min="6414" max="6414" width="2.5703125" style="224" bestFit="1" customWidth="1"/>
    <col min="6415" max="6415" width="9.140625" style="224"/>
    <col min="6416" max="6416" width="9" style="224" customWidth="1"/>
    <col min="6417" max="6656" width="9.140625" style="224"/>
    <col min="6657" max="6657" width="3.140625" style="224" customWidth="1"/>
    <col min="6658" max="6658" width="4.42578125" style="224" customWidth="1"/>
    <col min="6659" max="6659" width="43.7109375" style="224" customWidth="1"/>
    <col min="6660" max="6660" width="6.28515625" style="224" customWidth="1"/>
    <col min="6661" max="6661" width="7.85546875" style="224" customWidth="1"/>
    <col min="6662" max="6662" width="9.5703125" style="224" customWidth="1"/>
    <col min="6663" max="6663" width="13.85546875" style="224" customWidth="1"/>
    <col min="6664" max="6664" width="20.42578125" style="224" customWidth="1"/>
    <col min="6665" max="6667" width="11.7109375" style="224" customWidth="1"/>
    <col min="6668" max="6668" width="16.7109375" style="224" customWidth="1"/>
    <col min="6669" max="6669" width="9.85546875" style="224" customWidth="1"/>
    <col min="6670" max="6670" width="2.5703125" style="224" bestFit="1" customWidth="1"/>
    <col min="6671" max="6671" width="9.140625" style="224"/>
    <col min="6672" max="6672" width="9" style="224" customWidth="1"/>
    <col min="6673" max="6912" width="9.140625" style="224"/>
    <col min="6913" max="6913" width="3.140625" style="224" customWidth="1"/>
    <col min="6914" max="6914" width="4.42578125" style="224" customWidth="1"/>
    <col min="6915" max="6915" width="43.7109375" style="224" customWidth="1"/>
    <col min="6916" max="6916" width="6.28515625" style="224" customWidth="1"/>
    <col min="6917" max="6917" width="7.85546875" style="224" customWidth="1"/>
    <col min="6918" max="6918" width="9.5703125" style="224" customWidth="1"/>
    <col min="6919" max="6919" width="13.85546875" style="224" customWidth="1"/>
    <col min="6920" max="6920" width="20.42578125" style="224" customWidth="1"/>
    <col min="6921" max="6923" width="11.7109375" style="224" customWidth="1"/>
    <col min="6924" max="6924" width="16.7109375" style="224" customWidth="1"/>
    <col min="6925" max="6925" width="9.85546875" style="224" customWidth="1"/>
    <col min="6926" max="6926" width="2.5703125" style="224" bestFit="1" customWidth="1"/>
    <col min="6927" max="6927" width="9.140625" style="224"/>
    <col min="6928" max="6928" width="9" style="224" customWidth="1"/>
    <col min="6929" max="7168" width="9.140625" style="224"/>
    <col min="7169" max="7169" width="3.140625" style="224" customWidth="1"/>
    <col min="7170" max="7170" width="4.42578125" style="224" customWidth="1"/>
    <col min="7171" max="7171" width="43.7109375" style="224" customWidth="1"/>
    <col min="7172" max="7172" width="6.28515625" style="224" customWidth="1"/>
    <col min="7173" max="7173" width="7.85546875" style="224" customWidth="1"/>
    <col min="7174" max="7174" width="9.5703125" style="224" customWidth="1"/>
    <col min="7175" max="7175" width="13.85546875" style="224" customWidth="1"/>
    <col min="7176" max="7176" width="20.42578125" style="224" customWidth="1"/>
    <col min="7177" max="7179" width="11.7109375" style="224" customWidth="1"/>
    <col min="7180" max="7180" width="16.7109375" style="224" customWidth="1"/>
    <col min="7181" max="7181" width="9.85546875" style="224" customWidth="1"/>
    <col min="7182" max="7182" width="2.5703125" style="224" bestFit="1" customWidth="1"/>
    <col min="7183" max="7183" width="9.140625" style="224"/>
    <col min="7184" max="7184" width="9" style="224" customWidth="1"/>
    <col min="7185" max="7424" width="9.140625" style="224"/>
    <col min="7425" max="7425" width="3.140625" style="224" customWidth="1"/>
    <col min="7426" max="7426" width="4.42578125" style="224" customWidth="1"/>
    <col min="7427" max="7427" width="43.7109375" style="224" customWidth="1"/>
    <col min="7428" max="7428" width="6.28515625" style="224" customWidth="1"/>
    <col min="7429" max="7429" width="7.85546875" style="224" customWidth="1"/>
    <col min="7430" max="7430" width="9.5703125" style="224" customWidth="1"/>
    <col min="7431" max="7431" width="13.85546875" style="224" customWidth="1"/>
    <col min="7432" max="7432" width="20.42578125" style="224" customWidth="1"/>
    <col min="7433" max="7435" width="11.7109375" style="224" customWidth="1"/>
    <col min="7436" max="7436" width="16.7109375" style="224" customWidth="1"/>
    <col min="7437" max="7437" width="9.85546875" style="224" customWidth="1"/>
    <col min="7438" max="7438" width="2.5703125" style="224" bestFit="1" customWidth="1"/>
    <col min="7439" max="7439" width="9.140625" style="224"/>
    <col min="7440" max="7440" width="9" style="224" customWidth="1"/>
    <col min="7441" max="7680" width="9.140625" style="224"/>
    <col min="7681" max="7681" width="3.140625" style="224" customWidth="1"/>
    <col min="7682" max="7682" width="4.42578125" style="224" customWidth="1"/>
    <col min="7683" max="7683" width="43.7109375" style="224" customWidth="1"/>
    <col min="7684" max="7684" width="6.28515625" style="224" customWidth="1"/>
    <col min="7685" max="7685" width="7.85546875" style="224" customWidth="1"/>
    <col min="7686" max="7686" width="9.5703125" style="224" customWidth="1"/>
    <col min="7687" max="7687" width="13.85546875" style="224" customWidth="1"/>
    <col min="7688" max="7688" width="20.42578125" style="224" customWidth="1"/>
    <col min="7689" max="7691" width="11.7109375" style="224" customWidth="1"/>
    <col min="7692" max="7692" width="16.7109375" style="224" customWidth="1"/>
    <col min="7693" max="7693" width="9.85546875" style="224" customWidth="1"/>
    <col min="7694" max="7694" width="2.5703125" style="224" bestFit="1" customWidth="1"/>
    <col min="7695" max="7695" width="9.140625" style="224"/>
    <col min="7696" max="7696" width="9" style="224" customWidth="1"/>
    <col min="7697" max="7936" width="9.140625" style="224"/>
    <col min="7937" max="7937" width="3.140625" style="224" customWidth="1"/>
    <col min="7938" max="7938" width="4.42578125" style="224" customWidth="1"/>
    <col min="7939" max="7939" width="43.7109375" style="224" customWidth="1"/>
    <col min="7940" max="7940" width="6.28515625" style="224" customWidth="1"/>
    <col min="7941" max="7941" width="7.85546875" style="224" customWidth="1"/>
    <col min="7942" max="7942" width="9.5703125" style="224" customWidth="1"/>
    <col min="7943" max="7943" width="13.85546875" style="224" customWidth="1"/>
    <col min="7944" max="7944" width="20.42578125" style="224" customWidth="1"/>
    <col min="7945" max="7947" width="11.7109375" style="224" customWidth="1"/>
    <col min="7948" max="7948" width="16.7109375" style="224" customWidth="1"/>
    <col min="7949" max="7949" width="9.85546875" style="224" customWidth="1"/>
    <col min="7950" max="7950" width="2.5703125" style="224" bestFit="1" customWidth="1"/>
    <col min="7951" max="7951" width="9.140625" style="224"/>
    <col min="7952" max="7952" width="9" style="224" customWidth="1"/>
    <col min="7953" max="8192" width="9.140625" style="224"/>
    <col min="8193" max="8193" width="3.140625" style="224" customWidth="1"/>
    <col min="8194" max="8194" width="4.42578125" style="224" customWidth="1"/>
    <col min="8195" max="8195" width="43.7109375" style="224" customWidth="1"/>
    <col min="8196" max="8196" width="6.28515625" style="224" customWidth="1"/>
    <col min="8197" max="8197" width="7.85546875" style="224" customWidth="1"/>
    <col min="8198" max="8198" width="9.5703125" style="224" customWidth="1"/>
    <col min="8199" max="8199" width="13.85546875" style="224" customWidth="1"/>
    <col min="8200" max="8200" width="20.42578125" style="224" customWidth="1"/>
    <col min="8201" max="8203" width="11.7109375" style="224" customWidth="1"/>
    <col min="8204" max="8204" width="16.7109375" style="224" customWidth="1"/>
    <col min="8205" max="8205" width="9.85546875" style="224" customWidth="1"/>
    <col min="8206" max="8206" width="2.5703125" style="224" bestFit="1" customWidth="1"/>
    <col min="8207" max="8207" width="9.140625" style="224"/>
    <col min="8208" max="8208" width="9" style="224" customWidth="1"/>
    <col min="8209" max="8448" width="9.140625" style="224"/>
    <col min="8449" max="8449" width="3.140625" style="224" customWidth="1"/>
    <col min="8450" max="8450" width="4.42578125" style="224" customWidth="1"/>
    <col min="8451" max="8451" width="43.7109375" style="224" customWidth="1"/>
    <col min="8452" max="8452" width="6.28515625" style="224" customWidth="1"/>
    <col min="8453" max="8453" width="7.85546875" style="224" customWidth="1"/>
    <col min="8454" max="8454" width="9.5703125" style="224" customWidth="1"/>
    <col min="8455" max="8455" width="13.85546875" style="224" customWidth="1"/>
    <col min="8456" max="8456" width="20.42578125" style="224" customWidth="1"/>
    <col min="8457" max="8459" width="11.7109375" style="224" customWidth="1"/>
    <col min="8460" max="8460" width="16.7109375" style="224" customWidth="1"/>
    <col min="8461" max="8461" width="9.85546875" style="224" customWidth="1"/>
    <col min="8462" max="8462" width="2.5703125" style="224" bestFit="1" customWidth="1"/>
    <col min="8463" max="8463" width="9.140625" style="224"/>
    <col min="8464" max="8464" width="9" style="224" customWidth="1"/>
    <col min="8465" max="8704" width="9.140625" style="224"/>
    <col min="8705" max="8705" width="3.140625" style="224" customWidth="1"/>
    <col min="8706" max="8706" width="4.42578125" style="224" customWidth="1"/>
    <col min="8707" max="8707" width="43.7109375" style="224" customWidth="1"/>
    <col min="8708" max="8708" width="6.28515625" style="224" customWidth="1"/>
    <col min="8709" max="8709" width="7.85546875" style="224" customWidth="1"/>
    <col min="8710" max="8710" width="9.5703125" style="224" customWidth="1"/>
    <col min="8711" max="8711" width="13.85546875" style="224" customWidth="1"/>
    <col min="8712" max="8712" width="20.42578125" style="224" customWidth="1"/>
    <col min="8713" max="8715" width="11.7109375" style="224" customWidth="1"/>
    <col min="8716" max="8716" width="16.7109375" style="224" customWidth="1"/>
    <col min="8717" max="8717" width="9.85546875" style="224" customWidth="1"/>
    <col min="8718" max="8718" width="2.5703125" style="224" bestFit="1" customWidth="1"/>
    <col min="8719" max="8719" width="9.140625" style="224"/>
    <col min="8720" max="8720" width="9" style="224" customWidth="1"/>
    <col min="8721" max="8960" width="9.140625" style="224"/>
    <col min="8961" max="8961" width="3.140625" style="224" customWidth="1"/>
    <col min="8962" max="8962" width="4.42578125" style="224" customWidth="1"/>
    <col min="8963" max="8963" width="43.7109375" style="224" customWidth="1"/>
    <col min="8964" max="8964" width="6.28515625" style="224" customWidth="1"/>
    <col min="8965" max="8965" width="7.85546875" style="224" customWidth="1"/>
    <col min="8966" max="8966" width="9.5703125" style="224" customWidth="1"/>
    <col min="8967" max="8967" width="13.85546875" style="224" customWidth="1"/>
    <col min="8968" max="8968" width="20.42578125" style="224" customWidth="1"/>
    <col min="8969" max="8971" width="11.7109375" style="224" customWidth="1"/>
    <col min="8972" max="8972" width="16.7109375" style="224" customWidth="1"/>
    <col min="8973" max="8973" width="9.85546875" style="224" customWidth="1"/>
    <col min="8974" max="8974" width="2.5703125" style="224" bestFit="1" customWidth="1"/>
    <col min="8975" max="8975" width="9.140625" style="224"/>
    <col min="8976" max="8976" width="9" style="224" customWidth="1"/>
    <col min="8977" max="9216" width="9.140625" style="224"/>
    <col min="9217" max="9217" width="3.140625" style="224" customWidth="1"/>
    <col min="9218" max="9218" width="4.42578125" style="224" customWidth="1"/>
    <col min="9219" max="9219" width="43.7109375" style="224" customWidth="1"/>
    <col min="9220" max="9220" width="6.28515625" style="224" customWidth="1"/>
    <col min="9221" max="9221" width="7.85546875" style="224" customWidth="1"/>
    <col min="9222" max="9222" width="9.5703125" style="224" customWidth="1"/>
    <col min="9223" max="9223" width="13.85546875" style="224" customWidth="1"/>
    <col min="9224" max="9224" width="20.42578125" style="224" customWidth="1"/>
    <col min="9225" max="9227" width="11.7109375" style="224" customWidth="1"/>
    <col min="9228" max="9228" width="16.7109375" style="224" customWidth="1"/>
    <col min="9229" max="9229" width="9.85546875" style="224" customWidth="1"/>
    <col min="9230" max="9230" width="2.5703125" style="224" bestFit="1" customWidth="1"/>
    <col min="9231" max="9231" width="9.140625" style="224"/>
    <col min="9232" max="9232" width="9" style="224" customWidth="1"/>
    <col min="9233" max="9472" width="9.140625" style="224"/>
    <col min="9473" max="9473" width="3.140625" style="224" customWidth="1"/>
    <col min="9474" max="9474" width="4.42578125" style="224" customWidth="1"/>
    <col min="9475" max="9475" width="43.7109375" style="224" customWidth="1"/>
    <col min="9476" max="9476" width="6.28515625" style="224" customWidth="1"/>
    <col min="9477" max="9477" width="7.85546875" style="224" customWidth="1"/>
    <col min="9478" max="9478" width="9.5703125" style="224" customWidth="1"/>
    <col min="9479" max="9479" width="13.85546875" style="224" customWidth="1"/>
    <col min="9480" max="9480" width="20.42578125" style="224" customWidth="1"/>
    <col min="9481" max="9483" width="11.7109375" style="224" customWidth="1"/>
    <col min="9484" max="9484" width="16.7109375" style="224" customWidth="1"/>
    <col min="9485" max="9485" width="9.85546875" style="224" customWidth="1"/>
    <col min="9486" max="9486" width="2.5703125" style="224" bestFit="1" customWidth="1"/>
    <col min="9487" max="9487" width="9.140625" style="224"/>
    <col min="9488" max="9488" width="9" style="224" customWidth="1"/>
    <col min="9489" max="9728" width="9.140625" style="224"/>
    <col min="9729" max="9729" width="3.140625" style="224" customWidth="1"/>
    <col min="9730" max="9730" width="4.42578125" style="224" customWidth="1"/>
    <col min="9731" max="9731" width="43.7109375" style="224" customWidth="1"/>
    <col min="9732" max="9732" width="6.28515625" style="224" customWidth="1"/>
    <col min="9733" max="9733" width="7.85546875" style="224" customWidth="1"/>
    <col min="9734" max="9734" width="9.5703125" style="224" customWidth="1"/>
    <col min="9735" max="9735" width="13.85546875" style="224" customWidth="1"/>
    <col min="9736" max="9736" width="20.42578125" style="224" customWidth="1"/>
    <col min="9737" max="9739" width="11.7109375" style="224" customWidth="1"/>
    <col min="9740" max="9740" width="16.7109375" style="224" customWidth="1"/>
    <col min="9741" max="9741" width="9.85546875" style="224" customWidth="1"/>
    <col min="9742" max="9742" width="2.5703125" style="224" bestFit="1" customWidth="1"/>
    <col min="9743" max="9743" width="9.140625" style="224"/>
    <col min="9744" max="9744" width="9" style="224" customWidth="1"/>
    <col min="9745" max="9984" width="9.140625" style="224"/>
    <col min="9985" max="9985" width="3.140625" style="224" customWidth="1"/>
    <col min="9986" max="9986" width="4.42578125" style="224" customWidth="1"/>
    <col min="9987" max="9987" width="43.7109375" style="224" customWidth="1"/>
    <col min="9988" max="9988" width="6.28515625" style="224" customWidth="1"/>
    <col min="9989" max="9989" width="7.85546875" style="224" customWidth="1"/>
    <col min="9990" max="9990" width="9.5703125" style="224" customWidth="1"/>
    <col min="9991" max="9991" width="13.85546875" style="224" customWidth="1"/>
    <col min="9992" max="9992" width="20.42578125" style="224" customWidth="1"/>
    <col min="9993" max="9995" width="11.7109375" style="224" customWidth="1"/>
    <col min="9996" max="9996" width="16.7109375" style="224" customWidth="1"/>
    <col min="9997" max="9997" width="9.85546875" style="224" customWidth="1"/>
    <col min="9998" max="9998" width="2.5703125" style="224" bestFit="1" customWidth="1"/>
    <col min="9999" max="9999" width="9.140625" style="224"/>
    <col min="10000" max="10000" width="9" style="224" customWidth="1"/>
    <col min="10001" max="10240" width="9.140625" style="224"/>
    <col min="10241" max="10241" width="3.140625" style="224" customWidth="1"/>
    <col min="10242" max="10242" width="4.42578125" style="224" customWidth="1"/>
    <col min="10243" max="10243" width="43.7109375" style="224" customWidth="1"/>
    <col min="10244" max="10244" width="6.28515625" style="224" customWidth="1"/>
    <col min="10245" max="10245" width="7.85546875" style="224" customWidth="1"/>
    <col min="10246" max="10246" width="9.5703125" style="224" customWidth="1"/>
    <col min="10247" max="10247" width="13.85546875" style="224" customWidth="1"/>
    <col min="10248" max="10248" width="20.42578125" style="224" customWidth="1"/>
    <col min="10249" max="10251" width="11.7109375" style="224" customWidth="1"/>
    <col min="10252" max="10252" width="16.7109375" style="224" customWidth="1"/>
    <col min="10253" max="10253" width="9.85546875" style="224" customWidth="1"/>
    <col min="10254" max="10254" width="2.5703125" style="224" bestFit="1" customWidth="1"/>
    <col min="10255" max="10255" width="9.140625" style="224"/>
    <col min="10256" max="10256" width="9" style="224" customWidth="1"/>
    <col min="10257" max="10496" width="9.140625" style="224"/>
    <col min="10497" max="10497" width="3.140625" style="224" customWidth="1"/>
    <col min="10498" max="10498" width="4.42578125" style="224" customWidth="1"/>
    <col min="10499" max="10499" width="43.7109375" style="224" customWidth="1"/>
    <col min="10500" max="10500" width="6.28515625" style="224" customWidth="1"/>
    <col min="10501" max="10501" width="7.85546875" style="224" customWidth="1"/>
    <col min="10502" max="10502" width="9.5703125" style="224" customWidth="1"/>
    <col min="10503" max="10503" width="13.85546875" style="224" customWidth="1"/>
    <col min="10504" max="10504" width="20.42578125" style="224" customWidth="1"/>
    <col min="10505" max="10507" width="11.7109375" style="224" customWidth="1"/>
    <col min="10508" max="10508" width="16.7109375" style="224" customWidth="1"/>
    <col min="10509" max="10509" width="9.85546875" style="224" customWidth="1"/>
    <col min="10510" max="10510" width="2.5703125" style="224" bestFit="1" customWidth="1"/>
    <col min="10511" max="10511" width="9.140625" style="224"/>
    <col min="10512" max="10512" width="9" style="224" customWidth="1"/>
    <col min="10513" max="10752" width="9.140625" style="224"/>
    <col min="10753" max="10753" width="3.140625" style="224" customWidth="1"/>
    <col min="10754" max="10754" width="4.42578125" style="224" customWidth="1"/>
    <col min="10755" max="10755" width="43.7109375" style="224" customWidth="1"/>
    <col min="10756" max="10756" width="6.28515625" style="224" customWidth="1"/>
    <col min="10757" max="10757" width="7.85546875" style="224" customWidth="1"/>
    <col min="10758" max="10758" width="9.5703125" style="224" customWidth="1"/>
    <col min="10759" max="10759" width="13.85546875" style="224" customWidth="1"/>
    <col min="10760" max="10760" width="20.42578125" style="224" customWidth="1"/>
    <col min="10761" max="10763" width="11.7109375" style="224" customWidth="1"/>
    <col min="10764" max="10764" width="16.7109375" style="224" customWidth="1"/>
    <col min="10765" max="10765" width="9.85546875" style="224" customWidth="1"/>
    <col min="10766" max="10766" width="2.5703125" style="224" bestFit="1" customWidth="1"/>
    <col min="10767" max="10767" width="9.140625" style="224"/>
    <col min="10768" max="10768" width="9" style="224" customWidth="1"/>
    <col min="10769" max="11008" width="9.140625" style="224"/>
    <col min="11009" max="11009" width="3.140625" style="224" customWidth="1"/>
    <col min="11010" max="11010" width="4.42578125" style="224" customWidth="1"/>
    <col min="11011" max="11011" width="43.7109375" style="224" customWidth="1"/>
    <col min="11012" max="11012" width="6.28515625" style="224" customWidth="1"/>
    <col min="11013" max="11013" width="7.85546875" style="224" customWidth="1"/>
    <col min="11014" max="11014" width="9.5703125" style="224" customWidth="1"/>
    <col min="11015" max="11015" width="13.85546875" style="224" customWidth="1"/>
    <col min="11016" max="11016" width="20.42578125" style="224" customWidth="1"/>
    <col min="11017" max="11019" width="11.7109375" style="224" customWidth="1"/>
    <col min="11020" max="11020" width="16.7109375" style="224" customWidth="1"/>
    <col min="11021" max="11021" width="9.85546875" style="224" customWidth="1"/>
    <col min="11022" max="11022" width="2.5703125" style="224" bestFit="1" customWidth="1"/>
    <col min="11023" max="11023" width="9.140625" style="224"/>
    <col min="11024" max="11024" width="9" style="224" customWidth="1"/>
    <col min="11025" max="11264" width="9.140625" style="224"/>
    <col min="11265" max="11265" width="3.140625" style="224" customWidth="1"/>
    <col min="11266" max="11266" width="4.42578125" style="224" customWidth="1"/>
    <col min="11267" max="11267" width="43.7109375" style="224" customWidth="1"/>
    <col min="11268" max="11268" width="6.28515625" style="224" customWidth="1"/>
    <col min="11269" max="11269" width="7.85546875" style="224" customWidth="1"/>
    <col min="11270" max="11270" width="9.5703125" style="224" customWidth="1"/>
    <col min="11271" max="11271" width="13.85546875" style="224" customWidth="1"/>
    <col min="11272" max="11272" width="20.42578125" style="224" customWidth="1"/>
    <col min="11273" max="11275" width="11.7109375" style="224" customWidth="1"/>
    <col min="11276" max="11276" width="16.7109375" style="224" customWidth="1"/>
    <col min="11277" max="11277" width="9.85546875" style="224" customWidth="1"/>
    <col min="11278" max="11278" width="2.5703125" style="224" bestFit="1" customWidth="1"/>
    <col min="11279" max="11279" width="9.140625" style="224"/>
    <col min="11280" max="11280" width="9" style="224" customWidth="1"/>
    <col min="11281" max="11520" width="9.140625" style="224"/>
    <col min="11521" max="11521" width="3.140625" style="224" customWidth="1"/>
    <col min="11522" max="11522" width="4.42578125" style="224" customWidth="1"/>
    <col min="11523" max="11523" width="43.7109375" style="224" customWidth="1"/>
    <col min="11524" max="11524" width="6.28515625" style="224" customWidth="1"/>
    <col min="11525" max="11525" width="7.85546875" style="224" customWidth="1"/>
    <col min="11526" max="11526" width="9.5703125" style="224" customWidth="1"/>
    <col min="11527" max="11527" width="13.85546875" style="224" customWidth="1"/>
    <col min="11528" max="11528" width="20.42578125" style="224" customWidth="1"/>
    <col min="11529" max="11531" width="11.7109375" style="224" customWidth="1"/>
    <col min="11532" max="11532" width="16.7109375" style="224" customWidth="1"/>
    <col min="11533" max="11533" width="9.85546875" style="224" customWidth="1"/>
    <col min="11534" max="11534" width="2.5703125" style="224" bestFit="1" customWidth="1"/>
    <col min="11535" max="11535" width="9.140625" style="224"/>
    <col min="11536" max="11536" width="9" style="224" customWidth="1"/>
    <col min="11537" max="11776" width="9.140625" style="224"/>
    <col min="11777" max="11777" width="3.140625" style="224" customWidth="1"/>
    <col min="11778" max="11778" width="4.42578125" style="224" customWidth="1"/>
    <col min="11779" max="11779" width="43.7109375" style="224" customWidth="1"/>
    <col min="11780" max="11780" width="6.28515625" style="224" customWidth="1"/>
    <col min="11781" max="11781" width="7.85546875" style="224" customWidth="1"/>
    <col min="11782" max="11782" width="9.5703125" style="224" customWidth="1"/>
    <col min="11783" max="11783" width="13.85546875" style="224" customWidth="1"/>
    <col min="11784" max="11784" width="20.42578125" style="224" customWidth="1"/>
    <col min="11785" max="11787" width="11.7109375" style="224" customWidth="1"/>
    <col min="11788" max="11788" width="16.7109375" style="224" customWidth="1"/>
    <col min="11789" max="11789" width="9.85546875" style="224" customWidth="1"/>
    <col min="11790" max="11790" width="2.5703125" style="224" bestFit="1" customWidth="1"/>
    <col min="11791" max="11791" width="9.140625" style="224"/>
    <col min="11792" max="11792" width="9" style="224" customWidth="1"/>
    <col min="11793" max="12032" width="9.140625" style="224"/>
    <col min="12033" max="12033" width="3.140625" style="224" customWidth="1"/>
    <col min="12034" max="12034" width="4.42578125" style="224" customWidth="1"/>
    <col min="12035" max="12035" width="43.7109375" style="224" customWidth="1"/>
    <col min="12036" max="12036" width="6.28515625" style="224" customWidth="1"/>
    <col min="12037" max="12037" width="7.85546875" style="224" customWidth="1"/>
    <col min="12038" max="12038" width="9.5703125" style="224" customWidth="1"/>
    <col min="12039" max="12039" width="13.85546875" style="224" customWidth="1"/>
    <col min="12040" max="12040" width="20.42578125" style="224" customWidth="1"/>
    <col min="12041" max="12043" width="11.7109375" style="224" customWidth="1"/>
    <col min="12044" max="12044" width="16.7109375" style="224" customWidth="1"/>
    <col min="12045" max="12045" width="9.85546875" style="224" customWidth="1"/>
    <col min="12046" max="12046" width="2.5703125" style="224" bestFit="1" customWidth="1"/>
    <col min="12047" max="12047" width="9.140625" style="224"/>
    <col min="12048" max="12048" width="9" style="224" customWidth="1"/>
    <col min="12049" max="12288" width="9.140625" style="224"/>
    <col min="12289" max="12289" width="3.140625" style="224" customWidth="1"/>
    <col min="12290" max="12290" width="4.42578125" style="224" customWidth="1"/>
    <col min="12291" max="12291" width="43.7109375" style="224" customWidth="1"/>
    <col min="12292" max="12292" width="6.28515625" style="224" customWidth="1"/>
    <col min="12293" max="12293" width="7.85546875" style="224" customWidth="1"/>
    <col min="12294" max="12294" width="9.5703125" style="224" customWidth="1"/>
    <col min="12295" max="12295" width="13.85546875" style="224" customWidth="1"/>
    <col min="12296" max="12296" width="20.42578125" style="224" customWidth="1"/>
    <col min="12297" max="12299" width="11.7109375" style="224" customWidth="1"/>
    <col min="12300" max="12300" width="16.7109375" style="224" customWidth="1"/>
    <col min="12301" max="12301" width="9.85546875" style="224" customWidth="1"/>
    <col min="12302" max="12302" width="2.5703125" style="224" bestFit="1" customWidth="1"/>
    <col min="12303" max="12303" width="9.140625" style="224"/>
    <col min="12304" max="12304" width="9" style="224" customWidth="1"/>
    <col min="12305" max="12544" width="9.140625" style="224"/>
    <col min="12545" max="12545" width="3.140625" style="224" customWidth="1"/>
    <col min="12546" max="12546" width="4.42578125" style="224" customWidth="1"/>
    <col min="12547" max="12547" width="43.7109375" style="224" customWidth="1"/>
    <col min="12548" max="12548" width="6.28515625" style="224" customWidth="1"/>
    <col min="12549" max="12549" width="7.85546875" style="224" customWidth="1"/>
    <col min="12550" max="12550" width="9.5703125" style="224" customWidth="1"/>
    <col min="12551" max="12551" width="13.85546875" style="224" customWidth="1"/>
    <col min="12552" max="12552" width="20.42578125" style="224" customWidth="1"/>
    <col min="12553" max="12555" width="11.7109375" style="224" customWidth="1"/>
    <col min="12556" max="12556" width="16.7109375" style="224" customWidth="1"/>
    <col min="12557" max="12557" width="9.85546875" style="224" customWidth="1"/>
    <col min="12558" max="12558" width="2.5703125" style="224" bestFit="1" customWidth="1"/>
    <col min="12559" max="12559" width="9.140625" style="224"/>
    <col min="12560" max="12560" width="9" style="224" customWidth="1"/>
    <col min="12561" max="12800" width="9.140625" style="224"/>
    <col min="12801" max="12801" width="3.140625" style="224" customWidth="1"/>
    <col min="12802" max="12802" width="4.42578125" style="224" customWidth="1"/>
    <col min="12803" max="12803" width="43.7109375" style="224" customWidth="1"/>
    <col min="12804" max="12804" width="6.28515625" style="224" customWidth="1"/>
    <col min="12805" max="12805" width="7.85546875" style="224" customWidth="1"/>
    <col min="12806" max="12806" width="9.5703125" style="224" customWidth="1"/>
    <col min="12807" max="12807" width="13.85546875" style="224" customWidth="1"/>
    <col min="12808" max="12808" width="20.42578125" style="224" customWidth="1"/>
    <col min="12809" max="12811" width="11.7109375" style="224" customWidth="1"/>
    <col min="12812" max="12812" width="16.7109375" style="224" customWidth="1"/>
    <col min="12813" max="12813" width="9.85546875" style="224" customWidth="1"/>
    <col min="12814" max="12814" width="2.5703125" style="224" bestFit="1" customWidth="1"/>
    <col min="12815" max="12815" width="9.140625" style="224"/>
    <col min="12816" max="12816" width="9" style="224" customWidth="1"/>
    <col min="12817" max="13056" width="9.140625" style="224"/>
    <col min="13057" max="13057" width="3.140625" style="224" customWidth="1"/>
    <col min="13058" max="13058" width="4.42578125" style="224" customWidth="1"/>
    <col min="13059" max="13059" width="43.7109375" style="224" customWidth="1"/>
    <col min="13060" max="13060" width="6.28515625" style="224" customWidth="1"/>
    <col min="13061" max="13061" width="7.85546875" style="224" customWidth="1"/>
    <col min="13062" max="13062" width="9.5703125" style="224" customWidth="1"/>
    <col min="13063" max="13063" width="13.85546875" style="224" customWidth="1"/>
    <col min="13064" max="13064" width="20.42578125" style="224" customWidth="1"/>
    <col min="13065" max="13067" width="11.7109375" style="224" customWidth="1"/>
    <col min="13068" max="13068" width="16.7109375" style="224" customWidth="1"/>
    <col min="13069" max="13069" width="9.85546875" style="224" customWidth="1"/>
    <col min="13070" max="13070" width="2.5703125" style="224" bestFit="1" customWidth="1"/>
    <col min="13071" max="13071" width="9.140625" style="224"/>
    <col min="13072" max="13072" width="9" style="224" customWidth="1"/>
    <col min="13073" max="13312" width="9.140625" style="224"/>
    <col min="13313" max="13313" width="3.140625" style="224" customWidth="1"/>
    <col min="13314" max="13314" width="4.42578125" style="224" customWidth="1"/>
    <col min="13315" max="13315" width="43.7109375" style="224" customWidth="1"/>
    <col min="13316" max="13316" width="6.28515625" style="224" customWidth="1"/>
    <col min="13317" max="13317" width="7.85546875" style="224" customWidth="1"/>
    <col min="13318" max="13318" width="9.5703125" style="224" customWidth="1"/>
    <col min="13319" max="13319" width="13.85546875" style="224" customWidth="1"/>
    <col min="13320" max="13320" width="20.42578125" style="224" customWidth="1"/>
    <col min="13321" max="13323" width="11.7109375" style="224" customWidth="1"/>
    <col min="13324" max="13324" width="16.7109375" style="224" customWidth="1"/>
    <col min="13325" max="13325" width="9.85546875" style="224" customWidth="1"/>
    <col min="13326" max="13326" width="2.5703125" style="224" bestFit="1" customWidth="1"/>
    <col min="13327" max="13327" width="9.140625" style="224"/>
    <col min="13328" max="13328" width="9" style="224" customWidth="1"/>
    <col min="13329" max="13568" width="9.140625" style="224"/>
    <col min="13569" max="13569" width="3.140625" style="224" customWidth="1"/>
    <col min="13570" max="13570" width="4.42578125" style="224" customWidth="1"/>
    <col min="13571" max="13571" width="43.7109375" style="224" customWidth="1"/>
    <col min="13572" max="13572" width="6.28515625" style="224" customWidth="1"/>
    <col min="13573" max="13573" width="7.85546875" style="224" customWidth="1"/>
    <col min="13574" max="13574" width="9.5703125" style="224" customWidth="1"/>
    <col min="13575" max="13575" width="13.85546875" style="224" customWidth="1"/>
    <col min="13576" max="13576" width="20.42578125" style="224" customWidth="1"/>
    <col min="13577" max="13579" width="11.7109375" style="224" customWidth="1"/>
    <col min="13580" max="13580" width="16.7109375" style="224" customWidth="1"/>
    <col min="13581" max="13581" width="9.85546875" style="224" customWidth="1"/>
    <col min="13582" max="13582" width="2.5703125" style="224" bestFit="1" customWidth="1"/>
    <col min="13583" max="13583" width="9.140625" style="224"/>
    <col min="13584" max="13584" width="9" style="224" customWidth="1"/>
    <col min="13585" max="13824" width="9.140625" style="224"/>
    <col min="13825" max="13825" width="3.140625" style="224" customWidth="1"/>
    <col min="13826" max="13826" width="4.42578125" style="224" customWidth="1"/>
    <col min="13827" max="13827" width="43.7109375" style="224" customWidth="1"/>
    <col min="13828" max="13828" width="6.28515625" style="224" customWidth="1"/>
    <col min="13829" max="13829" width="7.85546875" style="224" customWidth="1"/>
    <col min="13830" max="13830" width="9.5703125" style="224" customWidth="1"/>
    <col min="13831" max="13831" width="13.85546875" style="224" customWidth="1"/>
    <col min="13832" max="13832" width="20.42578125" style="224" customWidth="1"/>
    <col min="13833" max="13835" width="11.7109375" style="224" customWidth="1"/>
    <col min="13836" max="13836" width="16.7109375" style="224" customWidth="1"/>
    <col min="13837" max="13837" width="9.85546875" style="224" customWidth="1"/>
    <col min="13838" max="13838" width="2.5703125" style="224" bestFit="1" customWidth="1"/>
    <col min="13839" max="13839" width="9.140625" style="224"/>
    <col min="13840" max="13840" width="9" style="224" customWidth="1"/>
    <col min="13841" max="14080" width="9.140625" style="224"/>
    <col min="14081" max="14081" width="3.140625" style="224" customWidth="1"/>
    <col min="14082" max="14082" width="4.42578125" style="224" customWidth="1"/>
    <col min="14083" max="14083" width="43.7109375" style="224" customWidth="1"/>
    <col min="14084" max="14084" width="6.28515625" style="224" customWidth="1"/>
    <col min="14085" max="14085" width="7.85546875" style="224" customWidth="1"/>
    <col min="14086" max="14086" width="9.5703125" style="224" customWidth="1"/>
    <col min="14087" max="14087" width="13.85546875" style="224" customWidth="1"/>
    <col min="14088" max="14088" width="20.42578125" style="224" customWidth="1"/>
    <col min="14089" max="14091" width="11.7109375" style="224" customWidth="1"/>
    <col min="14092" max="14092" width="16.7109375" style="224" customWidth="1"/>
    <col min="14093" max="14093" width="9.85546875" style="224" customWidth="1"/>
    <col min="14094" max="14094" width="2.5703125" style="224" bestFit="1" customWidth="1"/>
    <col min="14095" max="14095" width="9.140625" style="224"/>
    <col min="14096" max="14096" width="9" style="224" customWidth="1"/>
    <col min="14097" max="14336" width="9.140625" style="224"/>
    <col min="14337" max="14337" width="3.140625" style="224" customWidth="1"/>
    <col min="14338" max="14338" width="4.42578125" style="224" customWidth="1"/>
    <col min="14339" max="14339" width="43.7109375" style="224" customWidth="1"/>
    <col min="14340" max="14340" width="6.28515625" style="224" customWidth="1"/>
    <col min="14341" max="14341" width="7.85546875" style="224" customWidth="1"/>
    <col min="14342" max="14342" width="9.5703125" style="224" customWidth="1"/>
    <col min="14343" max="14343" width="13.85546875" style="224" customWidth="1"/>
    <col min="14344" max="14344" width="20.42578125" style="224" customWidth="1"/>
    <col min="14345" max="14347" width="11.7109375" style="224" customWidth="1"/>
    <col min="14348" max="14348" width="16.7109375" style="224" customWidth="1"/>
    <col min="14349" max="14349" width="9.85546875" style="224" customWidth="1"/>
    <col min="14350" max="14350" width="2.5703125" style="224" bestFit="1" customWidth="1"/>
    <col min="14351" max="14351" width="9.140625" style="224"/>
    <col min="14352" max="14352" width="9" style="224" customWidth="1"/>
    <col min="14353" max="14592" width="9.140625" style="224"/>
    <col min="14593" max="14593" width="3.140625" style="224" customWidth="1"/>
    <col min="14594" max="14594" width="4.42578125" style="224" customWidth="1"/>
    <col min="14595" max="14595" width="43.7109375" style="224" customWidth="1"/>
    <col min="14596" max="14596" width="6.28515625" style="224" customWidth="1"/>
    <col min="14597" max="14597" width="7.85546875" style="224" customWidth="1"/>
    <col min="14598" max="14598" width="9.5703125" style="224" customWidth="1"/>
    <col min="14599" max="14599" width="13.85546875" style="224" customWidth="1"/>
    <col min="14600" max="14600" width="20.42578125" style="224" customWidth="1"/>
    <col min="14601" max="14603" width="11.7109375" style="224" customWidth="1"/>
    <col min="14604" max="14604" width="16.7109375" style="224" customWidth="1"/>
    <col min="14605" max="14605" width="9.85546875" style="224" customWidth="1"/>
    <col min="14606" max="14606" width="2.5703125" style="224" bestFit="1" customWidth="1"/>
    <col min="14607" max="14607" width="9.140625" style="224"/>
    <col min="14608" max="14608" width="9" style="224" customWidth="1"/>
    <col min="14609" max="14848" width="9.140625" style="224"/>
    <col min="14849" max="14849" width="3.140625" style="224" customWidth="1"/>
    <col min="14850" max="14850" width="4.42578125" style="224" customWidth="1"/>
    <col min="14851" max="14851" width="43.7109375" style="224" customWidth="1"/>
    <col min="14852" max="14852" width="6.28515625" style="224" customWidth="1"/>
    <col min="14853" max="14853" width="7.85546875" style="224" customWidth="1"/>
    <col min="14854" max="14854" width="9.5703125" style="224" customWidth="1"/>
    <col min="14855" max="14855" width="13.85546875" style="224" customWidth="1"/>
    <col min="14856" max="14856" width="20.42578125" style="224" customWidth="1"/>
    <col min="14857" max="14859" width="11.7109375" style="224" customWidth="1"/>
    <col min="14860" max="14860" width="16.7109375" style="224" customWidth="1"/>
    <col min="14861" max="14861" width="9.85546875" style="224" customWidth="1"/>
    <col min="14862" max="14862" width="2.5703125" style="224" bestFit="1" customWidth="1"/>
    <col min="14863" max="14863" width="9.140625" style="224"/>
    <col min="14864" max="14864" width="9" style="224" customWidth="1"/>
    <col min="14865" max="15104" width="9.140625" style="224"/>
    <col min="15105" max="15105" width="3.140625" style="224" customWidth="1"/>
    <col min="15106" max="15106" width="4.42578125" style="224" customWidth="1"/>
    <col min="15107" max="15107" width="43.7109375" style="224" customWidth="1"/>
    <col min="15108" max="15108" width="6.28515625" style="224" customWidth="1"/>
    <col min="15109" max="15109" width="7.85546875" style="224" customWidth="1"/>
    <col min="15110" max="15110" width="9.5703125" style="224" customWidth="1"/>
    <col min="15111" max="15111" width="13.85546875" style="224" customWidth="1"/>
    <col min="15112" max="15112" width="20.42578125" style="224" customWidth="1"/>
    <col min="15113" max="15115" width="11.7109375" style="224" customWidth="1"/>
    <col min="15116" max="15116" width="16.7109375" style="224" customWidth="1"/>
    <col min="15117" max="15117" width="9.85546875" style="224" customWidth="1"/>
    <col min="15118" max="15118" width="2.5703125" style="224" bestFit="1" customWidth="1"/>
    <col min="15119" max="15119" width="9.140625" style="224"/>
    <col min="15120" max="15120" width="9" style="224" customWidth="1"/>
    <col min="15121" max="15360" width="9.140625" style="224"/>
    <col min="15361" max="15361" width="3.140625" style="224" customWidth="1"/>
    <col min="15362" max="15362" width="4.42578125" style="224" customWidth="1"/>
    <col min="15363" max="15363" width="43.7109375" style="224" customWidth="1"/>
    <col min="15364" max="15364" width="6.28515625" style="224" customWidth="1"/>
    <col min="15365" max="15365" width="7.85546875" style="224" customWidth="1"/>
    <col min="15366" max="15366" width="9.5703125" style="224" customWidth="1"/>
    <col min="15367" max="15367" width="13.85546875" style="224" customWidth="1"/>
    <col min="15368" max="15368" width="20.42578125" style="224" customWidth="1"/>
    <col min="15369" max="15371" width="11.7109375" style="224" customWidth="1"/>
    <col min="15372" max="15372" width="16.7109375" style="224" customWidth="1"/>
    <col min="15373" max="15373" width="9.85546875" style="224" customWidth="1"/>
    <col min="15374" max="15374" width="2.5703125" style="224" bestFit="1" customWidth="1"/>
    <col min="15375" max="15375" width="9.140625" style="224"/>
    <col min="15376" max="15376" width="9" style="224" customWidth="1"/>
    <col min="15377" max="15616" width="9.140625" style="224"/>
    <col min="15617" max="15617" width="3.140625" style="224" customWidth="1"/>
    <col min="15618" max="15618" width="4.42578125" style="224" customWidth="1"/>
    <col min="15619" max="15619" width="43.7109375" style="224" customWidth="1"/>
    <col min="15620" max="15620" width="6.28515625" style="224" customWidth="1"/>
    <col min="15621" max="15621" width="7.85546875" style="224" customWidth="1"/>
    <col min="15622" max="15622" width="9.5703125" style="224" customWidth="1"/>
    <col min="15623" max="15623" width="13.85546875" style="224" customWidth="1"/>
    <col min="15624" max="15624" width="20.42578125" style="224" customWidth="1"/>
    <col min="15625" max="15627" width="11.7109375" style="224" customWidth="1"/>
    <col min="15628" max="15628" width="16.7109375" style="224" customWidth="1"/>
    <col min="15629" max="15629" width="9.85546875" style="224" customWidth="1"/>
    <col min="15630" max="15630" width="2.5703125" style="224" bestFit="1" customWidth="1"/>
    <col min="15631" max="15631" width="9.140625" style="224"/>
    <col min="15632" max="15632" width="9" style="224" customWidth="1"/>
    <col min="15633" max="15872" width="9.140625" style="224"/>
    <col min="15873" max="15873" width="3.140625" style="224" customWidth="1"/>
    <col min="15874" max="15874" width="4.42578125" style="224" customWidth="1"/>
    <col min="15875" max="15875" width="43.7109375" style="224" customWidth="1"/>
    <col min="15876" max="15876" width="6.28515625" style="224" customWidth="1"/>
    <col min="15877" max="15877" width="7.85546875" style="224" customWidth="1"/>
    <col min="15878" max="15878" width="9.5703125" style="224" customWidth="1"/>
    <col min="15879" max="15879" width="13.85546875" style="224" customWidth="1"/>
    <col min="15880" max="15880" width="20.42578125" style="224" customWidth="1"/>
    <col min="15881" max="15883" width="11.7109375" style="224" customWidth="1"/>
    <col min="15884" max="15884" width="16.7109375" style="224" customWidth="1"/>
    <col min="15885" max="15885" width="9.85546875" style="224" customWidth="1"/>
    <col min="15886" max="15886" width="2.5703125" style="224" bestFit="1" customWidth="1"/>
    <col min="15887" max="15887" width="9.140625" style="224"/>
    <col min="15888" max="15888" width="9" style="224" customWidth="1"/>
    <col min="15889" max="16128" width="9.140625" style="224"/>
    <col min="16129" max="16129" width="3.140625" style="224" customWidth="1"/>
    <col min="16130" max="16130" width="4.42578125" style="224" customWidth="1"/>
    <col min="16131" max="16131" width="43.7109375" style="224" customWidth="1"/>
    <col min="16132" max="16132" width="6.28515625" style="224" customWidth="1"/>
    <col min="16133" max="16133" width="7.85546875" style="224" customWidth="1"/>
    <col min="16134" max="16134" width="9.5703125" style="224" customWidth="1"/>
    <col min="16135" max="16135" width="13.85546875" style="224" customWidth="1"/>
    <col min="16136" max="16136" width="20.42578125" style="224" customWidth="1"/>
    <col min="16137" max="16139" width="11.7109375" style="224" customWidth="1"/>
    <col min="16140" max="16140" width="16.7109375" style="224" customWidth="1"/>
    <col min="16141" max="16141" width="9.85546875" style="224" customWidth="1"/>
    <col min="16142" max="16142" width="2.5703125" style="224" bestFit="1" customWidth="1"/>
    <col min="16143" max="16143" width="9.140625" style="224"/>
    <col min="16144" max="16144" width="9" style="224" customWidth="1"/>
    <col min="16145" max="16384" width="9.140625" style="224"/>
  </cols>
  <sheetData>
    <row r="1" spans="1:16" ht="15.75" x14ac:dyDescent="0.2">
      <c r="A1" s="1859" t="s">
        <v>1632</v>
      </c>
      <c r="B1" s="1887"/>
      <c r="C1" s="1888"/>
    </row>
    <row r="2" spans="1:16" s="213" customFormat="1" ht="18.75" x14ac:dyDescent="0.25">
      <c r="A2" s="1859"/>
      <c r="B2" s="1860"/>
      <c r="C2" s="1859"/>
      <c r="D2" s="315"/>
      <c r="E2" s="316"/>
      <c r="F2" s="1863"/>
      <c r="G2" s="317"/>
      <c r="H2" s="214"/>
      <c r="I2" s="215"/>
      <c r="J2" s="216"/>
      <c r="K2" s="216"/>
      <c r="L2" s="217"/>
    </row>
    <row r="3" spans="1:16" s="213" customFormat="1" ht="18.75" x14ac:dyDescent="0.25">
      <c r="A3" s="1859" t="s">
        <v>37</v>
      </c>
      <c r="B3" s="1860"/>
      <c r="C3" s="1859" t="s">
        <v>616</v>
      </c>
      <c r="D3" s="315"/>
      <c r="E3" s="316"/>
      <c r="F3" s="1863"/>
      <c r="G3" s="317"/>
      <c r="H3" s="214"/>
      <c r="I3" s="215"/>
      <c r="J3" s="216"/>
      <c r="K3" s="216"/>
      <c r="L3" s="217"/>
    </row>
    <row r="4" spans="1:16" s="213" customFormat="1" ht="18.75" x14ac:dyDescent="0.25">
      <c r="A4" s="1859"/>
      <c r="B4" s="1861"/>
      <c r="C4" s="1859"/>
      <c r="D4" s="315"/>
      <c r="E4" s="316"/>
      <c r="F4" s="1863"/>
      <c r="G4" s="317"/>
      <c r="H4" s="214"/>
      <c r="I4" s="215"/>
      <c r="J4" s="216"/>
      <c r="K4" s="216"/>
      <c r="L4" s="319"/>
      <c r="M4" s="217"/>
    </row>
    <row r="5" spans="1:16" s="330" customFormat="1" ht="18.75" x14ac:dyDescent="0.25">
      <c r="A5" s="1862" t="s">
        <v>22</v>
      </c>
      <c r="B5" s="1861"/>
      <c r="C5" s="1859" t="s">
        <v>21</v>
      </c>
      <c r="D5" s="323"/>
      <c r="E5" s="324"/>
      <c r="F5" s="1864"/>
      <c r="G5" s="325"/>
      <c r="H5" s="326"/>
      <c r="I5" s="215"/>
      <c r="J5" s="327"/>
      <c r="K5" s="327"/>
      <c r="L5" s="328"/>
      <c r="M5" s="329"/>
    </row>
    <row r="6" spans="1:16" x14ac:dyDescent="0.2">
      <c r="C6" s="335"/>
      <c r="D6" s="336"/>
      <c r="E6" s="337"/>
      <c r="F6" s="1866"/>
      <c r="G6" s="336"/>
      <c r="L6" s="2044"/>
      <c r="M6" s="334"/>
    </row>
    <row r="7" spans="1:16" ht="12.75" customHeight="1" x14ac:dyDescent="0.2">
      <c r="A7" s="218" t="s">
        <v>63</v>
      </c>
      <c r="B7" s="218"/>
      <c r="C7" s="219"/>
      <c r="D7" s="336"/>
      <c r="E7" s="337"/>
      <c r="F7" s="1866"/>
      <c r="G7" s="336"/>
      <c r="L7" s="2044"/>
      <c r="M7" s="223"/>
    </row>
    <row r="8" spans="1:16" s="230" customFormat="1" x14ac:dyDescent="0.2">
      <c r="A8" s="225" t="s">
        <v>26</v>
      </c>
      <c r="B8" s="225"/>
      <c r="C8" s="226" t="s">
        <v>27</v>
      </c>
      <c r="D8" s="338" t="s">
        <v>28</v>
      </c>
      <c r="E8" s="339" t="s">
        <v>29</v>
      </c>
      <c r="F8" s="1867" t="s">
        <v>30</v>
      </c>
      <c r="G8" s="340" t="s">
        <v>31</v>
      </c>
      <c r="H8" s="227"/>
      <c r="I8" s="228"/>
      <c r="J8" s="229"/>
      <c r="K8" s="229"/>
      <c r="M8" s="224"/>
      <c r="O8" s="231"/>
      <c r="P8" s="231"/>
    </row>
    <row r="9" spans="1:16" x14ac:dyDescent="0.2">
      <c r="C9" s="233"/>
      <c r="G9" s="341"/>
    </row>
    <row r="10" spans="1:16" s="239" customFormat="1" ht="16.5" thickBot="1" x14ac:dyDescent="0.3">
      <c r="A10" s="342"/>
      <c r="B10" s="343" t="s">
        <v>20</v>
      </c>
      <c r="C10" s="344" t="s">
        <v>504</v>
      </c>
      <c r="D10" s="345"/>
      <c r="E10" s="346"/>
      <c r="F10" s="1868"/>
      <c r="G10" s="347"/>
      <c r="H10"/>
      <c r="I10"/>
      <c r="J10"/>
      <c r="K10"/>
      <c r="L10"/>
    </row>
    <row r="11" spans="1:16" ht="15" x14ac:dyDescent="0.25">
      <c r="A11" s="240"/>
      <c r="B11" s="241"/>
      <c r="C11" s="233"/>
      <c r="G11" s="341"/>
      <c r="H11"/>
      <c r="I11"/>
      <c r="J11"/>
      <c r="K11"/>
      <c r="L11"/>
    </row>
    <row r="12" spans="1:16" ht="36" x14ac:dyDescent="0.25">
      <c r="A12" s="245" t="str">
        <f>$B$10</f>
        <v>I.</v>
      </c>
      <c r="B12" s="348">
        <v>1</v>
      </c>
      <c r="C12" s="349" t="s">
        <v>562</v>
      </c>
      <c r="D12" s="350" t="s">
        <v>58</v>
      </c>
      <c r="E12" s="351">
        <v>1</v>
      </c>
      <c r="F12" s="1869"/>
      <c r="G12" s="352">
        <f>ROUND(F12*E12,2)</f>
        <v>0</v>
      </c>
      <c r="H12"/>
      <c r="I12"/>
      <c r="J12"/>
      <c r="K12"/>
      <c r="L12"/>
    </row>
    <row r="13" spans="1:16" ht="15" x14ac:dyDescent="0.25">
      <c r="A13" s="245"/>
      <c r="B13" s="348"/>
      <c r="C13" s="353"/>
      <c r="D13" s="354"/>
      <c r="E13" s="355"/>
      <c r="F13" s="1870"/>
      <c r="G13" s="352"/>
      <c r="H13"/>
      <c r="I13"/>
      <c r="J13"/>
      <c r="K13"/>
      <c r="L13"/>
    </row>
    <row r="14" spans="1:16" ht="24" x14ac:dyDescent="0.25">
      <c r="A14" s="245" t="str">
        <f>$B$10</f>
        <v>I.</v>
      </c>
      <c r="B14" s="348">
        <f>COUNT($A$12:B13)+1</f>
        <v>2</v>
      </c>
      <c r="C14" s="349" t="s">
        <v>563</v>
      </c>
      <c r="D14" s="350" t="s">
        <v>58</v>
      </c>
      <c r="E14" s="351">
        <v>1</v>
      </c>
      <c r="F14" s="1869"/>
      <c r="G14" s="352">
        <f>ROUND(F14*E14,2)</f>
        <v>0</v>
      </c>
      <c r="H14"/>
      <c r="I14"/>
      <c r="J14"/>
      <c r="K14"/>
      <c r="L14"/>
    </row>
    <row r="15" spans="1:16" ht="15" x14ac:dyDescent="0.25">
      <c r="A15" s="245"/>
      <c r="B15" s="348"/>
      <c r="C15" s="349"/>
      <c r="D15" s="350"/>
      <c r="E15" s="351"/>
      <c r="F15" s="1869"/>
      <c r="G15" s="352"/>
      <c r="H15"/>
      <c r="I15"/>
      <c r="J15"/>
      <c r="K15"/>
      <c r="L15"/>
    </row>
    <row r="16" spans="1:16" ht="48" x14ac:dyDescent="0.25">
      <c r="A16" s="245" t="str">
        <f>$B$10</f>
        <v>I.</v>
      </c>
      <c r="B16" s="348">
        <f>COUNT($A$12:B14)+1</f>
        <v>3</v>
      </c>
      <c r="C16" s="349" t="s">
        <v>635</v>
      </c>
      <c r="D16" s="350" t="s">
        <v>58</v>
      </c>
      <c r="E16" s="351">
        <v>1</v>
      </c>
      <c r="F16" s="1869"/>
      <c r="G16" s="352">
        <f>ROUND(F16*E16,2)</f>
        <v>0</v>
      </c>
      <c r="H16"/>
      <c r="I16"/>
      <c r="J16"/>
      <c r="K16"/>
      <c r="L16"/>
    </row>
    <row r="17" spans="1:12" ht="15" x14ac:dyDescent="0.25">
      <c r="A17" s="245"/>
      <c r="B17" s="348"/>
      <c r="C17" s="395"/>
      <c r="D17" s="350"/>
      <c r="E17" s="351"/>
      <c r="F17" s="1869"/>
      <c r="G17" s="352"/>
      <c r="H17"/>
      <c r="I17"/>
      <c r="J17"/>
      <c r="K17"/>
      <c r="L17"/>
    </row>
    <row r="18" spans="1:12" ht="48" x14ac:dyDescent="0.25">
      <c r="A18" s="245" t="str">
        <f>$B$10</f>
        <v>I.</v>
      </c>
      <c r="B18" s="348">
        <f>COUNT($A$12:B17)+1</f>
        <v>4</v>
      </c>
      <c r="C18" s="349" t="s">
        <v>636</v>
      </c>
      <c r="D18" s="350" t="s">
        <v>58</v>
      </c>
      <c r="E18" s="351">
        <v>1</v>
      </c>
      <c r="F18" s="1869"/>
      <c r="G18" s="352">
        <f>ROUND(F18*E18,2)</f>
        <v>0</v>
      </c>
      <c r="H18"/>
      <c r="I18"/>
      <c r="J18"/>
      <c r="K18"/>
      <c r="L18"/>
    </row>
    <row r="19" spans="1:12" ht="15" x14ac:dyDescent="0.25">
      <c r="A19" s="245"/>
      <c r="B19" s="348"/>
      <c r="C19" s="349"/>
      <c r="D19" s="350"/>
      <c r="E19" s="351"/>
      <c r="F19" s="1869"/>
      <c r="G19" s="352"/>
      <c r="H19"/>
      <c r="I19"/>
      <c r="J19"/>
      <c r="K19"/>
      <c r="L19"/>
    </row>
    <row r="20" spans="1:12" ht="48" x14ac:dyDescent="0.25">
      <c r="A20" s="245" t="str">
        <f>$B$10</f>
        <v>I.</v>
      </c>
      <c r="B20" s="348">
        <f>COUNT($A$12:B19)+1</f>
        <v>5</v>
      </c>
      <c r="C20" s="395" t="s">
        <v>637</v>
      </c>
      <c r="D20" s="350" t="s">
        <v>58</v>
      </c>
      <c r="E20" s="351">
        <v>1</v>
      </c>
      <c r="F20" s="1869"/>
      <c r="G20" s="352">
        <f>ROUND(F20*E20,2)</f>
        <v>0</v>
      </c>
      <c r="H20"/>
      <c r="I20"/>
      <c r="J20"/>
      <c r="K20"/>
      <c r="L20"/>
    </row>
    <row r="21" spans="1:12" ht="15" x14ac:dyDescent="0.25">
      <c r="A21" s="245"/>
      <c r="B21" s="348"/>
      <c r="C21" s="395"/>
      <c r="D21" s="350"/>
      <c r="E21" s="351"/>
      <c r="F21" s="1869"/>
      <c r="G21" s="352"/>
      <c r="H21"/>
      <c r="I21"/>
      <c r="J21"/>
      <c r="K21"/>
      <c r="L21"/>
    </row>
    <row r="22" spans="1:12" ht="48" x14ac:dyDescent="0.25">
      <c r="A22" s="245" t="str">
        <f>$B$10</f>
        <v>I.</v>
      </c>
      <c r="B22" s="348">
        <f>COUNT($A$12:B21)+1</f>
        <v>6</v>
      </c>
      <c r="C22" s="395" t="s">
        <v>638</v>
      </c>
      <c r="D22" s="350" t="s">
        <v>58</v>
      </c>
      <c r="E22" s="351">
        <v>1</v>
      </c>
      <c r="F22" s="1869"/>
      <c r="G22" s="352">
        <f>ROUND(F22*E22,2)</f>
        <v>0</v>
      </c>
      <c r="H22"/>
      <c r="I22"/>
      <c r="J22"/>
      <c r="K22"/>
      <c r="L22"/>
    </row>
    <row r="23" spans="1:12" ht="15" x14ac:dyDescent="0.25">
      <c r="A23" s="245"/>
      <c r="B23" s="348"/>
      <c r="C23" s="349"/>
      <c r="D23" s="350"/>
      <c r="E23" s="351"/>
      <c r="F23" s="1869"/>
      <c r="G23" s="352"/>
      <c r="H23"/>
      <c r="I23"/>
      <c r="J23"/>
      <c r="K23"/>
      <c r="L23"/>
    </row>
    <row r="24" spans="1:12" ht="48" x14ac:dyDescent="0.25">
      <c r="A24" s="245" t="str">
        <f>$B$10</f>
        <v>I.</v>
      </c>
      <c r="B24" s="348">
        <f>COUNT($A$12:B23)+1</f>
        <v>7</v>
      </c>
      <c r="C24" s="349" t="s">
        <v>639</v>
      </c>
      <c r="D24" s="350" t="s">
        <v>65</v>
      </c>
      <c r="E24" s="351">
        <v>80</v>
      </c>
      <c r="F24" s="1869"/>
      <c r="G24" s="352">
        <f>ROUND(F24*E24,2)</f>
        <v>0</v>
      </c>
      <c r="H24"/>
      <c r="I24"/>
      <c r="J24"/>
      <c r="K24"/>
      <c r="L24"/>
    </row>
    <row r="25" spans="1:12" ht="15" x14ac:dyDescent="0.25">
      <c r="A25" s="245"/>
      <c r="B25" s="348"/>
      <c r="C25" s="396"/>
      <c r="D25" s="350"/>
      <c r="E25" s="351"/>
      <c r="F25" s="1869"/>
      <c r="G25" s="352"/>
      <c r="H25"/>
      <c r="I25"/>
      <c r="J25"/>
      <c r="K25"/>
      <c r="L25"/>
    </row>
    <row r="26" spans="1:12" ht="35.25" customHeight="1" x14ac:dyDescent="0.25">
      <c r="A26" s="245" t="str">
        <f>$B$10</f>
        <v>I.</v>
      </c>
      <c r="B26" s="348">
        <f>COUNT($A$12:B25)+1</f>
        <v>8</v>
      </c>
      <c r="C26" s="349" t="s">
        <v>640</v>
      </c>
      <c r="D26" s="350" t="s">
        <v>65</v>
      </c>
      <c r="E26" s="351">
        <v>15</v>
      </c>
      <c r="F26" s="1869"/>
      <c r="G26" s="352">
        <f>ROUND(F26*E26,2)</f>
        <v>0</v>
      </c>
      <c r="H26"/>
      <c r="I26"/>
      <c r="J26"/>
      <c r="K26"/>
      <c r="L26"/>
    </row>
    <row r="27" spans="1:12" ht="15" x14ac:dyDescent="0.25">
      <c r="A27" s="245"/>
      <c r="B27" s="348"/>
      <c r="C27" s="397"/>
      <c r="D27" s="350"/>
      <c r="E27" s="351"/>
      <c r="F27" s="1869"/>
      <c r="G27" s="352"/>
      <c r="H27"/>
      <c r="I27"/>
      <c r="J27"/>
      <c r="K27"/>
      <c r="L27"/>
    </row>
    <row r="28" spans="1:12" ht="48" x14ac:dyDescent="0.25">
      <c r="A28" s="245" t="str">
        <f>$B$10</f>
        <v>I.</v>
      </c>
      <c r="B28" s="348">
        <f>COUNT($A$12:B27)+1</f>
        <v>9</v>
      </c>
      <c r="C28" s="349" t="s">
        <v>641</v>
      </c>
      <c r="D28" s="350" t="s">
        <v>71</v>
      </c>
      <c r="E28" s="351">
        <v>26.8</v>
      </c>
      <c r="F28" s="1869"/>
      <c r="G28" s="352">
        <f>ROUND(F28*E28,2)</f>
        <v>0</v>
      </c>
      <c r="H28"/>
      <c r="I28"/>
      <c r="J28"/>
      <c r="K28"/>
      <c r="L28"/>
    </row>
    <row r="29" spans="1:12" ht="15" x14ac:dyDescent="0.25">
      <c r="A29" s="245"/>
      <c r="B29" s="348"/>
      <c r="C29" s="397"/>
      <c r="D29" s="350"/>
      <c r="E29" s="351"/>
      <c r="F29" s="1869"/>
      <c r="G29" s="352"/>
      <c r="H29"/>
      <c r="I29"/>
      <c r="J29"/>
      <c r="K29"/>
      <c r="L29"/>
    </row>
    <row r="30" spans="1:12" ht="48" x14ac:dyDescent="0.25">
      <c r="A30" s="245" t="str">
        <f>$B$10</f>
        <v>I.</v>
      </c>
      <c r="B30" s="348">
        <f>COUNT($A$12:B29)+1</f>
        <v>10</v>
      </c>
      <c r="C30" s="349" t="s">
        <v>642</v>
      </c>
      <c r="D30" s="350" t="s">
        <v>65</v>
      </c>
      <c r="E30" s="351">
        <v>4.5999999999999996</v>
      </c>
      <c r="F30" s="1869"/>
      <c r="G30" s="352">
        <f>ROUND(F30*E30,2)</f>
        <v>0</v>
      </c>
      <c r="H30"/>
      <c r="I30"/>
      <c r="J30"/>
      <c r="K30"/>
      <c r="L30"/>
    </row>
    <row r="31" spans="1:12" ht="15" x14ac:dyDescent="0.25">
      <c r="A31" s="245"/>
      <c r="B31" s="348"/>
      <c r="C31" s="398"/>
      <c r="D31" s="350"/>
      <c r="E31" s="351"/>
      <c r="F31" s="1869"/>
      <c r="G31" s="352"/>
      <c r="H31"/>
      <c r="I31"/>
      <c r="J31"/>
      <c r="K31"/>
      <c r="L31"/>
    </row>
    <row r="32" spans="1:12" ht="36.75" customHeight="1" x14ac:dyDescent="0.25">
      <c r="A32" s="245" t="str">
        <f>$B$10</f>
        <v>I.</v>
      </c>
      <c r="B32" s="348">
        <f>COUNT($A$12:B31)+1</f>
        <v>11</v>
      </c>
      <c r="C32" s="349" t="s">
        <v>643</v>
      </c>
      <c r="D32" s="350" t="s">
        <v>65</v>
      </c>
      <c r="E32" s="351">
        <v>14</v>
      </c>
      <c r="F32" s="1869"/>
      <c r="G32" s="352">
        <f>ROUND(F32*E32,2)</f>
        <v>0</v>
      </c>
      <c r="H32"/>
      <c r="I32"/>
      <c r="J32"/>
      <c r="K32"/>
      <c r="L32"/>
    </row>
    <row r="33" spans="1:12" ht="15" x14ac:dyDescent="0.25">
      <c r="A33" s="245"/>
      <c r="B33" s="348"/>
      <c r="C33" s="224"/>
      <c r="D33" s="224"/>
      <c r="E33" s="224"/>
      <c r="F33" s="1889"/>
      <c r="G33" s="352"/>
      <c r="H33"/>
      <c r="I33"/>
      <c r="J33"/>
      <c r="K33"/>
      <c r="L33"/>
    </row>
    <row r="34" spans="1:12" ht="60" x14ac:dyDescent="0.25">
      <c r="A34" s="245" t="str">
        <f>$B$10</f>
        <v>I.</v>
      </c>
      <c r="B34" s="348">
        <f>COUNT($A$12:B33)+1</f>
        <v>12</v>
      </c>
      <c r="C34" s="349" t="s">
        <v>644</v>
      </c>
      <c r="D34" s="350" t="s">
        <v>71</v>
      </c>
      <c r="E34" s="351">
        <v>24</v>
      </c>
      <c r="F34" s="1869"/>
      <c r="G34" s="352">
        <f>ROUND(F34*E34,2)</f>
        <v>0</v>
      </c>
      <c r="H34"/>
      <c r="I34"/>
      <c r="J34"/>
      <c r="K34"/>
      <c r="L34"/>
    </row>
    <row r="35" spans="1:12" ht="15" x14ac:dyDescent="0.25">
      <c r="A35" s="245"/>
      <c r="B35" s="348"/>
      <c r="C35" s="224"/>
      <c r="D35" s="224"/>
      <c r="E35" s="224"/>
      <c r="F35" s="1889"/>
      <c r="G35" s="352"/>
      <c r="H35"/>
      <c r="I35"/>
      <c r="J35"/>
      <c r="K35"/>
      <c r="L35"/>
    </row>
    <row r="36" spans="1:12" ht="48" x14ac:dyDescent="0.25">
      <c r="A36" s="245" t="str">
        <f>$B$10</f>
        <v>I.</v>
      </c>
      <c r="B36" s="348">
        <f>COUNT($A$12:B35)+1</f>
        <v>13</v>
      </c>
      <c r="C36" s="349" t="s">
        <v>645</v>
      </c>
      <c r="D36" s="350" t="s">
        <v>71</v>
      </c>
      <c r="E36" s="351">
        <v>20</v>
      </c>
      <c r="F36" s="1869"/>
      <c r="G36" s="352">
        <f>ROUND(F36*E36,2)</f>
        <v>0</v>
      </c>
      <c r="H36"/>
      <c r="I36"/>
      <c r="J36"/>
      <c r="K36"/>
      <c r="L36"/>
    </row>
    <row r="37" spans="1:12" ht="15" x14ac:dyDescent="0.25">
      <c r="A37" s="245"/>
      <c r="B37" s="348"/>
      <c r="C37" s="396"/>
      <c r="D37" s="350"/>
      <c r="E37" s="351"/>
      <c r="F37" s="1869"/>
      <c r="G37" s="352"/>
      <c r="H37"/>
      <c r="I37"/>
      <c r="J37"/>
      <c r="K37"/>
      <c r="L37"/>
    </row>
    <row r="38" spans="1:12" ht="48" x14ac:dyDescent="0.25">
      <c r="A38" s="245" t="str">
        <f>$B$10</f>
        <v>I.</v>
      </c>
      <c r="B38" s="348">
        <f>COUNT($A$12:B37)+1</f>
        <v>14</v>
      </c>
      <c r="C38" s="349" t="s">
        <v>646</v>
      </c>
      <c r="D38" s="350" t="s">
        <v>138</v>
      </c>
      <c r="E38" s="351">
        <v>380</v>
      </c>
      <c r="F38" s="1869"/>
      <c r="G38" s="352">
        <f>ROUND(F38*E38,2)</f>
        <v>0</v>
      </c>
      <c r="H38"/>
      <c r="I38"/>
      <c r="J38"/>
      <c r="K38"/>
      <c r="L38"/>
    </row>
    <row r="39" spans="1:12" ht="15" x14ac:dyDescent="0.25">
      <c r="A39" s="245"/>
      <c r="B39" s="348"/>
      <c r="C39" s="359"/>
      <c r="D39" s="350"/>
      <c r="E39" s="351"/>
      <c r="F39" s="1869"/>
      <c r="G39" s="352"/>
      <c r="H39"/>
      <c r="I39"/>
      <c r="J39"/>
      <c r="K39"/>
      <c r="L39"/>
    </row>
    <row r="40" spans="1:12" ht="48" x14ac:dyDescent="0.25">
      <c r="A40" s="245" t="str">
        <f>$B$10</f>
        <v>I.</v>
      </c>
      <c r="B40" s="348">
        <f>COUNT($A$12:B39)+1</f>
        <v>15</v>
      </c>
      <c r="C40" s="349" t="s">
        <v>647</v>
      </c>
      <c r="D40" s="350" t="s">
        <v>39</v>
      </c>
      <c r="E40" s="351">
        <v>1</v>
      </c>
      <c r="F40" s="1869"/>
      <c r="G40" s="352">
        <f>ROUND(F40*E40,2)</f>
        <v>0</v>
      </c>
      <c r="H40"/>
      <c r="I40"/>
      <c r="J40"/>
      <c r="K40"/>
      <c r="L40"/>
    </row>
    <row r="41" spans="1:12" ht="15" x14ac:dyDescent="0.25">
      <c r="A41" s="245"/>
      <c r="B41" s="348"/>
      <c r="C41" s="399"/>
      <c r="D41" s="350"/>
      <c r="E41" s="351"/>
      <c r="F41" s="1869"/>
      <c r="G41" s="352"/>
      <c r="H41"/>
      <c r="I41"/>
      <c r="J41"/>
      <c r="K41"/>
      <c r="L41"/>
    </row>
    <row r="42" spans="1:12" ht="48" x14ac:dyDescent="0.25">
      <c r="A42" s="245" t="str">
        <f>$B$10</f>
        <v>I.</v>
      </c>
      <c r="B42" s="348">
        <f>COUNT($A$12:B41)+1</f>
        <v>16</v>
      </c>
      <c r="C42" s="349" t="s">
        <v>648</v>
      </c>
      <c r="D42" s="350" t="s">
        <v>39</v>
      </c>
      <c r="E42" s="351">
        <v>1</v>
      </c>
      <c r="F42" s="1869"/>
      <c r="G42" s="352">
        <f>ROUND(F42*E42,2)</f>
        <v>0</v>
      </c>
      <c r="H42"/>
      <c r="I42"/>
      <c r="J42"/>
      <c r="K42"/>
      <c r="L42"/>
    </row>
    <row r="43" spans="1:12" ht="15" x14ac:dyDescent="0.25">
      <c r="A43" s="245"/>
      <c r="B43" s="348"/>
      <c r="C43" s="400"/>
      <c r="D43" s="350"/>
      <c r="E43" s="351"/>
      <c r="F43" s="1869"/>
      <c r="G43" s="352"/>
      <c r="H43"/>
      <c r="I43"/>
      <c r="J43"/>
      <c r="K43"/>
      <c r="L43"/>
    </row>
    <row r="44" spans="1:12" ht="48" x14ac:dyDescent="0.25">
      <c r="A44" s="245" t="str">
        <f>$B$10</f>
        <v>I.</v>
      </c>
      <c r="B44" s="348">
        <f>COUNT($A$12:B43)+1</f>
        <v>17</v>
      </c>
      <c r="C44" s="349" t="s">
        <v>649</v>
      </c>
      <c r="D44" s="350" t="s">
        <v>39</v>
      </c>
      <c r="E44" s="351">
        <v>2</v>
      </c>
      <c r="F44" s="1869"/>
      <c r="G44" s="352">
        <f>ROUND(F44*E44,2)</f>
        <v>0</v>
      </c>
      <c r="H44"/>
      <c r="I44"/>
      <c r="J44"/>
      <c r="K44"/>
      <c r="L44"/>
    </row>
    <row r="45" spans="1:12" ht="15" x14ac:dyDescent="0.25">
      <c r="A45" s="245"/>
      <c r="B45" s="348"/>
      <c r="C45" s="400"/>
      <c r="D45" s="350"/>
      <c r="E45" s="351"/>
      <c r="F45" s="1869"/>
      <c r="G45" s="352"/>
      <c r="H45"/>
      <c r="I45"/>
      <c r="J45"/>
      <c r="K45"/>
      <c r="L45"/>
    </row>
    <row r="46" spans="1:12" ht="48" x14ac:dyDescent="0.25">
      <c r="A46" s="245" t="str">
        <f>$B$10</f>
        <v>I.</v>
      </c>
      <c r="B46" s="348">
        <f>COUNT($A$12:B45)+1</f>
        <v>18</v>
      </c>
      <c r="C46" s="395" t="s">
        <v>650</v>
      </c>
      <c r="D46" s="350" t="s">
        <v>71</v>
      </c>
      <c r="E46" s="351">
        <v>15</v>
      </c>
      <c r="F46" s="1869"/>
      <c r="G46" s="352">
        <f>ROUND(F46*E46,2)</f>
        <v>0</v>
      </c>
      <c r="H46"/>
      <c r="I46"/>
      <c r="J46"/>
      <c r="K46"/>
      <c r="L46"/>
    </row>
    <row r="47" spans="1:12" ht="15" x14ac:dyDescent="0.25">
      <c r="A47" s="245"/>
      <c r="B47" s="357"/>
      <c r="C47" s="349"/>
      <c r="D47" s="350"/>
      <c r="E47" s="351"/>
      <c r="F47" s="1869"/>
      <c r="G47" s="352"/>
      <c r="H47"/>
      <c r="I47"/>
      <c r="J47"/>
      <c r="K47"/>
      <c r="L47"/>
    </row>
    <row r="48" spans="1:12" ht="48" x14ac:dyDescent="0.25">
      <c r="A48" s="245" t="str">
        <f>$B$10</f>
        <v>I.</v>
      </c>
      <c r="B48" s="348">
        <f>COUNT($A$12:B47)+1</f>
        <v>19</v>
      </c>
      <c r="C48" s="349" t="s">
        <v>651</v>
      </c>
      <c r="D48" s="350" t="s">
        <v>69</v>
      </c>
      <c r="E48" s="351">
        <v>470</v>
      </c>
      <c r="F48" s="1869"/>
      <c r="G48" s="352">
        <f>ROUND(F48*E48,2)</f>
        <v>0</v>
      </c>
      <c r="H48"/>
      <c r="I48"/>
      <c r="J48"/>
      <c r="K48"/>
      <c r="L48"/>
    </row>
    <row r="49" spans="1:16" s="260" customFormat="1" ht="11.25" customHeight="1" x14ac:dyDescent="0.25">
      <c r="A49" s="254"/>
      <c r="B49" s="358"/>
      <c r="C49" s="359"/>
      <c r="D49" s="360"/>
      <c r="E49" s="361"/>
      <c r="F49" s="1871"/>
      <c r="G49" s="361"/>
      <c r="H49"/>
      <c r="I49"/>
      <c r="J49"/>
      <c r="K49"/>
      <c r="L49"/>
      <c r="M49" s="258"/>
      <c r="N49" s="259"/>
      <c r="O49" s="250"/>
      <c r="P49" s="251"/>
    </row>
    <row r="50" spans="1:16" s="369" customFormat="1" ht="15.75" thickBot="1" x14ac:dyDescent="0.3">
      <c r="A50" s="362"/>
      <c r="B50" s="363"/>
      <c r="C50" s="364"/>
      <c r="D50" s="365"/>
      <c r="E50" s="366" t="str">
        <f>CONCATENATE(B10," ",C10," - SKUPAJ:")</f>
        <v>I. Odstranjevalna in rušitvena dela - SKUPAJ:</v>
      </c>
      <c r="F50" s="1872"/>
      <c r="G50" s="367">
        <f>ROUND(SUM(G12:G48),2)</f>
        <v>0</v>
      </c>
      <c r="H50"/>
      <c r="I50"/>
      <c r="J50"/>
      <c r="K50"/>
      <c r="L50"/>
    </row>
    <row r="51" spans="1:16" s="246" customFormat="1" x14ac:dyDescent="0.2">
      <c r="A51" s="279"/>
      <c r="B51" s="279"/>
      <c r="C51" s="280"/>
      <c r="D51" s="281"/>
      <c r="E51" s="282"/>
      <c r="F51" s="1874"/>
      <c r="G51" s="281"/>
      <c r="H51" s="262"/>
      <c r="I51" s="215"/>
      <c r="J51" s="263"/>
      <c r="K51" s="263"/>
    </row>
    <row r="52" spans="1:16" s="246" customFormat="1" x14ac:dyDescent="0.2">
      <c r="A52" s="284" t="s">
        <v>26</v>
      </c>
      <c r="B52" s="284"/>
      <c r="C52" s="285" t="s">
        <v>27</v>
      </c>
      <c r="D52" s="286" t="s">
        <v>28</v>
      </c>
      <c r="E52" s="287" t="s">
        <v>29</v>
      </c>
      <c r="F52" s="1875" t="s">
        <v>30</v>
      </c>
      <c r="G52" s="288" t="s">
        <v>31</v>
      </c>
      <c r="H52" s="262"/>
      <c r="I52" s="215"/>
      <c r="J52" s="263"/>
      <c r="K52" s="263"/>
    </row>
    <row r="53" spans="1:16" s="246" customFormat="1" x14ac:dyDescent="0.2">
      <c r="A53" s="279"/>
      <c r="B53" s="279"/>
      <c r="C53" s="289"/>
      <c r="D53" s="276"/>
      <c r="E53" s="277"/>
      <c r="F53" s="1876"/>
      <c r="G53" s="290"/>
      <c r="H53" s="262"/>
      <c r="I53" s="215"/>
      <c r="J53" s="263"/>
      <c r="K53" s="263"/>
    </row>
    <row r="54" spans="1:16" s="246" customFormat="1" ht="16.5" thickBot="1" x14ac:dyDescent="0.25">
      <c r="A54" s="291"/>
      <c r="B54" s="292" t="s">
        <v>77</v>
      </c>
      <c r="C54" s="376" t="s">
        <v>505</v>
      </c>
      <c r="D54" s="293"/>
      <c r="E54" s="294"/>
      <c r="F54" s="1877"/>
      <c r="G54" s="295"/>
      <c r="H54" s="262"/>
      <c r="I54" s="215"/>
      <c r="J54" s="263"/>
      <c r="K54" s="263"/>
    </row>
    <row r="55" spans="1:16" s="246" customFormat="1" ht="9" customHeight="1" x14ac:dyDescent="0.2">
      <c r="A55" s="296"/>
      <c r="B55" s="297"/>
      <c r="C55" s="275"/>
      <c r="D55" s="276"/>
      <c r="E55" s="277"/>
      <c r="F55" s="1876"/>
      <c r="G55" s="278"/>
      <c r="H55" s="262"/>
      <c r="I55" s="215"/>
      <c r="J55" s="263"/>
      <c r="K55" s="263"/>
    </row>
    <row r="56" spans="1:16" s="246" customFormat="1" ht="24" x14ac:dyDescent="0.2">
      <c r="A56" s="380" t="str">
        <f>$B$54</f>
        <v>II.</v>
      </c>
      <c r="B56" s="299">
        <f>1</f>
        <v>1</v>
      </c>
      <c r="C56" s="377" t="s">
        <v>583</v>
      </c>
      <c r="D56" s="301" t="s">
        <v>71</v>
      </c>
      <c r="E56" s="302">
        <v>285</v>
      </c>
      <c r="F56" s="1878"/>
      <c r="G56" s="303">
        <f>ROUND(F56*E56,2)</f>
        <v>0</v>
      </c>
      <c r="H56" s="262"/>
      <c r="I56" s="215"/>
      <c r="J56" s="263"/>
      <c r="K56" s="263"/>
    </row>
    <row r="57" spans="1:16" s="246" customFormat="1" ht="9" customHeight="1" x14ac:dyDescent="0.2">
      <c r="A57" s="298"/>
      <c r="B57" s="299"/>
      <c r="C57" s="377"/>
      <c r="D57" s="301"/>
      <c r="E57" s="302"/>
      <c r="F57" s="1878"/>
      <c r="G57" s="303"/>
      <c r="H57" s="262"/>
      <c r="I57" s="215"/>
      <c r="J57" s="263"/>
      <c r="K57" s="263"/>
    </row>
    <row r="58" spans="1:16" s="246" customFormat="1" ht="36" x14ac:dyDescent="0.2">
      <c r="A58" s="298"/>
      <c r="B58" s="299" t="s">
        <v>521</v>
      </c>
      <c r="C58" s="377" t="s">
        <v>584</v>
      </c>
      <c r="D58" s="301"/>
      <c r="E58" s="302"/>
      <c r="F58" s="1878"/>
      <c r="G58" s="303"/>
      <c r="H58" s="262"/>
      <c r="I58" s="215"/>
      <c r="J58" s="263"/>
      <c r="K58" s="263"/>
    </row>
    <row r="59" spans="1:16" s="246" customFormat="1" x14ac:dyDescent="0.2">
      <c r="A59" s="296"/>
      <c r="B59" s="297"/>
      <c r="C59" s="289"/>
      <c r="D59" s="276"/>
      <c r="E59" s="277"/>
      <c r="F59" s="1876"/>
      <c r="G59" s="277"/>
      <c r="H59" s="262"/>
      <c r="I59" s="215"/>
      <c r="J59" s="263"/>
      <c r="K59" s="263"/>
    </row>
    <row r="60" spans="1:16" s="246" customFormat="1" ht="13.5" thickBot="1" x14ac:dyDescent="0.25">
      <c r="A60" s="309"/>
      <c r="B60" s="310"/>
      <c r="C60" s="311"/>
      <c r="D60" s="312"/>
      <c r="E60" s="313" t="str">
        <f>CONCATENATE(B54," ",C54," - SKUPAJ:")</f>
        <v>II. Zemeljska dela - SKUPAJ:</v>
      </c>
      <c r="F60" s="1879"/>
      <c r="G60" s="314">
        <f>ROUND(SUM(G56),2)</f>
        <v>0</v>
      </c>
      <c r="H60" s="262"/>
      <c r="I60" s="215"/>
      <c r="J60" s="263"/>
      <c r="K60" s="263"/>
    </row>
    <row r="61" spans="1:16" x14ac:dyDescent="0.2">
      <c r="A61" s="279"/>
      <c r="B61" s="279"/>
      <c r="C61" s="280"/>
      <c r="D61" s="281"/>
      <c r="E61" s="282"/>
      <c r="F61" s="1874"/>
      <c r="G61" s="281"/>
    </row>
    <row r="62" spans="1:16" x14ac:dyDescent="0.2">
      <c r="A62" s="284" t="s">
        <v>26</v>
      </c>
      <c r="B62" s="284"/>
      <c r="C62" s="285" t="s">
        <v>27</v>
      </c>
      <c r="D62" s="286" t="s">
        <v>28</v>
      </c>
      <c r="E62" s="287" t="s">
        <v>29</v>
      </c>
      <c r="F62" s="1875" t="s">
        <v>30</v>
      </c>
      <c r="G62" s="288" t="s">
        <v>31</v>
      </c>
    </row>
    <row r="63" spans="1:16" ht="6" customHeight="1" x14ac:dyDescent="0.2">
      <c r="A63" s="279"/>
      <c r="B63" s="279"/>
      <c r="C63" s="289"/>
      <c r="D63" s="276"/>
      <c r="E63" s="277"/>
      <c r="F63" s="1876"/>
      <c r="G63" s="290"/>
    </row>
    <row r="64" spans="1:16" ht="16.5" thickBot="1" x14ac:dyDescent="0.25">
      <c r="A64" s="291"/>
      <c r="B64" s="292" t="s">
        <v>84</v>
      </c>
      <c r="C64" s="376" t="s">
        <v>628</v>
      </c>
      <c r="D64" s="293"/>
      <c r="E64" s="294"/>
      <c r="F64" s="1877"/>
      <c r="G64" s="295"/>
    </row>
    <row r="65" spans="1:7" ht="8.25" customHeight="1" x14ac:dyDescent="0.2">
      <c r="A65" s="296"/>
      <c r="B65" s="297"/>
      <c r="C65" s="289"/>
      <c r="D65" s="276"/>
      <c r="E65" s="277"/>
      <c r="F65" s="1876"/>
      <c r="G65" s="290"/>
    </row>
    <row r="66" spans="1:7" ht="36" x14ac:dyDescent="0.2">
      <c r="A66" s="380" t="str">
        <f>$B$64</f>
        <v>III.</v>
      </c>
      <c r="B66" s="299">
        <f>1</f>
        <v>1</v>
      </c>
      <c r="C66" s="377" t="s">
        <v>652</v>
      </c>
      <c r="D66" s="301" t="s">
        <v>69</v>
      </c>
      <c r="E66" s="302">
        <v>28.5</v>
      </c>
      <c r="F66" s="1878"/>
      <c r="G66" s="303">
        <f>ROUND(F66*E66,2)</f>
        <v>0</v>
      </c>
    </row>
    <row r="67" spans="1:7" ht="7.5" customHeight="1" x14ac:dyDescent="0.2">
      <c r="A67" s="298"/>
      <c r="B67" s="299"/>
      <c r="C67" s="377"/>
      <c r="D67" s="301"/>
      <c r="E67" s="302"/>
      <c r="F67" s="1878"/>
      <c r="G67" s="303"/>
    </row>
    <row r="68" spans="1:7" ht="24" x14ac:dyDescent="0.2">
      <c r="A68" s="380" t="str">
        <f>$A$66</f>
        <v>III.</v>
      </c>
      <c r="B68" s="299">
        <f>COUNT($A$65:B67)+1</f>
        <v>2</v>
      </c>
      <c r="C68" s="300" t="s">
        <v>653</v>
      </c>
      <c r="D68" s="301" t="s">
        <v>69</v>
      </c>
      <c r="E68" s="302">
        <v>21.6</v>
      </c>
      <c r="F68" s="1878"/>
      <c r="G68" s="303">
        <f>ROUND(F68*E68,2)</f>
        <v>0</v>
      </c>
    </row>
    <row r="69" spans="1:7" ht="8.25" customHeight="1" x14ac:dyDescent="0.2">
      <c r="A69" s="380"/>
      <c r="B69" s="299"/>
      <c r="C69" s="300"/>
      <c r="D69" s="301"/>
      <c r="E69" s="302"/>
      <c r="F69" s="1878"/>
      <c r="G69" s="303"/>
    </row>
    <row r="70" spans="1:7" ht="36" x14ac:dyDescent="0.2">
      <c r="A70" s="380" t="str">
        <f t="shared" ref="A70:A94" si="0">$A$66</f>
        <v>III.</v>
      </c>
      <c r="B70" s="299">
        <f>COUNT($A$65:B69)+1</f>
        <v>3</v>
      </c>
      <c r="C70" s="300" t="s">
        <v>654</v>
      </c>
      <c r="D70" s="301" t="s">
        <v>69</v>
      </c>
      <c r="E70" s="302">
        <v>17.399999999999999</v>
      </c>
      <c r="F70" s="1878"/>
      <c r="G70" s="303">
        <f>ROUND(F70*E70,2)</f>
        <v>0</v>
      </c>
    </row>
    <row r="71" spans="1:7" ht="9" customHeight="1" x14ac:dyDescent="0.2">
      <c r="A71" s="380"/>
      <c r="B71" s="299"/>
      <c r="C71" s="300"/>
      <c r="D71" s="301"/>
      <c r="E71" s="302"/>
      <c r="F71" s="1878"/>
      <c r="G71" s="303"/>
    </row>
    <row r="72" spans="1:7" ht="36" x14ac:dyDescent="0.2">
      <c r="A72" s="380" t="str">
        <f t="shared" si="0"/>
        <v>III.</v>
      </c>
      <c r="B72" s="299">
        <f>COUNT($A$65:B71)+1</f>
        <v>4</v>
      </c>
      <c r="C72" s="300" t="s">
        <v>655</v>
      </c>
      <c r="D72" s="301" t="s">
        <v>69</v>
      </c>
      <c r="E72" s="302">
        <v>148</v>
      </c>
      <c r="F72" s="1878"/>
      <c r="G72" s="303">
        <f>ROUND(F72*E72,2)</f>
        <v>0</v>
      </c>
    </row>
    <row r="73" spans="1:7" ht="8.25" customHeight="1" x14ac:dyDescent="0.2">
      <c r="A73" s="380"/>
      <c r="B73" s="299"/>
      <c r="C73" s="300"/>
      <c r="D73" s="301"/>
      <c r="E73" s="302"/>
      <c r="F73" s="1878"/>
      <c r="G73" s="303"/>
    </row>
    <row r="74" spans="1:7" ht="24" x14ac:dyDescent="0.2">
      <c r="A74" s="380" t="str">
        <f t="shared" si="0"/>
        <v>III.</v>
      </c>
      <c r="B74" s="299">
        <f>COUNT($A$65:B73)+1</f>
        <v>5</v>
      </c>
      <c r="C74" s="300" t="s">
        <v>656</v>
      </c>
      <c r="D74" s="301" t="s">
        <v>69</v>
      </c>
      <c r="E74" s="302">
        <v>110</v>
      </c>
      <c r="F74" s="1878"/>
      <c r="G74" s="303">
        <f>ROUND(F74*E74,2)</f>
        <v>0</v>
      </c>
    </row>
    <row r="75" spans="1:7" ht="7.5" customHeight="1" x14ac:dyDescent="0.2">
      <c r="A75" s="380"/>
      <c r="B75" s="299"/>
      <c r="C75" s="300"/>
      <c r="D75" s="301"/>
      <c r="E75" s="302"/>
      <c r="F75" s="1878"/>
      <c r="G75" s="303"/>
    </row>
    <row r="76" spans="1:7" ht="36" x14ac:dyDescent="0.2">
      <c r="A76" s="380" t="str">
        <f t="shared" si="0"/>
        <v>III.</v>
      </c>
      <c r="B76" s="299">
        <f>COUNT($A$65:B75)+1</f>
        <v>6</v>
      </c>
      <c r="C76" s="300" t="s">
        <v>657</v>
      </c>
      <c r="D76" s="301" t="s">
        <v>69</v>
      </c>
      <c r="E76" s="302">
        <v>98.8</v>
      </c>
      <c r="F76" s="1878"/>
      <c r="G76" s="303">
        <f>ROUND(F76*E76,2)</f>
        <v>0</v>
      </c>
    </row>
    <row r="77" spans="1:7" ht="7.5" customHeight="1" x14ac:dyDescent="0.2">
      <c r="A77" s="380"/>
      <c r="B77" s="299"/>
      <c r="C77" s="300"/>
      <c r="D77" s="301"/>
      <c r="E77" s="302"/>
      <c r="F77" s="1878"/>
      <c r="G77" s="303"/>
    </row>
    <row r="78" spans="1:7" ht="36" x14ac:dyDescent="0.2">
      <c r="A78" s="380" t="str">
        <f t="shared" si="0"/>
        <v>III.</v>
      </c>
      <c r="B78" s="299">
        <f>COUNT($A$65:B77)+1</f>
        <v>7</v>
      </c>
      <c r="C78" s="300" t="s">
        <v>658</v>
      </c>
      <c r="D78" s="301" t="s">
        <v>69</v>
      </c>
      <c r="E78" s="302">
        <v>74</v>
      </c>
      <c r="F78" s="1878"/>
      <c r="G78" s="303">
        <f>ROUND(F78*E78,2)</f>
        <v>0</v>
      </c>
    </row>
    <row r="79" spans="1:7" ht="6.75" customHeight="1" x14ac:dyDescent="0.2">
      <c r="A79" s="380"/>
      <c r="B79" s="299"/>
      <c r="C79" s="300"/>
      <c r="D79" s="301"/>
      <c r="E79" s="302"/>
      <c r="F79" s="1878"/>
      <c r="G79" s="303"/>
    </row>
    <row r="80" spans="1:7" ht="24" customHeight="1" x14ac:dyDescent="0.2">
      <c r="A80" s="380" t="str">
        <f t="shared" si="0"/>
        <v>III.</v>
      </c>
      <c r="B80" s="299">
        <f>COUNT($A$65:B79)+1</f>
        <v>8</v>
      </c>
      <c r="C80" s="377" t="s">
        <v>659</v>
      </c>
      <c r="D80" s="301" t="s">
        <v>69</v>
      </c>
      <c r="E80" s="302">
        <v>15.8</v>
      </c>
      <c r="F80" s="1878"/>
      <c r="G80" s="303">
        <f>ROUND(F80*E80,2)</f>
        <v>0</v>
      </c>
    </row>
    <row r="81" spans="1:7" ht="9" customHeight="1" x14ac:dyDescent="0.2">
      <c r="A81" s="380"/>
      <c r="B81" s="299"/>
      <c r="C81" s="300"/>
      <c r="D81" s="301"/>
      <c r="E81" s="302"/>
      <c r="F81" s="1878"/>
      <c r="G81" s="303"/>
    </row>
    <row r="82" spans="1:7" ht="36" x14ac:dyDescent="0.2">
      <c r="A82" s="380" t="str">
        <f t="shared" si="0"/>
        <v>III.</v>
      </c>
      <c r="B82" s="299">
        <f>COUNT($A$65:B81)+1</f>
        <v>9</v>
      </c>
      <c r="C82" s="377" t="s">
        <v>660</v>
      </c>
      <c r="D82" s="301" t="s">
        <v>69</v>
      </c>
      <c r="E82" s="302">
        <v>4.5999999999999996</v>
      </c>
      <c r="F82" s="1878"/>
      <c r="G82" s="303">
        <f>ROUND(F82*E82,2)</f>
        <v>0</v>
      </c>
    </row>
    <row r="83" spans="1:7" ht="8.25" customHeight="1" x14ac:dyDescent="0.2">
      <c r="A83" s="380"/>
      <c r="B83" s="299"/>
      <c r="C83" s="275"/>
      <c r="D83" s="276"/>
      <c r="E83" s="277"/>
      <c r="F83" s="1876"/>
      <c r="G83" s="303"/>
    </row>
    <row r="84" spans="1:7" ht="48" x14ac:dyDescent="0.2">
      <c r="A84" s="380" t="str">
        <f t="shared" si="0"/>
        <v>III.</v>
      </c>
      <c r="B84" s="299">
        <f>COUNT($A$65:B83)+1</f>
        <v>10</v>
      </c>
      <c r="C84" s="300" t="s">
        <v>661</v>
      </c>
      <c r="D84" s="301" t="s">
        <v>69</v>
      </c>
      <c r="E84" s="302">
        <v>1.1000000000000001</v>
      </c>
      <c r="F84" s="1878"/>
      <c r="G84" s="303">
        <f>ROUND(F84*E84,2)</f>
        <v>0</v>
      </c>
    </row>
    <row r="85" spans="1:7" ht="7.5" customHeight="1" x14ac:dyDescent="0.2">
      <c r="A85" s="380"/>
      <c r="B85" s="299"/>
      <c r="C85" s="377"/>
      <c r="D85" s="301"/>
      <c r="E85" s="302"/>
      <c r="F85" s="1878"/>
      <c r="G85" s="303"/>
    </row>
    <row r="86" spans="1:7" ht="107.25" customHeight="1" x14ac:dyDescent="0.2">
      <c r="A86" s="380" t="str">
        <f t="shared" si="0"/>
        <v>III.</v>
      </c>
      <c r="B86" s="299">
        <f>COUNT($A$65:B85)+1</f>
        <v>11</v>
      </c>
      <c r="C86" s="401" t="s">
        <v>662</v>
      </c>
      <c r="D86" s="301" t="s">
        <v>65</v>
      </c>
      <c r="E86" s="302">
        <v>207</v>
      </c>
      <c r="F86" s="1878"/>
      <c r="G86" s="303">
        <f>ROUND(F86*E86,2)</f>
        <v>0</v>
      </c>
    </row>
    <row r="87" spans="1:7" ht="8.25" customHeight="1" x14ac:dyDescent="0.2">
      <c r="A87" s="380"/>
      <c r="B87" s="299"/>
      <c r="C87" s="401"/>
      <c r="D87" s="301"/>
      <c r="E87" s="302"/>
      <c r="F87" s="1878"/>
      <c r="G87" s="303"/>
    </row>
    <row r="88" spans="1:7" ht="36" x14ac:dyDescent="0.2">
      <c r="A88" s="380" t="str">
        <f t="shared" si="0"/>
        <v>III.</v>
      </c>
      <c r="B88" s="299">
        <f>COUNT($A$65:B87)+1</f>
        <v>12</v>
      </c>
      <c r="C88" s="401" t="s">
        <v>663</v>
      </c>
      <c r="D88" s="301" t="s">
        <v>65</v>
      </c>
      <c r="E88" s="302">
        <v>60</v>
      </c>
      <c r="F88" s="1878"/>
      <c r="G88" s="303">
        <f>ROUND(F88*E88,2)</f>
        <v>0</v>
      </c>
    </row>
    <row r="89" spans="1:7" ht="7.5" customHeight="1" x14ac:dyDescent="0.2">
      <c r="A89" s="380"/>
      <c r="B89" s="299"/>
      <c r="C89" s="300"/>
      <c r="D89" s="301"/>
      <c r="E89" s="302"/>
      <c r="F89" s="1878"/>
      <c r="G89" s="303"/>
    </row>
    <row r="90" spans="1:7" ht="24" x14ac:dyDescent="0.2">
      <c r="A90" s="380" t="str">
        <f t="shared" si="0"/>
        <v>III.</v>
      </c>
      <c r="B90" s="299">
        <f>COUNT($A$65:B89)+1</f>
        <v>13</v>
      </c>
      <c r="C90" s="300" t="s">
        <v>664</v>
      </c>
      <c r="D90" s="276"/>
      <c r="E90" s="302"/>
      <c r="F90" s="1876"/>
      <c r="G90" s="303"/>
    </row>
    <row r="91" spans="1:7" x14ac:dyDescent="0.2">
      <c r="A91" s="380"/>
      <c r="B91" s="299"/>
      <c r="C91" s="402" t="s">
        <v>665</v>
      </c>
      <c r="D91" s="301" t="s">
        <v>138</v>
      </c>
      <c r="E91" s="302">
        <v>4327.17</v>
      </c>
      <c r="F91" s="1878"/>
      <c r="G91" s="303">
        <f>ROUND(F91*E91,2)</f>
        <v>0</v>
      </c>
    </row>
    <row r="92" spans="1:7" x14ac:dyDescent="0.2">
      <c r="A92" s="380"/>
      <c r="B92" s="299"/>
      <c r="C92" s="402" t="s">
        <v>666</v>
      </c>
      <c r="D92" s="301" t="s">
        <v>138</v>
      </c>
      <c r="E92" s="302">
        <v>23025.67</v>
      </c>
      <c r="F92" s="1878"/>
      <c r="G92" s="303">
        <f>ROUND(F92*E92,2)</f>
        <v>0</v>
      </c>
    </row>
    <row r="93" spans="1:7" x14ac:dyDescent="0.2">
      <c r="A93" s="380"/>
      <c r="B93" s="299"/>
      <c r="C93" s="402"/>
      <c r="D93" s="383"/>
      <c r="E93" s="383"/>
      <c r="F93" s="1890"/>
      <c r="G93" s="303"/>
    </row>
    <row r="94" spans="1:7" ht="24" x14ac:dyDescent="0.2">
      <c r="A94" s="380" t="str">
        <f t="shared" si="0"/>
        <v>III.</v>
      </c>
      <c r="B94" s="299">
        <f>COUNT($A$65:B93)+1</f>
        <v>14</v>
      </c>
      <c r="C94" s="300" t="s">
        <v>667</v>
      </c>
      <c r="D94" s="301" t="s">
        <v>138</v>
      </c>
      <c r="E94" s="302">
        <v>2494.91</v>
      </c>
      <c r="F94" s="1878"/>
      <c r="G94" s="303">
        <f>ROUND(F94*E94,2)</f>
        <v>0</v>
      </c>
    </row>
    <row r="95" spans="1:7" ht="7.5" customHeight="1" x14ac:dyDescent="0.2">
      <c r="A95" s="296"/>
      <c r="B95" s="297"/>
      <c r="C95" s="289"/>
      <c r="D95" s="276"/>
      <c r="E95" s="277"/>
      <c r="F95" s="1876"/>
      <c r="G95" s="277"/>
    </row>
    <row r="96" spans="1:7" ht="13.5" thickBot="1" x14ac:dyDescent="0.25">
      <c r="A96" s="309"/>
      <c r="B96" s="310"/>
      <c r="C96" s="311"/>
      <c r="D96" s="312"/>
      <c r="E96" s="313" t="str">
        <f>CONCATENATE(B64," ",C64," - SKUPAJ:")</f>
        <v>III. Betonska dela - SKUPAJ:</v>
      </c>
      <c r="F96" s="1879"/>
      <c r="G96" s="314">
        <f>ROUND(SUM(G66:G94),2)</f>
        <v>0</v>
      </c>
    </row>
    <row r="97" spans="1:7" x14ac:dyDescent="0.2">
      <c r="A97" s="279"/>
      <c r="B97" s="279"/>
      <c r="C97" s="280"/>
      <c r="D97" s="281"/>
      <c r="E97" s="282"/>
      <c r="F97" s="1874"/>
      <c r="G97" s="281"/>
    </row>
    <row r="98" spans="1:7" x14ac:dyDescent="0.2">
      <c r="A98" s="274"/>
      <c r="B98" s="274"/>
      <c r="C98" s="283"/>
      <c r="D98" s="281"/>
      <c r="E98" s="282"/>
      <c r="F98" s="1874"/>
      <c r="G98" s="281"/>
    </row>
    <row r="99" spans="1:7" x14ac:dyDescent="0.2">
      <c r="A99" s="284" t="s">
        <v>26</v>
      </c>
      <c r="B99" s="284"/>
      <c r="C99" s="285" t="s">
        <v>27</v>
      </c>
      <c r="D99" s="286" t="s">
        <v>28</v>
      </c>
      <c r="E99" s="287" t="s">
        <v>29</v>
      </c>
      <c r="F99" s="1875" t="s">
        <v>30</v>
      </c>
      <c r="G99" s="288" t="s">
        <v>31</v>
      </c>
    </row>
    <row r="100" spans="1:7" x14ac:dyDescent="0.2">
      <c r="A100" s="279"/>
      <c r="B100" s="279"/>
      <c r="C100" s="289"/>
      <c r="D100" s="276"/>
      <c r="E100" s="277"/>
      <c r="F100" s="1876"/>
      <c r="G100" s="290"/>
    </row>
    <row r="101" spans="1:7" ht="16.5" thickBot="1" x14ac:dyDescent="0.25">
      <c r="A101" s="291"/>
      <c r="B101" s="292" t="s">
        <v>86</v>
      </c>
      <c r="C101" s="376" t="s">
        <v>629</v>
      </c>
      <c r="D101" s="293"/>
      <c r="E101" s="294"/>
      <c r="F101" s="1877"/>
      <c r="G101" s="295"/>
    </row>
    <row r="102" spans="1:7" x14ac:dyDescent="0.2">
      <c r="A102" s="296"/>
      <c r="B102" s="297"/>
      <c r="C102" s="289"/>
      <c r="D102" s="276"/>
      <c r="E102" s="277"/>
      <c r="F102" s="1876"/>
      <c r="G102" s="290"/>
    </row>
    <row r="103" spans="1:7" ht="36" x14ac:dyDescent="0.2">
      <c r="A103" s="380" t="str">
        <f>$B$101</f>
        <v>IV.</v>
      </c>
      <c r="B103" s="299">
        <f>1</f>
        <v>1</v>
      </c>
      <c r="C103" s="300" t="s">
        <v>675</v>
      </c>
      <c r="D103" s="301" t="s">
        <v>71</v>
      </c>
      <c r="E103" s="302">
        <v>205</v>
      </c>
      <c r="F103" s="1878"/>
      <c r="G103" s="303">
        <f>ROUND(E103*F103,2)</f>
        <v>0</v>
      </c>
    </row>
    <row r="104" spans="1:7" x14ac:dyDescent="0.2">
      <c r="A104" s="298"/>
      <c r="B104" s="299"/>
      <c r="C104" s="377"/>
      <c r="D104" s="301"/>
      <c r="E104" s="302"/>
      <c r="F104" s="1878"/>
      <c r="G104" s="303"/>
    </row>
    <row r="105" spans="1:7" ht="36" x14ac:dyDescent="0.2">
      <c r="A105" s="405" t="str">
        <f>A103</f>
        <v>IV.</v>
      </c>
      <c r="B105" s="299">
        <f>COUNT($A$100:B104)+1</f>
        <v>2</v>
      </c>
      <c r="C105" s="377" t="s">
        <v>676</v>
      </c>
      <c r="D105" s="301" t="s">
        <v>71</v>
      </c>
      <c r="E105" s="302">
        <v>34.5</v>
      </c>
      <c r="F105" s="1878"/>
      <c r="G105" s="303">
        <f>ROUND(E105*F105,2)</f>
        <v>0</v>
      </c>
    </row>
    <row r="106" spans="1:7" x14ac:dyDescent="0.2">
      <c r="A106" s="405"/>
      <c r="B106" s="299"/>
      <c r="C106" s="377"/>
      <c r="D106" s="301"/>
      <c r="E106" s="302"/>
      <c r="F106" s="1878"/>
      <c r="G106" s="303"/>
    </row>
    <row r="107" spans="1:7" ht="24" x14ac:dyDescent="0.2">
      <c r="A107" s="405" t="str">
        <f t="shared" ref="A107:A119" si="1">A105</f>
        <v>IV.</v>
      </c>
      <c r="B107" s="299">
        <f>COUNT($A$100:B106)+1</f>
        <v>3</v>
      </c>
      <c r="C107" s="377" t="s">
        <v>677</v>
      </c>
      <c r="D107" s="301" t="s">
        <v>71</v>
      </c>
      <c r="E107" s="302">
        <v>75.5</v>
      </c>
      <c r="F107" s="1878"/>
      <c r="G107" s="303">
        <f>ROUND(E107*F107,2)</f>
        <v>0</v>
      </c>
    </row>
    <row r="108" spans="1:7" x14ac:dyDescent="0.2">
      <c r="A108" s="405"/>
      <c r="B108" s="299"/>
      <c r="C108" s="377"/>
      <c r="D108" s="301"/>
      <c r="E108" s="302"/>
      <c r="F108" s="1878"/>
      <c r="G108" s="303"/>
    </row>
    <row r="109" spans="1:7" ht="36" x14ac:dyDescent="0.2">
      <c r="A109" s="405" t="str">
        <f t="shared" si="1"/>
        <v>IV.</v>
      </c>
      <c r="B109" s="299">
        <f>COUNT($A$100:B108)+1</f>
        <v>4</v>
      </c>
      <c r="C109" s="377" t="s">
        <v>678</v>
      </c>
      <c r="D109" s="301" t="s">
        <v>71</v>
      </c>
      <c r="E109" s="302">
        <v>516</v>
      </c>
      <c r="F109" s="1878"/>
      <c r="G109" s="303">
        <f>ROUND(E109*F109,2)</f>
        <v>0</v>
      </c>
    </row>
    <row r="110" spans="1:7" x14ac:dyDescent="0.2">
      <c r="A110" s="405"/>
      <c r="B110" s="299"/>
      <c r="C110" s="377"/>
      <c r="D110" s="301"/>
      <c r="E110" s="302"/>
      <c r="F110" s="1878"/>
      <c r="G110" s="303"/>
    </row>
    <row r="111" spans="1:7" ht="36" x14ac:dyDescent="0.2">
      <c r="A111" s="405" t="str">
        <f t="shared" si="1"/>
        <v>IV.</v>
      </c>
      <c r="B111" s="299">
        <f>COUNT($A$100:B110)+1</f>
        <v>5</v>
      </c>
      <c r="C111" s="377" t="s">
        <v>679</v>
      </c>
      <c r="D111" s="301" t="s">
        <v>71</v>
      </c>
      <c r="E111" s="302">
        <v>158.5</v>
      </c>
      <c r="F111" s="1878"/>
      <c r="G111" s="303">
        <f>ROUND(E111*F111,2)</f>
        <v>0</v>
      </c>
    </row>
    <row r="112" spans="1:7" x14ac:dyDescent="0.2">
      <c r="A112" s="405"/>
      <c r="B112" s="299"/>
      <c r="C112" s="377"/>
      <c r="D112" s="301"/>
      <c r="E112" s="302"/>
      <c r="F112" s="1878"/>
      <c r="G112" s="303"/>
    </row>
    <row r="113" spans="1:7" ht="24" x14ac:dyDescent="0.2">
      <c r="A113" s="405" t="str">
        <f t="shared" si="1"/>
        <v>IV.</v>
      </c>
      <c r="B113" s="299">
        <f>COUNT($A$100:B112)+1</f>
        <v>6</v>
      </c>
      <c r="C113" s="377" t="s">
        <v>680</v>
      </c>
      <c r="D113" s="301" t="s">
        <v>71</v>
      </c>
      <c r="E113" s="302">
        <v>16.600000000000001</v>
      </c>
      <c r="F113" s="1878"/>
      <c r="G113" s="303">
        <f>ROUND(E113*F113,2)</f>
        <v>0</v>
      </c>
    </row>
    <row r="114" spans="1:7" ht="12" customHeight="1" x14ac:dyDescent="0.2">
      <c r="A114" s="405"/>
      <c r="B114" s="299"/>
      <c r="C114" s="377"/>
      <c r="D114" s="301"/>
      <c r="E114" s="302"/>
      <c r="F114" s="1878"/>
      <c r="G114" s="303"/>
    </row>
    <row r="115" spans="1:7" ht="36" x14ac:dyDescent="0.2">
      <c r="A115" s="405" t="str">
        <f t="shared" si="1"/>
        <v>IV.</v>
      </c>
      <c r="B115" s="299">
        <f>COUNT($A$100:B114)+1</f>
        <v>7</v>
      </c>
      <c r="C115" s="403" t="s">
        <v>681</v>
      </c>
      <c r="D115" s="301" t="s">
        <v>65</v>
      </c>
      <c r="E115" s="302">
        <v>45.5</v>
      </c>
      <c r="F115" s="1878"/>
      <c r="G115" s="303">
        <f>ROUND(E115*F115,2)</f>
        <v>0</v>
      </c>
    </row>
    <row r="116" spans="1:7" ht="9.75" customHeight="1" x14ac:dyDescent="0.2">
      <c r="A116" s="405"/>
      <c r="B116" s="299"/>
      <c r="C116" s="377"/>
      <c r="D116" s="301"/>
      <c r="E116" s="302"/>
      <c r="F116" s="1878"/>
      <c r="G116" s="303"/>
    </row>
    <row r="117" spans="1:7" ht="48" x14ac:dyDescent="0.2">
      <c r="A117" s="405" t="str">
        <f t="shared" si="1"/>
        <v>IV.</v>
      </c>
      <c r="B117" s="299">
        <f>COUNT($A$100:B116)+1</f>
        <v>8</v>
      </c>
      <c r="C117" s="300" t="s">
        <v>682</v>
      </c>
      <c r="D117" s="301" t="s">
        <v>71</v>
      </c>
      <c r="E117" s="302">
        <v>8.4</v>
      </c>
      <c r="F117" s="1878"/>
      <c r="G117" s="303">
        <f>ROUND(E117*F117,2)</f>
        <v>0</v>
      </c>
    </row>
    <row r="118" spans="1:7" ht="9" customHeight="1" x14ac:dyDescent="0.2">
      <c r="A118" s="405"/>
      <c r="B118" s="299"/>
      <c r="C118" s="377"/>
      <c r="D118" s="301"/>
      <c r="E118" s="302"/>
      <c r="F118" s="1878"/>
      <c r="G118" s="303"/>
    </row>
    <row r="119" spans="1:7" ht="48" x14ac:dyDescent="0.2">
      <c r="A119" s="405" t="str">
        <f t="shared" si="1"/>
        <v>IV.</v>
      </c>
      <c r="B119" s="299">
        <f>COUNT($A$100:B118)+1</f>
        <v>9</v>
      </c>
      <c r="C119" s="377" t="s">
        <v>683</v>
      </c>
      <c r="D119" s="301"/>
      <c r="E119" s="302"/>
      <c r="F119" s="1878"/>
      <c r="G119" s="303"/>
    </row>
    <row r="120" spans="1:7" x14ac:dyDescent="0.2">
      <c r="A120" s="405"/>
      <c r="B120" s="299"/>
      <c r="C120" s="307" t="s">
        <v>684</v>
      </c>
      <c r="D120" s="301" t="s">
        <v>39</v>
      </c>
      <c r="E120" s="302">
        <v>2</v>
      </c>
      <c r="F120" s="1878"/>
      <c r="G120" s="303">
        <f>ROUND(E120*F120,2)</f>
        <v>0</v>
      </c>
    </row>
    <row r="121" spans="1:7" ht="6" customHeight="1" x14ac:dyDescent="0.2">
      <c r="A121" s="380"/>
      <c r="B121" s="299"/>
      <c r="C121" s="377"/>
      <c r="D121" s="301"/>
      <c r="E121" s="302"/>
      <c r="F121" s="1878"/>
      <c r="G121" s="303"/>
    </row>
    <row r="122" spans="1:7" ht="48" x14ac:dyDescent="0.2">
      <c r="A122" s="298" t="s">
        <v>86</v>
      </c>
      <c r="B122" s="299">
        <f>COUNT($A$100:B121)+1</f>
        <v>10</v>
      </c>
      <c r="C122" s="377" t="s">
        <v>685</v>
      </c>
      <c r="D122" s="301"/>
      <c r="E122" s="302"/>
      <c r="F122" s="1878"/>
      <c r="G122" s="303"/>
    </row>
    <row r="123" spans="1:7" x14ac:dyDescent="0.2">
      <c r="A123" s="298"/>
      <c r="B123" s="304" t="s">
        <v>521</v>
      </c>
      <c r="C123" s="307" t="s">
        <v>684</v>
      </c>
      <c r="D123" s="301" t="s">
        <v>39</v>
      </c>
      <c r="E123" s="302">
        <v>2</v>
      </c>
      <c r="F123" s="1878"/>
      <c r="G123" s="303">
        <f>ROUND(E123*F123,2)</f>
        <v>0</v>
      </c>
    </row>
    <row r="124" spans="1:7" x14ac:dyDescent="0.2">
      <c r="A124" s="298"/>
      <c r="B124" s="304" t="s">
        <v>521</v>
      </c>
      <c r="C124" s="307" t="s">
        <v>686</v>
      </c>
      <c r="D124" s="301" t="s">
        <v>39</v>
      </c>
      <c r="E124" s="302">
        <v>2</v>
      </c>
      <c r="F124" s="1878"/>
      <c r="G124" s="303">
        <f>ROUND(E124*F124,2)</f>
        <v>0</v>
      </c>
    </row>
    <row r="125" spans="1:7" x14ac:dyDescent="0.2">
      <c r="A125" s="298"/>
      <c r="B125" s="304" t="s">
        <v>521</v>
      </c>
      <c r="C125" s="307" t="s">
        <v>687</v>
      </c>
      <c r="D125" s="301" t="s">
        <v>39</v>
      </c>
      <c r="E125" s="302">
        <v>2</v>
      </c>
      <c r="F125" s="1878"/>
      <c r="G125" s="303">
        <f>ROUND(E125*F125,2)</f>
        <v>0</v>
      </c>
    </row>
    <row r="126" spans="1:7" ht="6.75" customHeight="1" x14ac:dyDescent="0.2">
      <c r="A126" s="296"/>
      <c r="B126" s="297"/>
      <c r="C126" s="404"/>
      <c r="D126" s="301"/>
      <c r="E126" s="302"/>
      <c r="F126" s="1878"/>
      <c r="G126" s="303"/>
    </row>
    <row r="127" spans="1:7" ht="13.5" thickBot="1" x14ac:dyDescent="0.25">
      <c r="A127" s="309"/>
      <c r="B127" s="310"/>
      <c r="C127" s="311"/>
      <c r="D127" s="312"/>
      <c r="E127" s="313" t="str">
        <f>CONCATENATE(B101," ",C101," - SKUPAJ:")</f>
        <v>IV. Tesarska dela - SKUPAJ:</v>
      </c>
      <c r="F127" s="1879"/>
      <c r="G127" s="314">
        <f>ROUND(SUM(G103:G125),2)</f>
        <v>0</v>
      </c>
    </row>
    <row r="128" spans="1:7" ht="13.5" customHeight="1" x14ac:dyDescent="0.2">
      <c r="A128" s="406"/>
      <c r="B128" s="407"/>
      <c r="C128" s="408"/>
      <c r="D128" s="409"/>
      <c r="E128" s="410"/>
      <c r="F128" s="1891"/>
      <c r="G128" s="411"/>
    </row>
    <row r="129" spans="1:7" x14ac:dyDescent="0.2">
      <c r="A129" s="274" t="s">
        <v>63</v>
      </c>
      <c r="B129" s="274"/>
      <c r="C129" s="283"/>
      <c r="D129" s="281"/>
      <c r="E129" s="282"/>
      <c r="F129" s="1874"/>
      <c r="G129" s="281"/>
    </row>
    <row r="130" spans="1:7" x14ac:dyDescent="0.2">
      <c r="A130" s="284" t="s">
        <v>26</v>
      </c>
      <c r="B130" s="284"/>
      <c r="C130" s="285" t="s">
        <v>27</v>
      </c>
      <c r="D130" s="286" t="s">
        <v>28</v>
      </c>
      <c r="E130" s="287" t="s">
        <v>29</v>
      </c>
      <c r="F130" s="1875" t="s">
        <v>30</v>
      </c>
      <c r="G130" s="288" t="s">
        <v>31</v>
      </c>
    </row>
    <row r="131" spans="1:7" x14ac:dyDescent="0.2">
      <c r="A131" s="279"/>
      <c r="B131" s="279"/>
      <c r="C131" s="289"/>
      <c r="D131" s="276"/>
      <c r="E131" s="277"/>
      <c r="F131" s="1876"/>
      <c r="G131" s="290"/>
    </row>
    <row r="132" spans="1:7" ht="16.5" thickBot="1" x14ac:dyDescent="0.25">
      <c r="A132" s="291"/>
      <c r="B132" s="292" t="s">
        <v>88</v>
      </c>
      <c r="C132" s="376" t="s">
        <v>630</v>
      </c>
      <c r="D132" s="293"/>
      <c r="E132" s="294"/>
      <c r="F132" s="1877"/>
      <c r="G132" s="295"/>
    </row>
    <row r="133" spans="1:7" ht="9" customHeight="1" x14ac:dyDescent="0.2">
      <c r="A133" s="296"/>
      <c r="B133" s="297"/>
      <c r="C133" s="289"/>
      <c r="D133" s="276"/>
      <c r="E133" s="277"/>
      <c r="F133" s="1876"/>
      <c r="G133" s="290"/>
    </row>
    <row r="134" spans="1:7" ht="36" x14ac:dyDescent="0.2">
      <c r="A134" s="380" t="str">
        <f>$B$132</f>
        <v>V.</v>
      </c>
      <c r="B134" s="299">
        <f>1</f>
        <v>1</v>
      </c>
      <c r="C134" s="300" t="s">
        <v>688</v>
      </c>
      <c r="D134" s="301" t="s">
        <v>71</v>
      </c>
      <c r="E134" s="302">
        <v>25.6</v>
      </c>
      <c r="F134" s="1878"/>
      <c r="G134" s="303">
        <f>ROUND(E134*F134,2)</f>
        <v>0</v>
      </c>
    </row>
    <row r="135" spans="1:7" x14ac:dyDescent="0.2">
      <c r="A135" s="296"/>
      <c r="B135" s="297"/>
      <c r="C135" s="404"/>
      <c r="D135" s="301"/>
      <c r="E135" s="302"/>
      <c r="F135" s="1878"/>
      <c r="G135" s="303"/>
    </row>
    <row r="136" spans="1:7" ht="13.5" thickBot="1" x14ac:dyDescent="0.25">
      <c r="A136" s="309"/>
      <c r="B136" s="310"/>
      <c r="C136" s="311"/>
      <c r="D136" s="312"/>
      <c r="E136" s="313" t="str">
        <f>CONCATENATE(B132," ",C132," - SKUPAJ:")</f>
        <v>V. Zidarska dela - SKUPAJ:</v>
      </c>
      <c r="F136" s="1879"/>
      <c r="G136" s="314">
        <f>ROUND(SUM(G134),2)</f>
        <v>0</v>
      </c>
    </row>
    <row r="138" spans="1:7" ht="18" x14ac:dyDescent="0.2">
      <c r="A138" s="270" t="s">
        <v>24</v>
      </c>
      <c r="B138" s="271"/>
      <c r="C138" s="272" t="s">
        <v>617</v>
      </c>
    </row>
    <row r="140" spans="1:7" x14ac:dyDescent="0.2">
      <c r="A140" s="284" t="s">
        <v>26</v>
      </c>
      <c r="B140" s="284"/>
      <c r="C140" s="285" t="s">
        <v>27</v>
      </c>
      <c r="D140" s="387" t="s">
        <v>28</v>
      </c>
      <c r="E140" s="287" t="s">
        <v>29</v>
      </c>
      <c r="F140" s="1883" t="s">
        <v>30</v>
      </c>
      <c r="G140" s="287" t="s">
        <v>31</v>
      </c>
    </row>
    <row r="141" spans="1:7" ht="8.25" customHeight="1" x14ac:dyDescent="0.2">
      <c r="A141" s="279"/>
      <c r="B141" s="279"/>
      <c r="C141" s="289"/>
      <c r="D141" s="384"/>
      <c r="E141" s="277"/>
      <c r="F141" s="1881"/>
      <c r="G141" s="277"/>
    </row>
    <row r="142" spans="1:7" ht="16.5" thickBot="1" x14ac:dyDescent="0.25">
      <c r="A142" s="291"/>
      <c r="B142" s="292" t="s">
        <v>20</v>
      </c>
      <c r="C142" s="376" t="s">
        <v>631</v>
      </c>
      <c r="D142" s="388"/>
      <c r="E142" s="294"/>
      <c r="F142" s="1884"/>
      <c r="G142" s="294"/>
    </row>
    <row r="143" spans="1:7" ht="9.75" customHeight="1" x14ac:dyDescent="0.2">
      <c r="A143" s="296"/>
      <c r="B143" s="297"/>
      <c r="C143" s="289"/>
      <c r="D143" s="384"/>
      <c r="E143" s="277"/>
      <c r="F143" s="1881"/>
      <c r="G143" s="277"/>
    </row>
    <row r="144" spans="1:7" ht="48" customHeight="1" x14ac:dyDescent="0.2">
      <c r="A144" s="380" t="str">
        <f>$B$142</f>
        <v>I.</v>
      </c>
      <c r="B144" s="299">
        <v>1</v>
      </c>
      <c r="C144" s="300" t="s">
        <v>689</v>
      </c>
      <c r="D144" s="301" t="s">
        <v>71</v>
      </c>
      <c r="E144" s="302">
        <v>26.2</v>
      </c>
      <c r="F144" s="1878"/>
      <c r="G144" s="303">
        <f>ROUND(E144*F144,2)</f>
        <v>0</v>
      </c>
    </row>
    <row r="145" spans="1:7" ht="6.75" customHeight="1" x14ac:dyDescent="0.2">
      <c r="A145" s="380"/>
      <c r="B145" s="299"/>
      <c r="C145" s="402"/>
      <c r="D145" s="301"/>
      <c r="E145" s="302"/>
      <c r="F145" s="1878"/>
      <c r="G145" s="303"/>
    </row>
    <row r="146" spans="1:7" ht="48" x14ac:dyDescent="0.2">
      <c r="A146" s="380" t="str">
        <f t="shared" ref="A146:A158" si="2">$B$142</f>
        <v>I.</v>
      </c>
      <c r="B146" s="299">
        <f>COUNT($A$143:B144)+1</f>
        <v>2</v>
      </c>
      <c r="C146" s="300" t="s">
        <v>690</v>
      </c>
      <c r="D146" s="301" t="s">
        <v>71</v>
      </c>
      <c r="E146" s="302">
        <v>24</v>
      </c>
      <c r="F146" s="1878"/>
      <c r="G146" s="303">
        <f>ROUND(E146*F146,2)</f>
        <v>0</v>
      </c>
    </row>
    <row r="147" spans="1:7" ht="7.5" customHeight="1" x14ac:dyDescent="0.2">
      <c r="A147" s="380"/>
      <c r="B147" s="299"/>
      <c r="C147" s="412"/>
      <c r="D147" s="301"/>
      <c r="E147" s="302"/>
      <c r="F147" s="1878"/>
      <c r="G147" s="303"/>
    </row>
    <row r="148" spans="1:7" ht="71.25" customHeight="1" x14ac:dyDescent="0.2">
      <c r="A148" s="380" t="str">
        <f t="shared" si="2"/>
        <v>I.</v>
      </c>
      <c r="B148" s="299">
        <f>COUNT($A$143:B146)+1</f>
        <v>3</v>
      </c>
      <c r="C148" s="413" t="s">
        <v>1619</v>
      </c>
      <c r="D148" s="301" t="s">
        <v>71</v>
      </c>
      <c r="E148" s="302">
        <v>24</v>
      </c>
      <c r="F148" s="1878"/>
      <c r="G148" s="303">
        <f>ROUND(E148*F148,2)</f>
        <v>0</v>
      </c>
    </row>
    <row r="149" spans="1:7" ht="9" customHeight="1" x14ac:dyDescent="0.2">
      <c r="A149" s="380"/>
      <c r="B149" s="299"/>
      <c r="C149" s="300"/>
      <c r="D149" s="414"/>
      <c r="E149" s="414"/>
      <c r="F149" s="1892"/>
      <c r="G149" s="303"/>
    </row>
    <row r="150" spans="1:7" ht="84" x14ac:dyDescent="0.2">
      <c r="A150" s="380" t="str">
        <f t="shared" si="2"/>
        <v>I.</v>
      </c>
      <c r="B150" s="299">
        <f>COUNT($A$143:B148)+1</f>
        <v>4</v>
      </c>
      <c r="C150" s="377" t="s">
        <v>691</v>
      </c>
      <c r="D150" s="301" t="s">
        <v>65</v>
      </c>
      <c r="E150" s="302">
        <v>8</v>
      </c>
      <c r="F150" s="1878"/>
      <c r="G150" s="303">
        <f>ROUND(E150*F150,2)</f>
        <v>0</v>
      </c>
    </row>
    <row r="151" spans="1:7" ht="7.5" customHeight="1" x14ac:dyDescent="0.2">
      <c r="A151" s="380"/>
      <c r="B151" s="299"/>
      <c r="C151" s="300"/>
      <c r="D151" s="301"/>
      <c r="E151" s="302"/>
      <c r="F151" s="1878"/>
      <c r="G151" s="303"/>
    </row>
    <row r="152" spans="1:7" ht="70.5" customHeight="1" x14ac:dyDescent="0.2">
      <c r="A152" s="380" t="str">
        <f t="shared" si="2"/>
        <v>I.</v>
      </c>
      <c r="B152" s="299">
        <f>COUNT($A$143:B150)+1</f>
        <v>5</v>
      </c>
      <c r="C152" s="377" t="s">
        <v>692</v>
      </c>
      <c r="D152" s="301" t="s">
        <v>65</v>
      </c>
      <c r="E152" s="302">
        <v>6</v>
      </c>
      <c r="F152" s="1878"/>
      <c r="G152" s="303">
        <f>ROUND(E152*F152,2)</f>
        <v>0</v>
      </c>
    </row>
    <row r="153" spans="1:7" x14ac:dyDescent="0.2">
      <c r="A153" s="380"/>
      <c r="B153" s="299"/>
      <c r="C153" s="415"/>
      <c r="D153" s="301"/>
      <c r="E153" s="302"/>
      <c r="F153" s="1878"/>
      <c r="G153" s="303"/>
    </row>
    <row r="154" spans="1:7" ht="72" customHeight="1" x14ac:dyDescent="0.2">
      <c r="A154" s="380" t="str">
        <f t="shared" si="2"/>
        <v>I.</v>
      </c>
      <c r="B154" s="299">
        <f>COUNT($A$143:B152)+1</f>
        <v>6</v>
      </c>
      <c r="C154" s="415" t="s">
        <v>693</v>
      </c>
      <c r="D154" s="302" t="s">
        <v>65</v>
      </c>
      <c r="E154" s="302">
        <v>8</v>
      </c>
      <c r="F154" s="1878"/>
      <c r="G154" s="303">
        <f>ROUND(E154*F154,2)</f>
        <v>0</v>
      </c>
    </row>
    <row r="155" spans="1:7" ht="9.75" customHeight="1" x14ac:dyDescent="0.2">
      <c r="A155" s="380"/>
      <c r="B155" s="299"/>
      <c r="C155" s="415"/>
      <c r="D155" s="302"/>
      <c r="E155" s="302"/>
      <c r="F155" s="1878"/>
      <c r="G155" s="303"/>
    </row>
    <row r="156" spans="1:7" ht="81.75" customHeight="1" x14ac:dyDescent="0.2">
      <c r="A156" s="380" t="str">
        <f t="shared" si="2"/>
        <v>I.</v>
      </c>
      <c r="B156" s="299">
        <f>COUNT($A$143:B154)+1</f>
        <v>7</v>
      </c>
      <c r="C156" s="415" t="s">
        <v>694</v>
      </c>
      <c r="D156" s="302" t="s">
        <v>65</v>
      </c>
      <c r="E156" s="302">
        <v>8</v>
      </c>
      <c r="F156" s="1878"/>
      <c r="G156" s="303">
        <f>ROUND(E156*F156,2)</f>
        <v>0</v>
      </c>
    </row>
    <row r="157" spans="1:7" ht="7.5" customHeight="1" x14ac:dyDescent="0.2">
      <c r="A157" s="380"/>
      <c r="B157" s="299"/>
      <c r="C157" s="415"/>
      <c r="D157" s="301"/>
      <c r="E157" s="302"/>
      <c r="F157" s="1878"/>
      <c r="G157" s="303"/>
    </row>
    <row r="158" spans="1:7" ht="84" x14ac:dyDescent="0.2">
      <c r="A158" s="380" t="str">
        <f t="shared" si="2"/>
        <v>I.</v>
      </c>
      <c r="B158" s="299">
        <f>COUNT($A$143:B156)+1</f>
        <v>8</v>
      </c>
      <c r="C158" s="416" t="s">
        <v>695</v>
      </c>
      <c r="D158" s="301" t="s">
        <v>65</v>
      </c>
      <c r="E158" s="302">
        <v>6</v>
      </c>
      <c r="F158" s="1878"/>
      <c r="G158" s="303">
        <f>ROUND(E158*F158,2)</f>
        <v>0</v>
      </c>
    </row>
    <row r="159" spans="1:7" ht="7.5" customHeight="1" x14ac:dyDescent="0.2">
      <c r="A159" s="298"/>
      <c r="B159" s="299"/>
      <c r="C159" s="389"/>
      <c r="D159" s="390"/>
      <c r="E159" s="390"/>
      <c r="F159" s="1885"/>
      <c r="G159" s="303"/>
    </row>
    <row r="160" spans="1:7" ht="13.5" thickBot="1" x14ac:dyDescent="0.25">
      <c r="A160" s="391"/>
      <c r="B160" s="392"/>
      <c r="C160" s="393"/>
      <c r="D160" s="394"/>
      <c r="E160" s="313" t="str">
        <f>CONCATENATE(B142," ",C142," - SKUPAJ:")</f>
        <v>I. Krovskokleparska dela - SKUPAJ:</v>
      </c>
      <c r="F160" s="1886"/>
      <c r="G160" s="314">
        <f>ROUND(SUM(G144:G158),2)</f>
        <v>0</v>
      </c>
    </row>
    <row r="161" spans="1:7" x14ac:dyDescent="0.2">
      <c r="A161" s="279"/>
      <c r="B161" s="279"/>
      <c r="C161" s="417"/>
      <c r="D161" s="282"/>
      <c r="E161" s="282"/>
      <c r="F161" s="1882"/>
      <c r="G161" s="282"/>
    </row>
    <row r="162" spans="1:7" x14ac:dyDescent="0.2">
      <c r="A162" s="274"/>
      <c r="B162" s="274"/>
      <c r="C162" s="275"/>
      <c r="D162" s="282"/>
      <c r="E162" s="282"/>
      <c r="F162" s="1882"/>
      <c r="G162" s="282"/>
    </row>
    <row r="163" spans="1:7" x14ac:dyDescent="0.2">
      <c r="A163" s="284" t="s">
        <v>26</v>
      </c>
      <c r="B163" s="284"/>
      <c r="C163" s="285" t="s">
        <v>27</v>
      </c>
      <c r="D163" s="387" t="s">
        <v>28</v>
      </c>
      <c r="E163" s="287" t="s">
        <v>29</v>
      </c>
      <c r="F163" s="1883" t="s">
        <v>30</v>
      </c>
      <c r="G163" s="287" t="s">
        <v>31</v>
      </c>
    </row>
    <row r="164" spans="1:7" x14ac:dyDescent="0.2">
      <c r="A164" s="279"/>
      <c r="B164" s="279"/>
      <c r="C164" s="289"/>
      <c r="D164" s="384"/>
      <c r="E164" s="277"/>
      <c r="F164" s="1881"/>
      <c r="G164" s="277"/>
    </row>
    <row r="165" spans="1:7" ht="16.5" thickBot="1" x14ac:dyDescent="0.25">
      <c r="A165" s="291"/>
      <c r="B165" s="292" t="s">
        <v>77</v>
      </c>
      <c r="C165" s="376" t="s">
        <v>632</v>
      </c>
      <c r="D165" s="388"/>
      <c r="E165" s="294"/>
      <c r="F165" s="1884"/>
      <c r="G165" s="294"/>
    </row>
    <row r="166" spans="1:7" x14ac:dyDescent="0.2">
      <c r="A166" s="296"/>
      <c r="B166" s="297"/>
      <c r="C166" s="289"/>
      <c r="D166" s="384"/>
      <c r="E166" s="277"/>
      <c r="F166" s="1881"/>
      <c r="G166" s="277"/>
    </row>
    <row r="167" spans="1:7" ht="108" x14ac:dyDescent="0.2">
      <c r="A167" s="380" t="str">
        <f>$B$165</f>
        <v>II.</v>
      </c>
      <c r="B167" s="299">
        <v>1</v>
      </c>
      <c r="C167" s="378" t="s">
        <v>710</v>
      </c>
      <c r="D167" s="302" t="s">
        <v>138</v>
      </c>
      <c r="E167" s="302">
        <v>500</v>
      </c>
      <c r="F167" s="1878"/>
      <c r="G167" s="303">
        <f>ROUND(E167*F167,2)</f>
        <v>0</v>
      </c>
    </row>
    <row r="168" spans="1:7" ht="8.25" customHeight="1" x14ac:dyDescent="0.2">
      <c r="A168" s="380"/>
      <c r="B168" s="299"/>
      <c r="C168" s="418"/>
      <c r="D168" s="302"/>
      <c r="E168" s="302"/>
      <c r="F168" s="1878"/>
      <c r="G168" s="303"/>
    </row>
    <row r="169" spans="1:7" ht="48" x14ac:dyDescent="0.2">
      <c r="A169" s="380" t="str">
        <f t="shared" ref="A169:A179" si="3">$B$165</f>
        <v>II.</v>
      </c>
      <c r="B169" s="299">
        <f>COUNT($A$166:B168)+1</f>
        <v>2</v>
      </c>
      <c r="C169" s="377" t="s">
        <v>711</v>
      </c>
      <c r="D169" s="302" t="s">
        <v>71</v>
      </c>
      <c r="E169" s="302">
        <v>5.8</v>
      </c>
      <c r="F169" s="1878"/>
      <c r="G169" s="303">
        <f>ROUND(E169*F169,2)</f>
        <v>0</v>
      </c>
    </row>
    <row r="170" spans="1:7" ht="7.5" customHeight="1" x14ac:dyDescent="0.2">
      <c r="A170" s="380"/>
      <c r="B170" s="299"/>
      <c r="C170" s="418"/>
      <c r="D170" s="302"/>
      <c r="E170" s="302"/>
      <c r="F170" s="1878"/>
      <c r="G170" s="303"/>
    </row>
    <row r="171" spans="1:7" ht="115.5" customHeight="1" x14ac:dyDescent="0.2">
      <c r="A171" s="380" t="str">
        <f t="shared" si="3"/>
        <v>II.</v>
      </c>
      <c r="B171" s="299">
        <f>COUNT($A$166:B170)+1</f>
        <v>3</v>
      </c>
      <c r="C171" s="418" t="s">
        <v>712</v>
      </c>
      <c r="D171" s="302" t="s">
        <v>65</v>
      </c>
      <c r="E171" s="302">
        <v>22.5</v>
      </c>
      <c r="F171" s="1878"/>
      <c r="G171" s="303">
        <f>ROUND(E171*F171,2)</f>
        <v>0</v>
      </c>
    </row>
    <row r="172" spans="1:7" ht="6" customHeight="1" x14ac:dyDescent="0.2">
      <c r="A172" s="380"/>
      <c r="B172" s="299"/>
      <c r="C172" s="414"/>
      <c r="D172" s="414"/>
      <c r="E172" s="414"/>
      <c r="F172" s="1892"/>
      <c r="G172" s="303"/>
    </row>
    <row r="173" spans="1:7" ht="72" customHeight="1" x14ac:dyDescent="0.2">
      <c r="A173" s="380" t="str">
        <f t="shared" si="3"/>
        <v>II.</v>
      </c>
      <c r="B173" s="299">
        <f>COUNT($A$166:B172)+1</f>
        <v>4</v>
      </c>
      <c r="C173" s="419" t="s">
        <v>713</v>
      </c>
      <c r="D173" s="302" t="s">
        <v>65</v>
      </c>
      <c r="E173" s="302">
        <v>60</v>
      </c>
      <c r="F173" s="1878"/>
      <c r="G173" s="303">
        <f>ROUND(E173*F173,2)</f>
        <v>0</v>
      </c>
    </row>
    <row r="174" spans="1:7" ht="6.75" customHeight="1" x14ac:dyDescent="0.2">
      <c r="A174" s="380"/>
      <c r="B174" s="299"/>
      <c r="C174" s="418"/>
      <c r="D174" s="302"/>
      <c r="E174" s="302"/>
      <c r="F174" s="1878"/>
      <c r="G174" s="303"/>
    </row>
    <row r="175" spans="1:7" ht="129.75" customHeight="1" x14ac:dyDescent="0.2">
      <c r="A175" s="380" t="str">
        <f t="shared" si="3"/>
        <v>II.</v>
      </c>
      <c r="B175" s="299">
        <f>COUNT($A$166:B174)+1</f>
        <v>5</v>
      </c>
      <c r="C175" s="418" t="s">
        <v>714</v>
      </c>
      <c r="D175" s="302" t="s">
        <v>65</v>
      </c>
      <c r="E175" s="302">
        <v>3.6</v>
      </c>
      <c r="F175" s="1878"/>
      <c r="G175" s="303">
        <f>ROUND(E175*F175,2)</f>
        <v>0</v>
      </c>
    </row>
    <row r="176" spans="1:7" ht="9" customHeight="1" x14ac:dyDescent="0.2">
      <c r="A176" s="380"/>
      <c r="B176" s="299"/>
      <c r="C176" s="414"/>
      <c r="D176" s="414"/>
      <c r="E176" s="414"/>
      <c r="F176" s="1892"/>
      <c r="G176" s="303"/>
    </row>
    <row r="177" spans="1:7" ht="48" x14ac:dyDescent="0.2">
      <c r="A177" s="380" t="str">
        <f t="shared" si="3"/>
        <v>II.</v>
      </c>
      <c r="B177" s="299">
        <f>COUNT($A$166:B176)+1</f>
        <v>6</v>
      </c>
      <c r="C177" s="420" t="s">
        <v>715</v>
      </c>
      <c r="D177" s="302" t="s">
        <v>39</v>
      </c>
      <c r="E177" s="302">
        <v>1</v>
      </c>
      <c r="F177" s="1878"/>
      <c r="G177" s="303">
        <f>ROUND(E177*F177,2)</f>
        <v>0</v>
      </c>
    </row>
    <row r="178" spans="1:7" ht="5.25" customHeight="1" x14ac:dyDescent="0.2">
      <c r="A178" s="380"/>
      <c r="B178" s="299"/>
      <c r="C178" s="418"/>
      <c r="D178" s="302"/>
      <c r="E178" s="302"/>
      <c r="F178" s="1878"/>
      <c r="G178" s="303"/>
    </row>
    <row r="179" spans="1:7" ht="72" x14ac:dyDescent="0.2">
      <c r="A179" s="380" t="str">
        <f t="shared" si="3"/>
        <v>II.</v>
      </c>
      <c r="B179" s="299">
        <f>COUNT($A$166:B178)+1</f>
        <v>7</v>
      </c>
      <c r="C179" s="418" t="s">
        <v>716</v>
      </c>
      <c r="D179" s="302" t="s">
        <v>39</v>
      </c>
      <c r="E179" s="302">
        <v>1</v>
      </c>
      <c r="F179" s="1878"/>
      <c r="G179" s="303">
        <f>ROUND(E179*F179,2)</f>
        <v>0</v>
      </c>
    </row>
    <row r="180" spans="1:7" ht="6.75" customHeight="1" x14ac:dyDescent="0.2">
      <c r="A180" s="298"/>
      <c r="B180" s="299"/>
      <c r="C180" s="421"/>
      <c r="D180" s="414"/>
      <c r="E180" s="414"/>
      <c r="F180" s="1892"/>
      <c r="G180" s="1354"/>
    </row>
    <row r="181" spans="1:7" ht="13.5" thickBot="1" x14ac:dyDescent="0.25">
      <c r="A181" s="391"/>
      <c r="B181" s="392"/>
      <c r="C181" s="393"/>
      <c r="D181" s="394"/>
      <c r="E181" s="313" t="str">
        <f>CONCATENATE(B165," ",C165," - SKUPAJ:")</f>
        <v>II. Ključavničarska dela - SKUPAJ:</v>
      </c>
      <c r="F181" s="1886"/>
      <c r="G181" s="314">
        <f>ROUND(SUM(G167:G179),2)</f>
        <v>0</v>
      </c>
    </row>
    <row r="182" spans="1:7" x14ac:dyDescent="0.2">
      <c r="A182" s="274"/>
      <c r="B182" s="385"/>
      <c r="C182" s="422"/>
      <c r="D182" s="422"/>
      <c r="E182" s="422"/>
      <c r="F182" s="1893"/>
      <c r="G182" s="422"/>
    </row>
    <row r="183" spans="1:7" x14ac:dyDescent="0.2">
      <c r="A183" s="274"/>
      <c r="B183" s="274"/>
      <c r="C183" s="283"/>
      <c r="D183" s="282"/>
      <c r="E183" s="282"/>
      <c r="F183" s="1882"/>
      <c r="G183" s="282"/>
    </row>
    <row r="184" spans="1:7" x14ac:dyDescent="0.2">
      <c r="A184" s="284" t="s">
        <v>26</v>
      </c>
      <c r="B184" s="284"/>
      <c r="C184" s="285" t="s">
        <v>27</v>
      </c>
      <c r="D184" s="387" t="s">
        <v>28</v>
      </c>
      <c r="E184" s="287" t="s">
        <v>29</v>
      </c>
      <c r="F184" s="1883" t="s">
        <v>30</v>
      </c>
      <c r="G184" s="287" t="s">
        <v>31</v>
      </c>
    </row>
    <row r="185" spans="1:7" x14ac:dyDescent="0.2">
      <c r="A185" s="279"/>
      <c r="B185" s="279"/>
      <c r="C185" s="289"/>
      <c r="D185" s="384"/>
      <c r="E185" s="277"/>
      <c r="F185" s="1881"/>
      <c r="G185" s="277"/>
    </row>
    <row r="186" spans="1:7" ht="16.5" thickBot="1" x14ac:dyDescent="0.25">
      <c r="A186" s="291"/>
      <c r="B186" s="292" t="s">
        <v>84</v>
      </c>
      <c r="C186" s="376" t="s">
        <v>633</v>
      </c>
      <c r="D186" s="388"/>
      <c r="E186" s="294"/>
      <c r="F186" s="1884"/>
      <c r="G186" s="294"/>
    </row>
    <row r="187" spans="1:7" x14ac:dyDescent="0.2">
      <c r="A187" s="296"/>
      <c r="B187" s="297"/>
      <c r="C187" s="423"/>
      <c r="D187" s="384"/>
      <c r="E187" s="277"/>
      <c r="F187" s="1881"/>
      <c r="G187" s="277"/>
    </row>
    <row r="188" spans="1:7" x14ac:dyDescent="0.2">
      <c r="A188" s="380" t="str">
        <f>$B$186</f>
        <v>III.</v>
      </c>
      <c r="B188" s="299">
        <f>1</f>
        <v>1</v>
      </c>
      <c r="C188" s="420" t="s">
        <v>733</v>
      </c>
      <c r="D188" s="414"/>
      <c r="E188" s="414"/>
      <c r="F188" s="1892"/>
      <c r="G188" s="414"/>
    </row>
    <row r="189" spans="1:7" ht="60" x14ac:dyDescent="0.2">
      <c r="A189" s="380"/>
      <c r="B189" s="299"/>
      <c r="C189" s="424" t="s">
        <v>734</v>
      </c>
      <c r="D189" s="414"/>
      <c r="E189" s="414"/>
      <c r="F189" s="1892"/>
      <c r="G189" s="414"/>
    </row>
    <row r="190" spans="1:7" ht="24" x14ac:dyDescent="0.2">
      <c r="A190" s="380"/>
      <c r="B190" s="299"/>
      <c r="C190" s="424" t="s">
        <v>735</v>
      </c>
      <c r="D190" s="302" t="s">
        <v>39</v>
      </c>
      <c r="E190" s="302">
        <v>1</v>
      </c>
      <c r="F190" s="1878"/>
      <c r="G190" s="303">
        <f>ROUND(E190*F190,2)</f>
        <v>0</v>
      </c>
    </row>
    <row r="191" spans="1:7" x14ac:dyDescent="0.2">
      <c r="A191" s="380"/>
      <c r="B191" s="299"/>
      <c r="C191" s="414"/>
      <c r="D191" s="414"/>
      <c r="E191" s="414"/>
      <c r="F191" s="1892"/>
      <c r="G191" s="303"/>
    </row>
    <row r="192" spans="1:7" x14ac:dyDescent="0.2">
      <c r="A192" s="380" t="str">
        <f t="shared" ref="A192" si="4">$B$186</f>
        <v>III.</v>
      </c>
      <c r="B192" s="299">
        <v>2</v>
      </c>
      <c r="C192" s="420" t="s">
        <v>736</v>
      </c>
      <c r="D192" s="414"/>
      <c r="E192" s="414"/>
      <c r="F192" s="1892"/>
      <c r="G192" s="303"/>
    </row>
    <row r="193" spans="1:7" ht="84" x14ac:dyDescent="0.2">
      <c r="A193" s="298"/>
      <c r="B193" s="299"/>
      <c r="C193" s="424" t="s">
        <v>737</v>
      </c>
      <c r="D193" s="302" t="s">
        <v>39</v>
      </c>
      <c r="E193" s="302">
        <v>1</v>
      </c>
      <c r="F193" s="1878"/>
      <c r="G193" s="303">
        <f>ROUND(E193*F193,2)</f>
        <v>0</v>
      </c>
    </row>
    <row r="194" spans="1:7" x14ac:dyDescent="0.2">
      <c r="A194" s="305"/>
      <c r="B194" s="306"/>
      <c r="C194" s="424"/>
      <c r="D194" s="302"/>
      <c r="E194" s="302"/>
      <c r="F194" s="1878"/>
      <c r="G194" s="303"/>
    </row>
    <row r="195" spans="1:7" ht="13.5" thickBot="1" x14ac:dyDescent="0.25">
      <c r="A195" s="309"/>
      <c r="B195" s="310"/>
      <c r="C195" s="425"/>
      <c r="D195" s="394"/>
      <c r="E195" s="313" t="str">
        <f>CONCATENATE(B186," ",C186," - SKUPAJ:")</f>
        <v>III. Stavbno pohištvo - SKUPAJ:</v>
      </c>
      <c r="F195" s="1886"/>
      <c r="G195" s="314">
        <f>ROUND(SUM(G190:G193),2)</f>
        <v>0</v>
      </c>
    </row>
    <row r="196" spans="1:7" x14ac:dyDescent="0.2">
      <c r="A196" s="274"/>
      <c r="B196" s="274"/>
      <c r="C196" s="383"/>
      <c r="D196" s="384"/>
      <c r="E196" s="277"/>
      <c r="F196" s="1881"/>
      <c r="G196" s="384"/>
    </row>
    <row r="197" spans="1:7" x14ac:dyDescent="0.2">
      <c r="A197" s="274"/>
      <c r="B197" s="274"/>
      <c r="C197" s="275"/>
      <c r="D197" s="282"/>
      <c r="E197" s="282"/>
      <c r="F197" s="1882"/>
      <c r="G197" s="282"/>
    </row>
    <row r="198" spans="1:7" x14ac:dyDescent="0.2">
      <c r="A198" s="284" t="s">
        <v>26</v>
      </c>
      <c r="B198" s="284"/>
      <c r="C198" s="285" t="s">
        <v>27</v>
      </c>
      <c r="D198" s="387" t="s">
        <v>28</v>
      </c>
      <c r="E198" s="287" t="s">
        <v>29</v>
      </c>
      <c r="F198" s="1883" t="s">
        <v>30</v>
      </c>
      <c r="G198" s="287" t="s">
        <v>31</v>
      </c>
    </row>
    <row r="199" spans="1:7" x14ac:dyDescent="0.2">
      <c r="A199" s="279"/>
      <c r="B199" s="279"/>
      <c r="C199" s="289"/>
      <c r="D199" s="384"/>
      <c r="E199" s="277"/>
      <c r="F199" s="1881"/>
      <c r="G199" s="277"/>
    </row>
    <row r="200" spans="1:7" ht="16.5" thickBot="1" x14ac:dyDescent="0.25">
      <c r="A200" s="291"/>
      <c r="B200" s="292" t="s">
        <v>86</v>
      </c>
      <c r="C200" s="376" t="s">
        <v>634</v>
      </c>
      <c r="D200" s="388"/>
      <c r="E200" s="294"/>
      <c r="F200" s="1884"/>
      <c r="G200" s="294"/>
    </row>
    <row r="201" spans="1:7" x14ac:dyDescent="0.2">
      <c r="A201" s="296"/>
      <c r="B201" s="297"/>
      <c r="C201" s="289"/>
      <c r="D201" s="384"/>
      <c r="E201" s="277"/>
      <c r="F201" s="1881"/>
      <c r="G201" s="277"/>
    </row>
    <row r="202" spans="1:7" ht="24" x14ac:dyDescent="0.2">
      <c r="A202" s="380" t="str">
        <f>$B$200</f>
        <v>IV.</v>
      </c>
      <c r="B202" s="299">
        <v>1</v>
      </c>
      <c r="C202" s="426" t="s">
        <v>750</v>
      </c>
      <c r="D202" s="302" t="s">
        <v>71</v>
      </c>
      <c r="E202" s="302">
        <v>65.8</v>
      </c>
      <c r="F202" s="1878"/>
      <c r="G202" s="303">
        <f>ROUND(E202*F202,2)</f>
        <v>0</v>
      </c>
    </row>
    <row r="203" spans="1:7" x14ac:dyDescent="0.2">
      <c r="A203" s="298"/>
      <c r="B203" s="299"/>
      <c r="C203" s="403"/>
      <c r="D203" s="302"/>
      <c r="E203" s="302"/>
      <c r="F203" s="1878"/>
      <c r="G203" s="303"/>
    </row>
    <row r="204" spans="1:7" ht="36" x14ac:dyDescent="0.2">
      <c r="A204" s="380" t="str">
        <f>A202</f>
        <v>IV.</v>
      </c>
      <c r="B204" s="299">
        <v>2</v>
      </c>
      <c r="C204" s="426" t="s">
        <v>751</v>
      </c>
      <c r="D204" s="302" t="s">
        <v>71</v>
      </c>
      <c r="E204" s="302">
        <v>65.8</v>
      </c>
      <c r="F204" s="1878"/>
      <c r="G204" s="303">
        <f>ROUND(E204*F204,2)</f>
        <v>0</v>
      </c>
    </row>
    <row r="205" spans="1:7" x14ac:dyDescent="0.2">
      <c r="A205" s="298"/>
      <c r="B205" s="299"/>
      <c r="C205" s="414"/>
      <c r="D205" s="390"/>
      <c r="E205" s="390"/>
      <c r="F205" s="1885"/>
      <c r="G205" s="303"/>
    </row>
    <row r="206" spans="1:7" ht="13.5" thickBot="1" x14ac:dyDescent="0.25">
      <c r="A206" s="391"/>
      <c r="B206" s="392"/>
      <c r="C206" s="393"/>
      <c r="D206" s="394"/>
      <c r="E206" s="313" t="str">
        <f>CONCATENATE(B200," ",C200," - SKUPAJ:")</f>
        <v>IV. Slikopleskarska dela - SKUPAJ:</v>
      </c>
      <c r="F206" s="1886"/>
      <c r="G206" s="314">
        <f>ROUND(SUM(G202:G204),2)</f>
        <v>0</v>
      </c>
    </row>
  </sheetData>
  <sheetProtection algorithmName="SHA-512" hashValue="w01R+a5uhw6cZh7HXFYvMA5c6YJxCk4R1WOur/aPjfoZkCtk5fiv2Jo0/dabgmW5OpQscpIqPNkBULwSYx060A==" saltValue="H7PkrDx/BGbv57HsRsj2cA==" spinCount="100000" sheet="1" objects="1" scenarios="1"/>
  <mergeCells count="1">
    <mergeCell ref="L6:L7"/>
  </mergeCells>
  <pageMargins left="0.98425196850393704" right="0.39370078740157483" top="0.98425196850393704" bottom="0.74803149606299213" header="0" footer="0.39370078740157483"/>
  <pageSetup paperSize="9" scale="97" firstPageNumber="0" orientation="portrait" horizontalDpi="300" verticalDpi="300" r:id="rId1"/>
  <headerFooter alignWithMargins="0">
    <oddHeader xml:space="preserve">&amp;L
</oddHeader>
    <oddFooter>&amp;C&amp;6 &amp; List: &amp;A&amp;L&amp;9&amp;R&amp;R &amp; &amp;9 &amp; List: &amp;A_x000D_&amp;R &amp; &amp;9 &amp; Stran: &amp;P</oddFooter>
  </headerFooter>
  <rowBreaks count="2" manualBreakCount="2">
    <brk id="98" max="6" man="1"/>
    <brk id="136"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theme="6" tint="-0.249977111117893"/>
  </sheetPr>
  <dimension ref="A1:P202"/>
  <sheetViews>
    <sheetView view="pageBreakPreview" zoomScale="120" zoomScaleNormal="100" zoomScaleSheetLayoutView="120" workbookViewId="0"/>
  </sheetViews>
  <sheetFormatPr defaultRowHeight="12.75" x14ac:dyDescent="0.2"/>
  <cols>
    <col min="1" max="1" width="3.140625" style="232" customWidth="1"/>
    <col min="2" max="2" width="3" style="232" customWidth="1"/>
    <col min="3" max="3" width="47.140625" style="269" customWidth="1"/>
    <col min="4" max="4" width="5.85546875" style="331" customWidth="1"/>
    <col min="5" max="5" width="8.140625" style="332" customWidth="1"/>
    <col min="6" max="6" width="9.42578125" style="1865" customWidth="1"/>
    <col min="7" max="7" width="13.28515625" style="333" customWidth="1"/>
    <col min="8" max="8" width="20.42578125" style="220" customWidth="1"/>
    <col min="9" max="9" width="11.7109375" style="215" customWidth="1"/>
    <col min="10" max="11" width="11.7109375" style="221" customWidth="1"/>
    <col min="12" max="12" width="16.7109375" style="224" customWidth="1"/>
    <col min="13" max="13" width="9.85546875" style="224" customWidth="1"/>
    <col min="14" max="14" width="2.5703125" style="224" bestFit="1" customWidth="1"/>
    <col min="15" max="15" width="9.140625" style="224"/>
    <col min="16" max="16" width="9" style="224" customWidth="1"/>
    <col min="17" max="256" width="9.140625" style="224"/>
    <col min="257" max="257" width="3.140625" style="224" customWidth="1"/>
    <col min="258" max="258" width="4.42578125" style="224" customWidth="1"/>
    <col min="259" max="259" width="43.7109375" style="224" customWidth="1"/>
    <col min="260" max="260" width="6.28515625" style="224" customWidth="1"/>
    <col min="261" max="261" width="7.85546875" style="224" customWidth="1"/>
    <col min="262" max="262" width="9.5703125" style="224" customWidth="1"/>
    <col min="263" max="263" width="13.85546875" style="224" customWidth="1"/>
    <col min="264" max="264" width="20.42578125" style="224" customWidth="1"/>
    <col min="265" max="267" width="11.7109375" style="224" customWidth="1"/>
    <col min="268" max="268" width="16.7109375" style="224" customWidth="1"/>
    <col min="269" max="269" width="9.85546875" style="224" customWidth="1"/>
    <col min="270" max="270" width="2.5703125" style="224" bestFit="1" customWidth="1"/>
    <col min="271" max="271" width="9.140625" style="224"/>
    <col min="272" max="272" width="9" style="224" customWidth="1"/>
    <col min="273" max="512" width="9.140625" style="224"/>
    <col min="513" max="513" width="3.140625" style="224" customWidth="1"/>
    <col min="514" max="514" width="4.42578125" style="224" customWidth="1"/>
    <col min="515" max="515" width="43.7109375" style="224" customWidth="1"/>
    <col min="516" max="516" width="6.28515625" style="224" customWidth="1"/>
    <col min="517" max="517" width="7.85546875" style="224" customWidth="1"/>
    <col min="518" max="518" width="9.5703125" style="224" customWidth="1"/>
    <col min="519" max="519" width="13.85546875" style="224" customWidth="1"/>
    <col min="520" max="520" width="20.42578125" style="224" customWidth="1"/>
    <col min="521" max="523" width="11.7109375" style="224" customWidth="1"/>
    <col min="524" max="524" width="16.7109375" style="224" customWidth="1"/>
    <col min="525" max="525" width="9.85546875" style="224" customWidth="1"/>
    <col min="526" max="526" width="2.5703125" style="224" bestFit="1" customWidth="1"/>
    <col min="527" max="527" width="9.140625" style="224"/>
    <col min="528" max="528" width="9" style="224" customWidth="1"/>
    <col min="529" max="768" width="9.140625" style="224"/>
    <col min="769" max="769" width="3.140625" style="224" customWidth="1"/>
    <col min="770" max="770" width="4.42578125" style="224" customWidth="1"/>
    <col min="771" max="771" width="43.7109375" style="224" customWidth="1"/>
    <col min="772" max="772" width="6.28515625" style="224" customWidth="1"/>
    <col min="773" max="773" width="7.85546875" style="224" customWidth="1"/>
    <col min="774" max="774" width="9.5703125" style="224" customWidth="1"/>
    <col min="775" max="775" width="13.85546875" style="224" customWidth="1"/>
    <col min="776" max="776" width="20.42578125" style="224" customWidth="1"/>
    <col min="777" max="779" width="11.7109375" style="224" customWidth="1"/>
    <col min="780" max="780" width="16.7109375" style="224" customWidth="1"/>
    <col min="781" max="781" width="9.85546875" style="224" customWidth="1"/>
    <col min="782" max="782" width="2.5703125" style="224" bestFit="1" customWidth="1"/>
    <col min="783" max="783" width="9.140625" style="224"/>
    <col min="784" max="784" width="9" style="224" customWidth="1"/>
    <col min="785" max="1024" width="9.140625" style="224"/>
    <col min="1025" max="1025" width="3.140625" style="224" customWidth="1"/>
    <col min="1026" max="1026" width="4.42578125" style="224" customWidth="1"/>
    <col min="1027" max="1027" width="43.7109375" style="224" customWidth="1"/>
    <col min="1028" max="1028" width="6.28515625" style="224" customWidth="1"/>
    <col min="1029" max="1029" width="7.85546875" style="224" customWidth="1"/>
    <col min="1030" max="1030" width="9.5703125" style="224" customWidth="1"/>
    <col min="1031" max="1031" width="13.85546875" style="224" customWidth="1"/>
    <col min="1032" max="1032" width="20.42578125" style="224" customWidth="1"/>
    <col min="1033" max="1035" width="11.7109375" style="224" customWidth="1"/>
    <col min="1036" max="1036" width="16.7109375" style="224" customWidth="1"/>
    <col min="1037" max="1037" width="9.85546875" style="224" customWidth="1"/>
    <col min="1038" max="1038" width="2.5703125" style="224" bestFit="1" customWidth="1"/>
    <col min="1039" max="1039" width="9.140625" style="224"/>
    <col min="1040" max="1040" width="9" style="224" customWidth="1"/>
    <col min="1041" max="1280" width="9.140625" style="224"/>
    <col min="1281" max="1281" width="3.140625" style="224" customWidth="1"/>
    <col min="1282" max="1282" width="4.42578125" style="224" customWidth="1"/>
    <col min="1283" max="1283" width="43.7109375" style="224" customWidth="1"/>
    <col min="1284" max="1284" width="6.28515625" style="224" customWidth="1"/>
    <col min="1285" max="1285" width="7.85546875" style="224" customWidth="1"/>
    <col min="1286" max="1286" width="9.5703125" style="224" customWidth="1"/>
    <col min="1287" max="1287" width="13.85546875" style="224" customWidth="1"/>
    <col min="1288" max="1288" width="20.42578125" style="224" customWidth="1"/>
    <col min="1289" max="1291" width="11.7109375" style="224" customWidth="1"/>
    <col min="1292" max="1292" width="16.7109375" style="224" customWidth="1"/>
    <col min="1293" max="1293" width="9.85546875" style="224" customWidth="1"/>
    <col min="1294" max="1294" width="2.5703125" style="224" bestFit="1" customWidth="1"/>
    <col min="1295" max="1295" width="9.140625" style="224"/>
    <col min="1296" max="1296" width="9" style="224" customWidth="1"/>
    <col min="1297" max="1536" width="9.140625" style="224"/>
    <col min="1537" max="1537" width="3.140625" style="224" customWidth="1"/>
    <col min="1538" max="1538" width="4.42578125" style="224" customWidth="1"/>
    <col min="1539" max="1539" width="43.7109375" style="224" customWidth="1"/>
    <col min="1540" max="1540" width="6.28515625" style="224" customWidth="1"/>
    <col min="1541" max="1541" width="7.85546875" style="224" customWidth="1"/>
    <col min="1542" max="1542" width="9.5703125" style="224" customWidth="1"/>
    <col min="1543" max="1543" width="13.85546875" style="224" customWidth="1"/>
    <col min="1544" max="1544" width="20.42578125" style="224" customWidth="1"/>
    <col min="1545" max="1547" width="11.7109375" style="224" customWidth="1"/>
    <col min="1548" max="1548" width="16.7109375" style="224" customWidth="1"/>
    <col min="1549" max="1549" width="9.85546875" style="224" customWidth="1"/>
    <col min="1550" max="1550" width="2.5703125" style="224" bestFit="1" customWidth="1"/>
    <col min="1551" max="1551" width="9.140625" style="224"/>
    <col min="1552" max="1552" width="9" style="224" customWidth="1"/>
    <col min="1553" max="1792" width="9.140625" style="224"/>
    <col min="1793" max="1793" width="3.140625" style="224" customWidth="1"/>
    <col min="1794" max="1794" width="4.42578125" style="224" customWidth="1"/>
    <col min="1795" max="1795" width="43.7109375" style="224" customWidth="1"/>
    <col min="1796" max="1796" width="6.28515625" style="224" customWidth="1"/>
    <col min="1797" max="1797" width="7.85546875" style="224" customWidth="1"/>
    <col min="1798" max="1798" width="9.5703125" style="224" customWidth="1"/>
    <col min="1799" max="1799" width="13.85546875" style="224" customWidth="1"/>
    <col min="1800" max="1800" width="20.42578125" style="224" customWidth="1"/>
    <col min="1801" max="1803" width="11.7109375" style="224" customWidth="1"/>
    <col min="1804" max="1804" width="16.7109375" style="224" customWidth="1"/>
    <col min="1805" max="1805" width="9.85546875" style="224" customWidth="1"/>
    <col min="1806" max="1806" width="2.5703125" style="224" bestFit="1" customWidth="1"/>
    <col min="1807" max="1807" width="9.140625" style="224"/>
    <col min="1808" max="1808" width="9" style="224" customWidth="1"/>
    <col min="1809" max="2048" width="9.140625" style="224"/>
    <col min="2049" max="2049" width="3.140625" style="224" customWidth="1"/>
    <col min="2050" max="2050" width="4.42578125" style="224" customWidth="1"/>
    <col min="2051" max="2051" width="43.7109375" style="224" customWidth="1"/>
    <col min="2052" max="2052" width="6.28515625" style="224" customWidth="1"/>
    <col min="2053" max="2053" width="7.85546875" style="224" customWidth="1"/>
    <col min="2054" max="2054" width="9.5703125" style="224" customWidth="1"/>
    <col min="2055" max="2055" width="13.85546875" style="224" customWidth="1"/>
    <col min="2056" max="2056" width="20.42578125" style="224" customWidth="1"/>
    <col min="2057" max="2059" width="11.7109375" style="224" customWidth="1"/>
    <col min="2060" max="2060" width="16.7109375" style="224" customWidth="1"/>
    <col min="2061" max="2061" width="9.85546875" style="224" customWidth="1"/>
    <col min="2062" max="2062" width="2.5703125" style="224" bestFit="1" customWidth="1"/>
    <col min="2063" max="2063" width="9.140625" style="224"/>
    <col min="2064" max="2064" width="9" style="224" customWidth="1"/>
    <col min="2065" max="2304" width="9.140625" style="224"/>
    <col min="2305" max="2305" width="3.140625" style="224" customWidth="1"/>
    <col min="2306" max="2306" width="4.42578125" style="224" customWidth="1"/>
    <col min="2307" max="2307" width="43.7109375" style="224" customWidth="1"/>
    <col min="2308" max="2308" width="6.28515625" style="224" customWidth="1"/>
    <col min="2309" max="2309" width="7.85546875" style="224" customWidth="1"/>
    <col min="2310" max="2310" width="9.5703125" style="224" customWidth="1"/>
    <col min="2311" max="2311" width="13.85546875" style="224" customWidth="1"/>
    <col min="2312" max="2312" width="20.42578125" style="224" customWidth="1"/>
    <col min="2313" max="2315" width="11.7109375" style="224" customWidth="1"/>
    <col min="2316" max="2316" width="16.7109375" style="224" customWidth="1"/>
    <col min="2317" max="2317" width="9.85546875" style="224" customWidth="1"/>
    <col min="2318" max="2318" width="2.5703125" style="224" bestFit="1" customWidth="1"/>
    <col min="2319" max="2319" width="9.140625" style="224"/>
    <col min="2320" max="2320" width="9" style="224" customWidth="1"/>
    <col min="2321" max="2560" width="9.140625" style="224"/>
    <col min="2561" max="2561" width="3.140625" style="224" customWidth="1"/>
    <col min="2562" max="2562" width="4.42578125" style="224" customWidth="1"/>
    <col min="2563" max="2563" width="43.7109375" style="224" customWidth="1"/>
    <col min="2564" max="2564" width="6.28515625" style="224" customWidth="1"/>
    <col min="2565" max="2565" width="7.85546875" style="224" customWidth="1"/>
    <col min="2566" max="2566" width="9.5703125" style="224" customWidth="1"/>
    <col min="2567" max="2567" width="13.85546875" style="224" customWidth="1"/>
    <col min="2568" max="2568" width="20.42578125" style="224" customWidth="1"/>
    <col min="2569" max="2571" width="11.7109375" style="224" customWidth="1"/>
    <col min="2572" max="2572" width="16.7109375" style="224" customWidth="1"/>
    <col min="2573" max="2573" width="9.85546875" style="224" customWidth="1"/>
    <col min="2574" max="2574" width="2.5703125" style="224" bestFit="1" customWidth="1"/>
    <col min="2575" max="2575" width="9.140625" style="224"/>
    <col min="2576" max="2576" width="9" style="224" customWidth="1"/>
    <col min="2577" max="2816" width="9.140625" style="224"/>
    <col min="2817" max="2817" width="3.140625" style="224" customWidth="1"/>
    <col min="2818" max="2818" width="4.42578125" style="224" customWidth="1"/>
    <col min="2819" max="2819" width="43.7109375" style="224" customWidth="1"/>
    <col min="2820" max="2820" width="6.28515625" style="224" customWidth="1"/>
    <col min="2821" max="2821" width="7.85546875" style="224" customWidth="1"/>
    <col min="2822" max="2822" width="9.5703125" style="224" customWidth="1"/>
    <col min="2823" max="2823" width="13.85546875" style="224" customWidth="1"/>
    <col min="2824" max="2824" width="20.42578125" style="224" customWidth="1"/>
    <col min="2825" max="2827" width="11.7109375" style="224" customWidth="1"/>
    <col min="2828" max="2828" width="16.7109375" style="224" customWidth="1"/>
    <col min="2829" max="2829" width="9.85546875" style="224" customWidth="1"/>
    <col min="2830" max="2830" width="2.5703125" style="224" bestFit="1" customWidth="1"/>
    <col min="2831" max="2831" width="9.140625" style="224"/>
    <col min="2832" max="2832" width="9" style="224" customWidth="1"/>
    <col min="2833" max="3072" width="9.140625" style="224"/>
    <col min="3073" max="3073" width="3.140625" style="224" customWidth="1"/>
    <col min="3074" max="3074" width="4.42578125" style="224" customWidth="1"/>
    <col min="3075" max="3075" width="43.7109375" style="224" customWidth="1"/>
    <col min="3076" max="3076" width="6.28515625" style="224" customWidth="1"/>
    <col min="3077" max="3077" width="7.85546875" style="224" customWidth="1"/>
    <col min="3078" max="3078" width="9.5703125" style="224" customWidth="1"/>
    <col min="3079" max="3079" width="13.85546875" style="224" customWidth="1"/>
    <col min="3080" max="3080" width="20.42578125" style="224" customWidth="1"/>
    <col min="3081" max="3083" width="11.7109375" style="224" customWidth="1"/>
    <col min="3084" max="3084" width="16.7109375" style="224" customWidth="1"/>
    <col min="3085" max="3085" width="9.85546875" style="224" customWidth="1"/>
    <col min="3086" max="3086" width="2.5703125" style="224" bestFit="1" customWidth="1"/>
    <col min="3087" max="3087" width="9.140625" style="224"/>
    <col min="3088" max="3088" width="9" style="224" customWidth="1"/>
    <col min="3089" max="3328" width="9.140625" style="224"/>
    <col min="3329" max="3329" width="3.140625" style="224" customWidth="1"/>
    <col min="3330" max="3330" width="4.42578125" style="224" customWidth="1"/>
    <col min="3331" max="3331" width="43.7109375" style="224" customWidth="1"/>
    <col min="3332" max="3332" width="6.28515625" style="224" customWidth="1"/>
    <col min="3333" max="3333" width="7.85546875" style="224" customWidth="1"/>
    <col min="3334" max="3334" width="9.5703125" style="224" customWidth="1"/>
    <col min="3335" max="3335" width="13.85546875" style="224" customWidth="1"/>
    <col min="3336" max="3336" width="20.42578125" style="224" customWidth="1"/>
    <col min="3337" max="3339" width="11.7109375" style="224" customWidth="1"/>
    <col min="3340" max="3340" width="16.7109375" style="224" customWidth="1"/>
    <col min="3341" max="3341" width="9.85546875" style="224" customWidth="1"/>
    <col min="3342" max="3342" width="2.5703125" style="224" bestFit="1" customWidth="1"/>
    <col min="3343" max="3343" width="9.140625" style="224"/>
    <col min="3344" max="3344" width="9" style="224" customWidth="1"/>
    <col min="3345" max="3584" width="9.140625" style="224"/>
    <col min="3585" max="3585" width="3.140625" style="224" customWidth="1"/>
    <col min="3586" max="3586" width="4.42578125" style="224" customWidth="1"/>
    <col min="3587" max="3587" width="43.7109375" style="224" customWidth="1"/>
    <col min="3588" max="3588" width="6.28515625" style="224" customWidth="1"/>
    <col min="3589" max="3589" width="7.85546875" style="224" customWidth="1"/>
    <col min="3590" max="3590" width="9.5703125" style="224" customWidth="1"/>
    <col min="3591" max="3591" width="13.85546875" style="224" customWidth="1"/>
    <col min="3592" max="3592" width="20.42578125" style="224" customWidth="1"/>
    <col min="3593" max="3595" width="11.7109375" style="224" customWidth="1"/>
    <col min="3596" max="3596" width="16.7109375" style="224" customWidth="1"/>
    <col min="3597" max="3597" width="9.85546875" style="224" customWidth="1"/>
    <col min="3598" max="3598" width="2.5703125" style="224" bestFit="1" customWidth="1"/>
    <col min="3599" max="3599" width="9.140625" style="224"/>
    <col min="3600" max="3600" width="9" style="224" customWidth="1"/>
    <col min="3601" max="3840" width="9.140625" style="224"/>
    <col min="3841" max="3841" width="3.140625" style="224" customWidth="1"/>
    <col min="3842" max="3842" width="4.42578125" style="224" customWidth="1"/>
    <col min="3843" max="3843" width="43.7109375" style="224" customWidth="1"/>
    <col min="3844" max="3844" width="6.28515625" style="224" customWidth="1"/>
    <col min="3845" max="3845" width="7.85546875" style="224" customWidth="1"/>
    <col min="3846" max="3846" width="9.5703125" style="224" customWidth="1"/>
    <col min="3847" max="3847" width="13.85546875" style="224" customWidth="1"/>
    <col min="3848" max="3848" width="20.42578125" style="224" customWidth="1"/>
    <col min="3849" max="3851" width="11.7109375" style="224" customWidth="1"/>
    <col min="3852" max="3852" width="16.7109375" style="224" customWidth="1"/>
    <col min="3853" max="3853" width="9.85546875" style="224" customWidth="1"/>
    <col min="3854" max="3854" width="2.5703125" style="224" bestFit="1" customWidth="1"/>
    <col min="3855" max="3855" width="9.140625" style="224"/>
    <col min="3856" max="3856" width="9" style="224" customWidth="1"/>
    <col min="3857" max="4096" width="9.140625" style="224"/>
    <col min="4097" max="4097" width="3.140625" style="224" customWidth="1"/>
    <col min="4098" max="4098" width="4.42578125" style="224" customWidth="1"/>
    <col min="4099" max="4099" width="43.7109375" style="224" customWidth="1"/>
    <col min="4100" max="4100" width="6.28515625" style="224" customWidth="1"/>
    <col min="4101" max="4101" width="7.85546875" style="224" customWidth="1"/>
    <col min="4102" max="4102" width="9.5703125" style="224" customWidth="1"/>
    <col min="4103" max="4103" width="13.85546875" style="224" customWidth="1"/>
    <col min="4104" max="4104" width="20.42578125" style="224" customWidth="1"/>
    <col min="4105" max="4107" width="11.7109375" style="224" customWidth="1"/>
    <col min="4108" max="4108" width="16.7109375" style="224" customWidth="1"/>
    <col min="4109" max="4109" width="9.85546875" style="224" customWidth="1"/>
    <col min="4110" max="4110" width="2.5703125" style="224" bestFit="1" customWidth="1"/>
    <col min="4111" max="4111" width="9.140625" style="224"/>
    <col min="4112" max="4112" width="9" style="224" customWidth="1"/>
    <col min="4113" max="4352" width="9.140625" style="224"/>
    <col min="4353" max="4353" width="3.140625" style="224" customWidth="1"/>
    <col min="4354" max="4354" width="4.42578125" style="224" customWidth="1"/>
    <col min="4355" max="4355" width="43.7109375" style="224" customWidth="1"/>
    <col min="4356" max="4356" width="6.28515625" style="224" customWidth="1"/>
    <col min="4357" max="4357" width="7.85546875" style="224" customWidth="1"/>
    <col min="4358" max="4358" width="9.5703125" style="224" customWidth="1"/>
    <col min="4359" max="4359" width="13.85546875" style="224" customWidth="1"/>
    <col min="4360" max="4360" width="20.42578125" style="224" customWidth="1"/>
    <col min="4361" max="4363" width="11.7109375" style="224" customWidth="1"/>
    <col min="4364" max="4364" width="16.7109375" style="224" customWidth="1"/>
    <col min="4365" max="4365" width="9.85546875" style="224" customWidth="1"/>
    <col min="4366" max="4366" width="2.5703125" style="224" bestFit="1" customWidth="1"/>
    <col min="4367" max="4367" width="9.140625" style="224"/>
    <col min="4368" max="4368" width="9" style="224" customWidth="1"/>
    <col min="4369" max="4608" width="9.140625" style="224"/>
    <col min="4609" max="4609" width="3.140625" style="224" customWidth="1"/>
    <col min="4610" max="4610" width="4.42578125" style="224" customWidth="1"/>
    <col min="4611" max="4611" width="43.7109375" style="224" customWidth="1"/>
    <col min="4612" max="4612" width="6.28515625" style="224" customWidth="1"/>
    <col min="4613" max="4613" width="7.85546875" style="224" customWidth="1"/>
    <col min="4614" max="4614" width="9.5703125" style="224" customWidth="1"/>
    <col min="4615" max="4615" width="13.85546875" style="224" customWidth="1"/>
    <col min="4616" max="4616" width="20.42578125" style="224" customWidth="1"/>
    <col min="4617" max="4619" width="11.7109375" style="224" customWidth="1"/>
    <col min="4620" max="4620" width="16.7109375" style="224" customWidth="1"/>
    <col min="4621" max="4621" width="9.85546875" style="224" customWidth="1"/>
    <col min="4622" max="4622" width="2.5703125" style="224" bestFit="1" customWidth="1"/>
    <col min="4623" max="4623" width="9.140625" style="224"/>
    <col min="4624" max="4624" width="9" style="224" customWidth="1"/>
    <col min="4625" max="4864" width="9.140625" style="224"/>
    <col min="4865" max="4865" width="3.140625" style="224" customWidth="1"/>
    <col min="4866" max="4866" width="4.42578125" style="224" customWidth="1"/>
    <col min="4867" max="4867" width="43.7109375" style="224" customWidth="1"/>
    <col min="4868" max="4868" width="6.28515625" style="224" customWidth="1"/>
    <col min="4869" max="4869" width="7.85546875" style="224" customWidth="1"/>
    <col min="4870" max="4870" width="9.5703125" style="224" customWidth="1"/>
    <col min="4871" max="4871" width="13.85546875" style="224" customWidth="1"/>
    <col min="4872" max="4872" width="20.42578125" style="224" customWidth="1"/>
    <col min="4873" max="4875" width="11.7109375" style="224" customWidth="1"/>
    <col min="4876" max="4876" width="16.7109375" style="224" customWidth="1"/>
    <col min="4877" max="4877" width="9.85546875" style="224" customWidth="1"/>
    <col min="4878" max="4878" width="2.5703125" style="224" bestFit="1" customWidth="1"/>
    <col min="4879" max="4879" width="9.140625" style="224"/>
    <col min="4880" max="4880" width="9" style="224" customWidth="1"/>
    <col min="4881" max="5120" width="9.140625" style="224"/>
    <col min="5121" max="5121" width="3.140625" style="224" customWidth="1"/>
    <col min="5122" max="5122" width="4.42578125" style="224" customWidth="1"/>
    <col min="5123" max="5123" width="43.7109375" style="224" customWidth="1"/>
    <col min="5124" max="5124" width="6.28515625" style="224" customWidth="1"/>
    <col min="5125" max="5125" width="7.85546875" style="224" customWidth="1"/>
    <col min="5126" max="5126" width="9.5703125" style="224" customWidth="1"/>
    <col min="5127" max="5127" width="13.85546875" style="224" customWidth="1"/>
    <col min="5128" max="5128" width="20.42578125" style="224" customWidth="1"/>
    <col min="5129" max="5131" width="11.7109375" style="224" customWidth="1"/>
    <col min="5132" max="5132" width="16.7109375" style="224" customWidth="1"/>
    <col min="5133" max="5133" width="9.85546875" style="224" customWidth="1"/>
    <col min="5134" max="5134" width="2.5703125" style="224" bestFit="1" customWidth="1"/>
    <col min="5135" max="5135" width="9.140625" style="224"/>
    <col min="5136" max="5136" width="9" style="224" customWidth="1"/>
    <col min="5137" max="5376" width="9.140625" style="224"/>
    <col min="5377" max="5377" width="3.140625" style="224" customWidth="1"/>
    <col min="5378" max="5378" width="4.42578125" style="224" customWidth="1"/>
    <col min="5379" max="5379" width="43.7109375" style="224" customWidth="1"/>
    <col min="5380" max="5380" width="6.28515625" style="224" customWidth="1"/>
    <col min="5381" max="5381" width="7.85546875" style="224" customWidth="1"/>
    <col min="5382" max="5382" width="9.5703125" style="224" customWidth="1"/>
    <col min="5383" max="5383" width="13.85546875" style="224" customWidth="1"/>
    <col min="5384" max="5384" width="20.42578125" style="224" customWidth="1"/>
    <col min="5385" max="5387" width="11.7109375" style="224" customWidth="1"/>
    <col min="5388" max="5388" width="16.7109375" style="224" customWidth="1"/>
    <col min="5389" max="5389" width="9.85546875" style="224" customWidth="1"/>
    <col min="5390" max="5390" width="2.5703125" style="224" bestFit="1" customWidth="1"/>
    <col min="5391" max="5391" width="9.140625" style="224"/>
    <col min="5392" max="5392" width="9" style="224" customWidth="1"/>
    <col min="5393" max="5632" width="9.140625" style="224"/>
    <col min="5633" max="5633" width="3.140625" style="224" customWidth="1"/>
    <col min="5634" max="5634" width="4.42578125" style="224" customWidth="1"/>
    <col min="5635" max="5635" width="43.7109375" style="224" customWidth="1"/>
    <col min="5636" max="5636" width="6.28515625" style="224" customWidth="1"/>
    <col min="5637" max="5637" width="7.85546875" style="224" customWidth="1"/>
    <col min="5638" max="5638" width="9.5703125" style="224" customWidth="1"/>
    <col min="5639" max="5639" width="13.85546875" style="224" customWidth="1"/>
    <col min="5640" max="5640" width="20.42578125" style="224" customWidth="1"/>
    <col min="5641" max="5643" width="11.7109375" style="224" customWidth="1"/>
    <col min="5644" max="5644" width="16.7109375" style="224" customWidth="1"/>
    <col min="5645" max="5645" width="9.85546875" style="224" customWidth="1"/>
    <col min="5646" max="5646" width="2.5703125" style="224" bestFit="1" customWidth="1"/>
    <col min="5647" max="5647" width="9.140625" style="224"/>
    <col min="5648" max="5648" width="9" style="224" customWidth="1"/>
    <col min="5649" max="5888" width="9.140625" style="224"/>
    <col min="5889" max="5889" width="3.140625" style="224" customWidth="1"/>
    <col min="5890" max="5890" width="4.42578125" style="224" customWidth="1"/>
    <col min="5891" max="5891" width="43.7109375" style="224" customWidth="1"/>
    <col min="5892" max="5892" width="6.28515625" style="224" customWidth="1"/>
    <col min="5893" max="5893" width="7.85546875" style="224" customWidth="1"/>
    <col min="5894" max="5894" width="9.5703125" style="224" customWidth="1"/>
    <col min="5895" max="5895" width="13.85546875" style="224" customWidth="1"/>
    <col min="5896" max="5896" width="20.42578125" style="224" customWidth="1"/>
    <col min="5897" max="5899" width="11.7109375" style="224" customWidth="1"/>
    <col min="5900" max="5900" width="16.7109375" style="224" customWidth="1"/>
    <col min="5901" max="5901" width="9.85546875" style="224" customWidth="1"/>
    <col min="5902" max="5902" width="2.5703125" style="224" bestFit="1" customWidth="1"/>
    <col min="5903" max="5903" width="9.140625" style="224"/>
    <col min="5904" max="5904" width="9" style="224" customWidth="1"/>
    <col min="5905" max="6144" width="9.140625" style="224"/>
    <col min="6145" max="6145" width="3.140625" style="224" customWidth="1"/>
    <col min="6146" max="6146" width="4.42578125" style="224" customWidth="1"/>
    <col min="6147" max="6147" width="43.7109375" style="224" customWidth="1"/>
    <col min="6148" max="6148" width="6.28515625" style="224" customWidth="1"/>
    <col min="6149" max="6149" width="7.85546875" style="224" customWidth="1"/>
    <col min="6150" max="6150" width="9.5703125" style="224" customWidth="1"/>
    <col min="6151" max="6151" width="13.85546875" style="224" customWidth="1"/>
    <col min="6152" max="6152" width="20.42578125" style="224" customWidth="1"/>
    <col min="6153" max="6155" width="11.7109375" style="224" customWidth="1"/>
    <col min="6156" max="6156" width="16.7109375" style="224" customWidth="1"/>
    <col min="6157" max="6157" width="9.85546875" style="224" customWidth="1"/>
    <col min="6158" max="6158" width="2.5703125" style="224" bestFit="1" customWidth="1"/>
    <col min="6159" max="6159" width="9.140625" style="224"/>
    <col min="6160" max="6160" width="9" style="224" customWidth="1"/>
    <col min="6161" max="6400" width="9.140625" style="224"/>
    <col min="6401" max="6401" width="3.140625" style="224" customWidth="1"/>
    <col min="6402" max="6402" width="4.42578125" style="224" customWidth="1"/>
    <col min="6403" max="6403" width="43.7109375" style="224" customWidth="1"/>
    <col min="6404" max="6404" width="6.28515625" style="224" customWidth="1"/>
    <col min="6405" max="6405" width="7.85546875" style="224" customWidth="1"/>
    <col min="6406" max="6406" width="9.5703125" style="224" customWidth="1"/>
    <col min="6407" max="6407" width="13.85546875" style="224" customWidth="1"/>
    <col min="6408" max="6408" width="20.42578125" style="224" customWidth="1"/>
    <col min="6409" max="6411" width="11.7109375" style="224" customWidth="1"/>
    <col min="6412" max="6412" width="16.7109375" style="224" customWidth="1"/>
    <col min="6413" max="6413" width="9.85546875" style="224" customWidth="1"/>
    <col min="6414" max="6414" width="2.5703125" style="224" bestFit="1" customWidth="1"/>
    <col min="6415" max="6415" width="9.140625" style="224"/>
    <col min="6416" max="6416" width="9" style="224" customWidth="1"/>
    <col min="6417" max="6656" width="9.140625" style="224"/>
    <col min="6657" max="6657" width="3.140625" style="224" customWidth="1"/>
    <col min="6658" max="6658" width="4.42578125" style="224" customWidth="1"/>
    <col min="6659" max="6659" width="43.7109375" style="224" customWidth="1"/>
    <col min="6660" max="6660" width="6.28515625" style="224" customWidth="1"/>
    <col min="6661" max="6661" width="7.85546875" style="224" customWidth="1"/>
    <col min="6662" max="6662" width="9.5703125" style="224" customWidth="1"/>
    <col min="6663" max="6663" width="13.85546875" style="224" customWidth="1"/>
    <col min="6664" max="6664" width="20.42578125" style="224" customWidth="1"/>
    <col min="6665" max="6667" width="11.7109375" style="224" customWidth="1"/>
    <col min="6668" max="6668" width="16.7109375" style="224" customWidth="1"/>
    <col min="6669" max="6669" width="9.85546875" style="224" customWidth="1"/>
    <col min="6670" max="6670" width="2.5703125" style="224" bestFit="1" customWidth="1"/>
    <col min="6671" max="6671" width="9.140625" style="224"/>
    <col min="6672" max="6672" width="9" style="224" customWidth="1"/>
    <col min="6673" max="6912" width="9.140625" style="224"/>
    <col min="6913" max="6913" width="3.140625" style="224" customWidth="1"/>
    <col min="6914" max="6914" width="4.42578125" style="224" customWidth="1"/>
    <col min="6915" max="6915" width="43.7109375" style="224" customWidth="1"/>
    <col min="6916" max="6916" width="6.28515625" style="224" customWidth="1"/>
    <col min="6917" max="6917" width="7.85546875" style="224" customWidth="1"/>
    <col min="6918" max="6918" width="9.5703125" style="224" customWidth="1"/>
    <col min="6919" max="6919" width="13.85546875" style="224" customWidth="1"/>
    <col min="6920" max="6920" width="20.42578125" style="224" customWidth="1"/>
    <col min="6921" max="6923" width="11.7109375" style="224" customWidth="1"/>
    <col min="6924" max="6924" width="16.7109375" style="224" customWidth="1"/>
    <col min="6925" max="6925" width="9.85546875" style="224" customWidth="1"/>
    <col min="6926" max="6926" width="2.5703125" style="224" bestFit="1" customWidth="1"/>
    <col min="6927" max="6927" width="9.140625" style="224"/>
    <col min="6928" max="6928" width="9" style="224" customWidth="1"/>
    <col min="6929" max="7168" width="9.140625" style="224"/>
    <col min="7169" max="7169" width="3.140625" style="224" customWidth="1"/>
    <col min="7170" max="7170" width="4.42578125" style="224" customWidth="1"/>
    <col min="7171" max="7171" width="43.7109375" style="224" customWidth="1"/>
    <col min="7172" max="7172" width="6.28515625" style="224" customWidth="1"/>
    <col min="7173" max="7173" width="7.85546875" style="224" customWidth="1"/>
    <col min="7174" max="7174" width="9.5703125" style="224" customWidth="1"/>
    <col min="7175" max="7175" width="13.85546875" style="224" customWidth="1"/>
    <col min="7176" max="7176" width="20.42578125" style="224" customWidth="1"/>
    <col min="7177" max="7179" width="11.7109375" style="224" customWidth="1"/>
    <col min="7180" max="7180" width="16.7109375" style="224" customWidth="1"/>
    <col min="7181" max="7181" width="9.85546875" style="224" customWidth="1"/>
    <col min="7182" max="7182" width="2.5703125" style="224" bestFit="1" customWidth="1"/>
    <col min="7183" max="7183" width="9.140625" style="224"/>
    <col min="7184" max="7184" width="9" style="224" customWidth="1"/>
    <col min="7185" max="7424" width="9.140625" style="224"/>
    <col min="7425" max="7425" width="3.140625" style="224" customWidth="1"/>
    <col min="7426" max="7426" width="4.42578125" style="224" customWidth="1"/>
    <col min="7427" max="7427" width="43.7109375" style="224" customWidth="1"/>
    <col min="7428" max="7428" width="6.28515625" style="224" customWidth="1"/>
    <col min="7429" max="7429" width="7.85546875" style="224" customWidth="1"/>
    <col min="7430" max="7430" width="9.5703125" style="224" customWidth="1"/>
    <col min="7431" max="7431" width="13.85546875" style="224" customWidth="1"/>
    <col min="7432" max="7432" width="20.42578125" style="224" customWidth="1"/>
    <col min="7433" max="7435" width="11.7109375" style="224" customWidth="1"/>
    <col min="7436" max="7436" width="16.7109375" style="224" customWidth="1"/>
    <col min="7437" max="7437" width="9.85546875" style="224" customWidth="1"/>
    <col min="7438" max="7438" width="2.5703125" style="224" bestFit="1" customWidth="1"/>
    <col min="7439" max="7439" width="9.140625" style="224"/>
    <col min="7440" max="7440" width="9" style="224" customWidth="1"/>
    <col min="7441" max="7680" width="9.140625" style="224"/>
    <col min="7681" max="7681" width="3.140625" style="224" customWidth="1"/>
    <col min="7682" max="7682" width="4.42578125" style="224" customWidth="1"/>
    <col min="7683" max="7683" width="43.7109375" style="224" customWidth="1"/>
    <col min="7684" max="7684" width="6.28515625" style="224" customWidth="1"/>
    <col min="7685" max="7685" width="7.85546875" style="224" customWidth="1"/>
    <col min="7686" max="7686" width="9.5703125" style="224" customWidth="1"/>
    <col min="7687" max="7687" width="13.85546875" style="224" customWidth="1"/>
    <col min="7688" max="7688" width="20.42578125" style="224" customWidth="1"/>
    <col min="7689" max="7691" width="11.7109375" style="224" customWidth="1"/>
    <col min="7692" max="7692" width="16.7109375" style="224" customWidth="1"/>
    <col min="7693" max="7693" width="9.85546875" style="224" customWidth="1"/>
    <col min="7694" max="7694" width="2.5703125" style="224" bestFit="1" customWidth="1"/>
    <col min="7695" max="7695" width="9.140625" style="224"/>
    <col min="7696" max="7696" width="9" style="224" customWidth="1"/>
    <col min="7697" max="7936" width="9.140625" style="224"/>
    <col min="7937" max="7937" width="3.140625" style="224" customWidth="1"/>
    <col min="7938" max="7938" width="4.42578125" style="224" customWidth="1"/>
    <col min="7939" max="7939" width="43.7109375" style="224" customWidth="1"/>
    <col min="7940" max="7940" width="6.28515625" style="224" customWidth="1"/>
    <col min="7941" max="7941" width="7.85546875" style="224" customWidth="1"/>
    <col min="7942" max="7942" width="9.5703125" style="224" customWidth="1"/>
    <col min="7943" max="7943" width="13.85546875" style="224" customWidth="1"/>
    <col min="7944" max="7944" width="20.42578125" style="224" customWidth="1"/>
    <col min="7945" max="7947" width="11.7109375" style="224" customWidth="1"/>
    <col min="7948" max="7948" width="16.7109375" style="224" customWidth="1"/>
    <col min="7949" max="7949" width="9.85546875" style="224" customWidth="1"/>
    <col min="7950" max="7950" width="2.5703125" style="224" bestFit="1" customWidth="1"/>
    <col min="7951" max="7951" width="9.140625" style="224"/>
    <col min="7952" max="7952" width="9" style="224" customWidth="1"/>
    <col min="7953" max="8192" width="9.140625" style="224"/>
    <col min="8193" max="8193" width="3.140625" style="224" customWidth="1"/>
    <col min="8194" max="8194" width="4.42578125" style="224" customWidth="1"/>
    <col min="8195" max="8195" width="43.7109375" style="224" customWidth="1"/>
    <col min="8196" max="8196" width="6.28515625" style="224" customWidth="1"/>
    <col min="8197" max="8197" width="7.85546875" style="224" customWidth="1"/>
    <col min="8198" max="8198" width="9.5703125" style="224" customWidth="1"/>
    <col min="8199" max="8199" width="13.85546875" style="224" customWidth="1"/>
    <col min="8200" max="8200" width="20.42578125" style="224" customWidth="1"/>
    <col min="8201" max="8203" width="11.7109375" style="224" customWidth="1"/>
    <col min="8204" max="8204" width="16.7109375" style="224" customWidth="1"/>
    <col min="8205" max="8205" width="9.85546875" style="224" customWidth="1"/>
    <col min="8206" max="8206" width="2.5703125" style="224" bestFit="1" customWidth="1"/>
    <col min="8207" max="8207" width="9.140625" style="224"/>
    <col min="8208" max="8208" width="9" style="224" customWidth="1"/>
    <col min="8209" max="8448" width="9.140625" style="224"/>
    <col min="8449" max="8449" width="3.140625" style="224" customWidth="1"/>
    <col min="8450" max="8450" width="4.42578125" style="224" customWidth="1"/>
    <col min="8451" max="8451" width="43.7109375" style="224" customWidth="1"/>
    <col min="8452" max="8452" width="6.28515625" style="224" customWidth="1"/>
    <col min="8453" max="8453" width="7.85546875" style="224" customWidth="1"/>
    <col min="8454" max="8454" width="9.5703125" style="224" customWidth="1"/>
    <col min="8455" max="8455" width="13.85546875" style="224" customWidth="1"/>
    <col min="8456" max="8456" width="20.42578125" style="224" customWidth="1"/>
    <col min="8457" max="8459" width="11.7109375" style="224" customWidth="1"/>
    <col min="8460" max="8460" width="16.7109375" style="224" customWidth="1"/>
    <col min="8461" max="8461" width="9.85546875" style="224" customWidth="1"/>
    <col min="8462" max="8462" width="2.5703125" style="224" bestFit="1" customWidth="1"/>
    <col min="8463" max="8463" width="9.140625" style="224"/>
    <col min="8464" max="8464" width="9" style="224" customWidth="1"/>
    <col min="8465" max="8704" width="9.140625" style="224"/>
    <col min="8705" max="8705" width="3.140625" style="224" customWidth="1"/>
    <col min="8706" max="8706" width="4.42578125" style="224" customWidth="1"/>
    <col min="8707" max="8707" width="43.7109375" style="224" customWidth="1"/>
    <col min="8708" max="8708" width="6.28515625" style="224" customWidth="1"/>
    <col min="8709" max="8709" width="7.85546875" style="224" customWidth="1"/>
    <col min="8710" max="8710" width="9.5703125" style="224" customWidth="1"/>
    <col min="8711" max="8711" width="13.85546875" style="224" customWidth="1"/>
    <col min="8712" max="8712" width="20.42578125" style="224" customWidth="1"/>
    <col min="8713" max="8715" width="11.7109375" style="224" customWidth="1"/>
    <col min="8716" max="8716" width="16.7109375" style="224" customWidth="1"/>
    <col min="8717" max="8717" width="9.85546875" style="224" customWidth="1"/>
    <col min="8718" max="8718" width="2.5703125" style="224" bestFit="1" customWidth="1"/>
    <col min="8719" max="8719" width="9.140625" style="224"/>
    <col min="8720" max="8720" width="9" style="224" customWidth="1"/>
    <col min="8721" max="8960" width="9.140625" style="224"/>
    <col min="8961" max="8961" width="3.140625" style="224" customWidth="1"/>
    <col min="8962" max="8962" width="4.42578125" style="224" customWidth="1"/>
    <col min="8963" max="8963" width="43.7109375" style="224" customWidth="1"/>
    <col min="8964" max="8964" width="6.28515625" style="224" customWidth="1"/>
    <col min="8965" max="8965" width="7.85546875" style="224" customWidth="1"/>
    <col min="8966" max="8966" width="9.5703125" style="224" customWidth="1"/>
    <col min="8967" max="8967" width="13.85546875" style="224" customWidth="1"/>
    <col min="8968" max="8968" width="20.42578125" style="224" customWidth="1"/>
    <col min="8969" max="8971" width="11.7109375" style="224" customWidth="1"/>
    <col min="8972" max="8972" width="16.7109375" style="224" customWidth="1"/>
    <col min="8973" max="8973" width="9.85546875" style="224" customWidth="1"/>
    <col min="8974" max="8974" width="2.5703125" style="224" bestFit="1" customWidth="1"/>
    <col min="8975" max="8975" width="9.140625" style="224"/>
    <col min="8976" max="8976" width="9" style="224" customWidth="1"/>
    <col min="8977" max="9216" width="9.140625" style="224"/>
    <col min="9217" max="9217" width="3.140625" style="224" customWidth="1"/>
    <col min="9218" max="9218" width="4.42578125" style="224" customWidth="1"/>
    <col min="9219" max="9219" width="43.7109375" style="224" customWidth="1"/>
    <col min="9220" max="9220" width="6.28515625" style="224" customWidth="1"/>
    <col min="9221" max="9221" width="7.85546875" style="224" customWidth="1"/>
    <col min="9222" max="9222" width="9.5703125" style="224" customWidth="1"/>
    <col min="9223" max="9223" width="13.85546875" style="224" customWidth="1"/>
    <col min="9224" max="9224" width="20.42578125" style="224" customWidth="1"/>
    <col min="9225" max="9227" width="11.7109375" style="224" customWidth="1"/>
    <col min="9228" max="9228" width="16.7109375" style="224" customWidth="1"/>
    <col min="9229" max="9229" width="9.85546875" style="224" customWidth="1"/>
    <col min="9230" max="9230" width="2.5703125" style="224" bestFit="1" customWidth="1"/>
    <col min="9231" max="9231" width="9.140625" style="224"/>
    <col min="9232" max="9232" width="9" style="224" customWidth="1"/>
    <col min="9233" max="9472" width="9.140625" style="224"/>
    <col min="9473" max="9473" width="3.140625" style="224" customWidth="1"/>
    <col min="9474" max="9474" width="4.42578125" style="224" customWidth="1"/>
    <col min="9475" max="9475" width="43.7109375" style="224" customWidth="1"/>
    <col min="9476" max="9476" width="6.28515625" style="224" customWidth="1"/>
    <col min="9477" max="9477" width="7.85546875" style="224" customWidth="1"/>
    <col min="9478" max="9478" width="9.5703125" style="224" customWidth="1"/>
    <col min="9479" max="9479" width="13.85546875" style="224" customWidth="1"/>
    <col min="9480" max="9480" width="20.42578125" style="224" customWidth="1"/>
    <col min="9481" max="9483" width="11.7109375" style="224" customWidth="1"/>
    <col min="9484" max="9484" width="16.7109375" style="224" customWidth="1"/>
    <col min="9485" max="9485" width="9.85546875" style="224" customWidth="1"/>
    <col min="9486" max="9486" width="2.5703125" style="224" bestFit="1" customWidth="1"/>
    <col min="9487" max="9487" width="9.140625" style="224"/>
    <col min="9488" max="9488" width="9" style="224" customWidth="1"/>
    <col min="9489" max="9728" width="9.140625" style="224"/>
    <col min="9729" max="9729" width="3.140625" style="224" customWidth="1"/>
    <col min="9730" max="9730" width="4.42578125" style="224" customWidth="1"/>
    <col min="9731" max="9731" width="43.7109375" style="224" customWidth="1"/>
    <col min="9732" max="9732" width="6.28515625" style="224" customWidth="1"/>
    <col min="9733" max="9733" width="7.85546875" style="224" customWidth="1"/>
    <col min="9734" max="9734" width="9.5703125" style="224" customWidth="1"/>
    <col min="9735" max="9735" width="13.85546875" style="224" customWidth="1"/>
    <col min="9736" max="9736" width="20.42578125" style="224" customWidth="1"/>
    <col min="9737" max="9739" width="11.7109375" style="224" customWidth="1"/>
    <col min="9740" max="9740" width="16.7109375" style="224" customWidth="1"/>
    <col min="9741" max="9741" width="9.85546875" style="224" customWidth="1"/>
    <col min="9742" max="9742" width="2.5703125" style="224" bestFit="1" customWidth="1"/>
    <col min="9743" max="9743" width="9.140625" style="224"/>
    <col min="9744" max="9744" width="9" style="224" customWidth="1"/>
    <col min="9745" max="9984" width="9.140625" style="224"/>
    <col min="9985" max="9985" width="3.140625" style="224" customWidth="1"/>
    <col min="9986" max="9986" width="4.42578125" style="224" customWidth="1"/>
    <col min="9987" max="9987" width="43.7109375" style="224" customWidth="1"/>
    <col min="9988" max="9988" width="6.28515625" style="224" customWidth="1"/>
    <col min="9989" max="9989" width="7.85546875" style="224" customWidth="1"/>
    <col min="9990" max="9990" width="9.5703125" style="224" customWidth="1"/>
    <col min="9991" max="9991" width="13.85546875" style="224" customWidth="1"/>
    <col min="9992" max="9992" width="20.42578125" style="224" customWidth="1"/>
    <col min="9993" max="9995" width="11.7109375" style="224" customWidth="1"/>
    <col min="9996" max="9996" width="16.7109375" style="224" customWidth="1"/>
    <col min="9997" max="9997" width="9.85546875" style="224" customWidth="1"/>
    <col min="9998" max="9998" width="2.5703125" style="224" bestFit="1" customWidth="1"/>
    <col min="9999" max="9999" width="9.140625" style="224"/>
    <col min="10000" max="10000" width="9" style="224" customWidth="1"/>
    <col min="10001" max="10240" width="9.140625" style="224"/>
    <col min="10241" max="10241" width="3.140625" style="224" customWidth="1"/>
    <col min="10242" max="10242" width="4.42578125" style="224" customWidth="1"/>
    <col min="10243" max="10243" width="43.7109375" style="224" customWidth="1"/>
    <col min="10244" max="10244" width="6.28515625" style="224" customWidth="1"/>
    <col min="10245" max="10245" width="7.85546875" style="224" customWidth="1"/>
    <col min="10246" max="10246" width="9.5703125" style="224" customWidth="1"/>
    <col min="10247" max="10247" width="13.85546875" style="224" customWidth="1"/>
    <col min="10248" max="10248" width="20.42578125" style="224" customWidth="1"/>
    <col min="10249" max="10251" width="11.7109375" style="224" customWidth="1"/>
    <col min="10252" max="10252" width="16.7109375" style="224" customWidth="1"/>
    <col min="10253" max="10253" width="9.85546875" style="224" customWidth="1"/>
    <col min="10254" max="10254" width="2.5703125" style="224" bestFit="1" customWidth="1"/>
    <col min="10255" max="10255" width="9.140625" style="224"/>
    <col min="10256" max="10256" width="9" style="224" customWidth="1"/>
    <col min="10257" max="10496" width="9.140625" style="224"/>
    <col min="10497" max="10497" width="3.140625" style="224" customWidth="1"/>
    <col min="10498" max="10498" width="4.42578125" style="224" customWidth="1"/>
    <col min="10499" max="10499" width="43.7109375" style="224" customWidth="1"/>
    <col min="10500" max="10500" width="6.28515625" style="224" customWidth="1"/>
    <col min="10501" max="10501" width="7.85546875" style="224" customWidth="1"/>
    <col min="10502" max="10502" width="9.5703125" style="224" customWidth="1"/>
    <col min="10503" max="10503" width="13.85546875" style="224" customWidth="1"/>
    <col min="10504" max="10504" width="20.42578125" style="224" customWidth="1"/>
    <col min="10505" max="10507" width="11.7109375" style="224" customWidth="1"/>
    <col min="10508" max="10508" width="16.7109375" style="224" customWidth="1"/>
    <col min="10509" max="10509" width="9.85546875" style="224" customWidth="1"/>
    <col min="10510" max="10510" width="2.5703125" style="224" bestFit="1" customWidth="1"/>
    <col min="10511" max="10511" width="9.140625" style="224"/>
    <col min="10512" max="10512" width="9" style="224" customWidth="1"/>
    <col min="10513" max="10752" width="9.140625" style="224"/>
    <col min="10753" max="10753" width="3.140625" style="224" customWidth="1"/>
    <col min="10754" max="10754" width="4.42578125" style="224" customWidth="1"/>
    <col min="10755" max="10755" width="43.7109375" style="224" customWidth="1"/>
    <col min="10756" max="10756" width="6.28515625" style="224" customWidth="1"/>
    <col min="10757" max="10757" width="7.85546875" style="224" customWidth="1"/>
    <col min="10758" max="10758" width="9.5703125" style="224" customWidth="1"/>
    <col min="10759" max="10759" width="13.85546875" style="224" customWidth="1"/>
    <col min="10760" max="10760" width="20.42578125" style="224" customWidth="1"/>
    <col min="10761" max="10763" width="11.7109375" style="224" customWidth="1"/>
    <col min="10764" max="10764" width="16.7109375" style="224" customWidth="1"/>
    <col min="10765" max="10765" width="9.85546875" style="224" customWidth="1"/>
    <col min="10766" max="10766" width="2.5703125" style="224" bestFit="1" customWidth="1"/>
    <col min="10767" max="10767" width="9.140625" style="224"/>
    <col min="10768" max="10768" width="9" style="224" customWidth="1"/>
    <col min="10769" max="11008" width="9.140625" style="224"/>
    <col min="11009" max="11009" width="3.140625" style="224" customWidth="1"/>
    <col min="11010" max="11010" width="4.42578125" style="224" customWidth="1"/>
    <col min="11011" max="11011" width="43.7109375" style="224" customWidth="1"/>
    <col min="11012" max="11012" width="6.28515625" style="224" customWidth="1"/>
    <col min="11013" max="11013" width="7.85546875" style="224" customWidth="1"/>
    <col min="11014" max="11014" width="9.5703125" style="224" customWidth="1"/>
    <col min="11015" max="11015" width="13.85546875" style="224" customWidth="1"/>
    <col min="11016" max="11016" width="20.42578125" style="224" customWidth="1"/>
    <col min="11017" max="11019" width="11.7109375" style="224" customWidth="1"/>
    <col min="11020" max="11020" width="16.7109375" style="224" customWidth="1"/>
    <col min="11021" max="11021" width="9.85546875" style="224" customWidth="1"/>
    <col min="11022" max="11022" width="2.5703125" style="224" bestFit="1" customWidth="1"/>
    <col min="11023" max="11023" width="9.140625" style="224"/>
    <col min="11024" max="11024" width="9" style="224" customWidth="1"/>
    <col min="11025" max="11264" width="9.140625" style="224"/>
    <col min="11265" max="11265" width="3.140625" style="224" customWidth="1"/>
    <col min="11266" max="11266" width="4.42578125" style="224" customWidth="1"/>
    <col min="11267" max="11267" width="43.7109375" style="224" customWidth="1"/>
    <col min="11268" max="11268" width="6.28515625" style="224" customWidth="1"/>
    <col min="11269" max="11269" width="7.85546875" style="224" customWidth="1"/>
    <col min="11270" max="11270" width="9.5703125" style="224" customWidth="1"/>
    <col min="11271" max="11271" width="13.85546875" style="224" customWidth="1"/>
    <col min="11272" max="11272" width="20.42578125" style="224" customWidth="1"/>
    <col min="11273" max="11275" width="11.7109375" style="224" customWidth="1"/>
    <col min="11276" max="11276" width="16.7109375" style="224" customWidth="1"/>
    <col min="11277" max="11277" width="9.85546875" style="224" customWidth="1"/>
    <col min="11278" max="11278" width="2.5703125" style="224" bestFit="1" customWidth="1"/>
    <col min="11279" max="11279" width="9.140625" style="224"/>
    <col min="11280" max="11280" width="9" style="224" customWidth="1"/>
    <col min="11281" max="11520" width="9.140625" style="224"/>
    <col min="11521" max="11521" width="3.140625" style="224" customWidth="1"/>
    <col min="11522" max="11522" width="4.42578125" style="224" customWidth="1"/>
    <col min="11523" max="11523" width="43.7109375" style="224" customWidth="1"/>
    <col min="11524" max="11524" width="6.28515625" style="224" customWidth="1"/>
    <col min="11525" max="11525" width="7.85546875" style="224" customWidth="1"/>
    <col min="11526" max="11526" width="9.5703125" style="224" customWidth="1"/>
    <col min="11527" max="11527" width="13.85546875" style="224" customWidth="1"/>
    <col min="11528" max="11528" width="20.42578125" style="224" customWidth="1"/>
    <col min="11529" max="11531" width="11.7109375" style="224" customWidth="1"/>
    <col min="11532" max="11532" width="16.7109375" style="224" customWidth="1"/>
    <col min="11533" max="11533" width="9.85546875" style="224" customWidth="1"/>
    <col min="11534" max="11534" width="2.5703125" style="224" bestFit="1" customWidth="1"/>
    <col min="11535" max="11535" width="9.140625" style="224"/>
    <col min="11536" max="11536" width="9" style="224" customWidth="1"/>
    <col min="11537" max="11776" width="9.140625" style="224"/>
    <col min="11777" max="11777" width="3.140625" style="224" customWidth="1"/>
    <col min="11778" max="11778" width="4.42578125" style="224" customWidth="1"/>
    <col min="11779" max="11779" width="43.7109375" style="224" customWidth="1"/>
    <col min="11780" max="11780" width="6.28515625" style="224" customWidth="1"/>
    <col min="11781" max="11781" width="7.85546875" style="224" customWidth="1"/>
    <col min="11782" max="11782" width="9.5703125" style="224" customWidth="1"/>
    <col min="11783" max="11783" width="13.85546875" style="224" customWidth="1"/>
    <col min="11784" max="11784" width="20.42578125" style="224" customWidth="1"/>
    <col min="11785" max="11787" width="11.7109375" style="224" customWidth="1"/>
    <col min="11788" max="11788" width="16.7109375" style="224" customWidth="1"/>
    <col min="11789" max="11789" width="9.85546875" style="224" customWidth="1"/>
    <col min="11790" max="11790" width="2.5703125" style="224" bestFit="1" customWidth="1"/>
    <col min="11791" max="11791" width="9.140625" style="224"/>
    <col min="11792" max="11792" width="9" style="224" customWidth="1"/>
    <col min="11793" max="12032" width="9.140625" style="224"/>
    <col min="12033" max="12033" width="3.140625" style="224" customWidth="1"/>
    <col min="12034" max="12034" width="4.42578125" style="224" customWidth="1"/>
    <col min="12035" max="12035" width="43.7109375" style="224" customWidth="1"/>
    <col min="12036" max="12036" width="6.28515625" style="224" customWidth="1"/>
    <col min="12037" max="12037" width="7.85546875" style="224" customWidth="1"/>
    <col min="12038" max="12038" width="9.5703125" style="224" customWidth="1"/>
    <col min="12039" max="12039" width="13.85546875" style="224" customWidth="1"/>
    <col min="12040" max="12040" width="20.42578125" style="224" customWidth="1"/>
    <col min="12041" max="12043" width="11.7109375" style="224" customWidth="1"/>
    <col min="12044" max="12044" width="16.7109375" style="224" customWidth="1"/>
    <col min="12045" max="12045" width="9.85546875" style="224" customWidth="1"/>
    <col min="12046" max="12046" width="2.5703125" style="224" bestFit="1" customWidth="1"/>
    <col min="12047" max="12047" width="9.140625" style="224"/>
    <col min="12048" max="12048" width="9" style="224" customWidth="1"/>
    <col min="12049" max="12288" width="9.140625" style="224"/>
    <col min="12289" max="12289" width="3.140625" style="224" customWidth="1"/>
    <col min="12290" max="12290" width="4.42578125" style="224" customWidth="1"/>
    <col min="12291" max="12291" width="43.7109375" style="224" customWidth="1"/>
    <col min="12292" max="12292" width="6.28515625" style="224" customWidth="1"/>
    <col min="12293" max="12293" width="7.85546875" style="224" customWidth="1"/>
    <col min="12294" max="12294" width="9.5703125" style="224" customWidth="1"/>
    <col min="12295" max="12295" width="13.85546875" style="224" customWidth="1"/>
    <col min="12296" max="12296" width="20.42578125" style="224" customWidth="1"/>
    <col min="12297" max="12299" width="11.7109375" style="224" customWidth="1"/>
    <col min="12300" max="12300" width="16.7109375" style="224" customWidth="1"/>
    <col min="12301" max="12301" width="9.85546875" style="224" customWidth="1"/>
    <col min="12302" max="12302" width="2.5703125" style="224" bestFit="1" customWidth="1"/>
    <col min="12303" max="12303" width="9.140625" style="224"/>
    <col min="12304" max="12304" width="9" style="224" customWidth="1"/>
    <col min="12305" max="12544" width="9.140625" style="224"/>
    <col min="12545" max="12545" width="3.140625" style="224" customWidth="1"/>
    <col min="12546" max="12546" width="4.42578125" style="224" customWidth="1"/>
    <col min="12547" max="12547" width="43.7109375" style="224" customWidth="1"/>
    <col min="12548" max="12548" width="6.28515625" style="224" customWidth="1"/>
    <col min="12549" max="12549" width="7.85546875" style="224" customWidth="1"/>
    <col min="12550" max="12550" width="9.5703125" style="224" customWidth="1"/>
    <col min="12551" max="12551" width="13.85546875" style="224" customWidth="1"/>
    <col min="12552" max="12552" width="20.42578125" style="224" customWidth="1"/>
    <col min="12553" max="12555" width="11.7109375" style="224" customWidth="1"/>
    <col min="12556" max="12556" width="16.7109375" style="224" customWidth="1"/>
    <col min="12557" max="12557" width="9.85546875" style="224" customWidth="1"/>
    <col min="12558" max="12558" width="2.5703125" style="224" bestFit="1" customWidth="1"/>
    <col min="12559" max="12559" width="9.140625" style="224"/>
    <col min="12560" max="12560" width="9" style="224" customWidth="1"/>
    <col min="12561" max="12800" width="9.140625" style="224"/>
    <col min="12801" max="12801" width="3.140625" style="224" customWidth="1"/>
    <col min="12802" max="12802" width="4.42578125" style="224" customWidth="1"/>
    <col min="12803" max="12803" width="43.7109375" style="224" customWidth="1"/>
    <col min="12804" max="12804" width="6.28515625" style="224" customWidth="1"/>
    <col min="12805" max="12805" width="7.85546875" style="224" customWidth="1"/>
    <col min="12806" max="12806" width="9.5703125" style="224" customWidth="1"/>
    <col min="12807" max="12807" width="13.85546875" style="224" customWidth="1"/>
    <col min="12808" max="12808" width="20.42578125" style="224" customWidth="1"/>
    <col min="12809" max="12811" width="11.7109375" style="224" customWidth="1"/>
    <col min="12812" max="12812" width="16.7109375" style="224" customWidth="1"/>
    <col min="12813" max="12813" width="9.85546875" style="224" customWidth="1"/>
    <col min="12814" max="12814" width="2.5703125" style="224" bestFit="1" customWidth="1"/>
    <col min="12815" max="12815" width="9.140625" style="224"/>
    <col min="12816" max="12816" width="9" style="224" customWidth="1"/>
    <col min="12817" max="13056" width="9.140625" style="224"/>
    <col min="13057" max="13057" width="3.140625" style="224" customWidth="1"/>
    <col min="13058" max="13058" width="4.42578125" style="224" customWidth="1"/>
    <col min="13059" max="13059" width="43.7109375" style="224" customWidth="1"/>
    <col min="13060" max="13060" width="6.28515625" style="224" customWidth="1"/>
    <col min="13061" max="13061" width="7.85546875" style="224" customWidth="1"/>
    <col min="13062" max="13062" width="9.5703125" style="224" customWidth="1"/>
    <col min="13063" max="13063" width="13.85546875" style="224" customWidth="1"/>
    <col min="13064" max="13064" width="20.42578125" style="224" customWidth="1"/>
    <col min="13065" max="13067" width="11.7109375" style="224" customWidth="1"/>
    <col min="13068" max="13068" width="16.7109375" style="224" customWidth="1"/>
    <col min="13069" max="13069" width="9.85546875" style="224" customWidth="1"/>
    <col min="13070" max="13070" width="2.5703125" style="224" bestFit="1" customWidth="1"/>
    <col min="13071" max="13071" width="9.140625" style="224"/>
    <col min="13072" max="13072" width="9" style="224" customWidth="1"/>
    <col min="13073" max="13312" width="9.140625" style="224"/>
    <col min="13313" max="13313" width="3.140625" style="224" customWidth="1"/>
    <col min="13314" max="13314" width="4.42578125" style="224" customWidth="1"/>
    <col min="13315" max="13315" width="43.7109375" style="224" customWidth="1"/>
    <col min="13316" max="13316" width="6.28515625" style="224" customWidth="1"/>
    <col min="13317" max="13317" width="7.85546875" style="224" customWidth="1"/>
    <col min="13318" max="13318" width="9.5703125" style="224" customWidth="1"/>
    <col min="13319" max="13319" width="13.85546875" style="224" customWidth="1"/>
    <col min="13320" max="13320" width="20.42578125" style="224" customWidth="1"/>
    <col min="13321" max="13323" width="11.7109375" style="224" customWidth="1"/>
    <col min="13324" max="13324" width="16.7109375" style="224" customWidth="1"/>
    <col min="13325" max="13325" width="9.85546875" style="224" customWidth="1"/>
    <col min="13326" max="13326" width="2.5703125" style="224" bestFit="1" customWidth="1"/>
    <col min="13327" max="13327" width="9.140625" style="224"/>
    <col min="13328" max="13328" width="9" style="224" customWidth="1"/>
    <col min="13329" max="13568" width="9.140625" style="224"/>
    <col min="13569" max="13569" width="3.140625" style="224" customWidth="1"/>
    <col min="13570" max="13570" width="4.42578125" style="224" customWidth="1"/>
    <col min="13571" max="13571" width="43.7109375" style="224" customWidth="1"/>
    <col min="13572" max="13572" width="6.28515625" style="224" customWidth="1"/>
    <col min="13573" max="13573" width="7.85546875" style="224" customWidth="1"/>
    <col min="13574" max="13574" width="9.5703125" style="224" customWidth="1"/>
    <col min="13575" max="13575" width="13.85546875" style="224" customWidth="1"/>
    <col min="13576" max="13576" width="20.42578125" style="224" customWidth="1"/>
    <col min="13577" max="13579" width="11.7109375" style="224" customWidth="1"/>
    <col min="13580" max="13580" width="16.7109375" style="224" customWidth="1"/>
    <col min="13581" max="13581" width="9.85546875" style="224" customWidth="1"/>
    <col min="13582" max="13582" width="2.5703125" style="224" bestFit="1" customWidth="1"/>
    <col min="13583" max="13583" width="9.140625" style="224"/>
    <col min="13584" max="13584" width="9" style="224" customWidth="1"/>
    <col min="13585" max="13824" width="9.140625" style="224"/>
    <col min="13825" max="13825" width="3.140625" style="224" customWidth="1"/>
    <col min="13826" max="13826" width="4.42578125" style="224" customWidth="1"/>
    <col min="13827" max="13827" width="43.7109375" style="224" customWidth="1"/>
    <col min="13828" max="13828" width="6.28515625" style="224" customWidth="1"/>
    <col min="13829" max="13829" width="7.85546875" style="224" customWidth="1"/>
    <col min="13830" max="13830" width="9.5703125" style="224" customWidth="1"/>
    <col min="13831" max="13831" width="13.85546875" style="224" customWidth="1"/>
    <col min="13832" max="13832" width="20.42578125" style="224" customWidth="1"/>
    <col min="13833" max="13835" width="11.7109375" style="224" customWidth="1"/>
    <col min="13836" max="13836" width="16.7109375" style="224" customWidth="1"/>
    <col min="13837" max="13837" width="9.85546875" style="224" customWidth="1"/>
    <col min="13838" max="13838" width="2.5703125" style="224" bestFit="1" customWidth="1"/>
    <col min="13839" max="13839" width="9.140625" style="224"/>
    <col min="13840" max="13840" width="9" style="224" customWidth="1"/>
    <col min="13841" max="14080" width="9.140625" style="224"/>
    <col min="14081" max="14081" width="3.140625" style="224" customWidth="1"/>
    <col min="14082" max="14082" width="4.42578125" style="224" customWidth="1"/>
    <col min="14083" max="14083" width="43.7109375" style="224" customWidth="1"/>
    <col min="14084" max="14084" width="6.28515625" style="224" customWidth="1"/>
    <col min="14085" max="14085" width="7.85546875" style="224" customWidth="1"/>
    <col min="14086" max="14086" width="9.5703125" style="224" customWidth="1"/>
    <col min="14087" max="14087" width="13.85546875" style="224" customWidth="1"/>
    <col min="14088" max="14088" width="20.42578125" style="224" customWidth="1"/>
    <col min="14089" max="14091" width="11.7109375" style="224" customWidth="1"/>
    <col min="14092" max="14092" width="16.7109375" style="224" customWidth="1"/>
    <col min="14093" max="14093" width="9.85546875" style="224" customWidth="1"/>
    <col min="14094" max="14094" width="2.5703125" style="224" bestFit="1" customWidth="1"/>
    <col min="14095" max="14095" width="9.140625" style="224"/>
    <col min="14096" max="14096" width="9" style="224" customWidth="1"/>
    <col min="14097" max="14336" width="9.140625" style="224"/>
    <col min="14337" max="14337" width="3.140625" style="224" customWidth="1"/>
    <col min="14338" max="14338" width="4.42578125" style="224" customWidth="1"/>
    <col min="14339" max="14339" width="43.7109375" style="224" customWidth="1"/>
    <col min="14340" max="14340" width="6.28515625" style="224" customWidth="1"/>
    <col min="14341" max="14341" width="7.85546875" style="224" customWidth="1"/>
    <col min="14342" max="14342" width="9.5703125" style="224" customWidth="1"/>
    <col min="14343" max="14343" width="13.85546875" style="224" customWidth="1"/>
    <col min="14344" max="14344" width="20.42578125" style="224" customWidth="1"/>
    <col min="14345" max="14347" width="11.7109375" style="224" customWidth="1"/>
    <col min="14348" max="14348" width="16.7109375" style="224" customWidth="1"/>
    <col min="14349" max="14349" width="9.85546875" style="224" customWidth="1"/>
    <col min="14350" max="14350" width="2.5703125" style="224" bestFit="1" customWidth="1"/>
    <col min="14351" max="14351" width="9.140625" style="224"/>
    <col min="14352" max="14352" width="9" style="224" customWidth="1"/>
    <col min="14353" max="14592" width="9.140625" style="224"/>
    <col min="14593" max="14593" width="3.140625" style="224" customWidth="1"/>
    <col min="14594" max="14594" width="4.42578125" style="224" customWidth="1"/>
    <col min="14595" max="14595" width="43.7109375" style="224" customWidth="1"/>
    <col min="14596" max="14596" width="6.28515625" style="224" customWidth="1"/>
    <col min="14597" max="14597" width="7.85546875" style="224" customWidth="1"/>
    <col min="14598" max="14598" width="9.5703125" style="224" customWidth="1"/>
    <col min="14599" max="14599" width="13.85546875" style="224" customWidth="1"/>
    <col min="14600" max="14600" width="20.42578125" style="224" customWidth="1"/>
    <col min="14601" max="14603" width="11.7109375" style="224" customWidth="1"/>
    <col min="14604" max="14604" width="16.7109375" style="224" customWidth="1"/>
    <col min="14605" max="14605" width="9.85546875" style="224" customWidth="1"/>
    <col min="14606" max="14606" width="2.5703125" style="224" bestFit="1" customWidth="1"/>
    <col min="14607" max="14607" width="9.140625" style="224"/>
    <col min="14608" max="14608" width="9" style="224" customWidth="1"/>
    <col min="14609" max="14848" width="9.140625" style="224"/>
    <col min="14849" max="14849" width="3.140625" style="224" customWidth="1"/>
    <col min="14850" max="14850" width="4.42578125" style="224" customWidth="1"/>
    <col min="14851" max="14851" width="43.7109375" style="224" customWidth="1"/>
    <col min="14852" max="14852" width="6.28515625" style="224" customWidth="1"/>
    <col min="14853" max="14853" width="7.85546875" style="224" customWidth="1"/>
    <col min="14854" max="14854" width="9.5703125" style="224" customWidth="1"/>
    <col min="14855" max="14855" width="13.85546875" style="224" customWidth="1"/>
    <col min="14856" max="14856" width="20.42578125" style="224" customWidth="1"/>
    <col min="14857" max="14859" width="11.7109375" style="224" customWidth="1"/>
    <col min="14860" max="14860" width="16.7109375" style="224" customWidth="1"/>
    <col min="14861" max="14861" width="9.85546875" style="224" customWidth="1"/>
    <col min="14862" max="14862" width="2.5703125" style="224" bestFit="1" customWidth="1"/>
    <col min="14863" max="14863" width="9.140625" style="224"/>
    <col min="14864" max="14864" width="9" style="224" customWidth="1"/>
    <col min="14865" max="15104" width="9.140625" style="224"/>
    <col min="15105" max="15105" width="3.140625" style="224" customWidth="1"/>
    <col min="15106" max="15106" width="4.42578125" style="224" customWidth="1"/>
    <col min="15107" max="15107" width="43.7109375" style="224" customWidth="1"/>
    <col min="15108" max="15108" width="6.28515625" style="224" customWidth="1"/>
    <col min="15109" max="15109" width="7.85546875" style="224" customWidth="1"/>
    <col min="15110" max="15110" width="9.5703125" style="224" customWidth="1"/>
    <col min="15111" max="15111" width="13.85546875" style="224" customWidth="1"/>
    <col min="15112" max="15112" width="20.42578125" style="224" customWidth="1"/>
    <col min="15113" max="15115" width="11.7109375" style="224" customWidth="1"/>
    <col min="15116" max="15116" width="16.7109375" style="224" customWidth="1"/>
    <col min="15117" max="15117" width="9.85546875" style="224" customWidth="1"/>
    <col min="15118" max="15118" width="2.5703125" style="224" bestFit="1" customWidth="1"/>
    <col min="15119" max="15119" width="9.140625" style="224"/>
    <col min="15120" max="15120" width="9" style="224" customWidth="1"/>
    <col min="15121" max="15360" width="9.140625" style="224"/>
    <col min="15361" max="15361" width="3.140625" style="224" customWidth="1"/>
    <col min="15362" max="15362" width="4.42578125" style="224" customWidth="1"/>
    <col min="15363" max="15363" width="43.7109375" style="224" customWidth="1"/>
    <col min="15364" max="15364" width="6.28515625" style="224" customWidth="1"/>
    <col min="15365" max="15365" width="7.85546875" style="224" customWidth="1"/>
    <col min="15366" max="15366" width="9.5703125" style="224" customWidth="1"/>
    <col min="15367" max="15367" width="13.85546875" style="224" customWidth="1"/>
    <col min="15368" max="15368" width="20.42578125" style="224" customWidth="1"/>
    <col min="15369" max="15371" width="11.7109375" style="224" customWidth="1"/>
    <col min="15372" max="15372" width="16.7109375" style="224" customWidth="1"/>
    <col min="15373" max="15373" width="9.85546875" style="224" customWidth="1"/>
    <col min="15374" max="15374" width="2.5703125" style="224" bestFit="1" customWidth="1"/>
    <col min="15375" max="15375" width="9.140625" style="224"/>
    <col min="15376" max="15376" width="9" style="224" customWidth="1"/>
    <col min="15377" max="15616" width="9.140625" style="224"/>
    <col min="15617" max="15617" width="3.140625" style="224" customWidth="1"/>
    <col min="15618" max="15618" width="4.42578125" style="224" customWidth="1"/>
    <col min="15619" max="15619" width="43.7109375" style="224" customWidth="1"/>
    <col min="15620" max="15620" width="6.28515625" style="224" customWidth="1"/>
    <col min="15621" max="15621" width="7.85546875" style="224" customWidth="1"/>
    <col min="15622" max="15622" width="9.5703125" style="224" customWidth="1"/>
    <col min="15623" max="15623" width="13.85546875" style="224" customWidth="1"/>
    <col min="15624" max="15624" width="20.42578125" style="224" customWidth="1"/>
    <col min="15625" max="15627" width="11.7109375" style="224" customWidth="1"/>
    <col min="15628" max="15628" width="16.7109375" style="224" customWidth="1"/>
    <col min="15629" max="15629" width="9.85546875" style="224" customWidth="1"/>
    <col min="15630" max="15630" width="2.5703125" style="224" bestFit="1" customWidth="1"/>
    <col min="15631" max="15631" width="9.140625" style="224"/>
    <col min="15632" max="15632" width="9" style="224" customWidth="1"/>
    <col min="15633" max="15872" width="9.140625" style="224"/>
    <col min="15873" max="15873" width="3.140625" style="224" customWidth="1"/>
    <col min="15874" max="15874" width="4.42578125" style="224" customWidth="1"/>
    <col min="15875" max="15875" width="43.7109375" style="224" customWidth="1"/>
    <col min="15876" max="15876" width="6.28515625" style="224" customWidth="1"/>
    <col min="15877" max="15877" width="7.85546875" style="224" customWidth="1"/>
    <col min="15878" max="15878" width="9.5703125" style="224" customWidth="1"/>
    <col min="15879" max="15879" width="13.85546875" style="224" customWidth="1"/>
    <col min="15880" max="15880" width="20.42578125" style="224" customWidth="1"/>
    <col min="15881" max="15883" width="11.7109375" style="224" customWidth="1"/>
    <col min="15884" max="15884" width="16.7109375" style="224" customWidth="1"/>
    <col min="15885" max="15885" width="9.85546875" style="224" customWidth="1"/>
    <col min="15886" max="15886" width="2.5703125" style="224" bestFit="1" customWidth="1"/>
    <col min="15887" max="15887" width="9.140625" style="224"/>
    <col min="15888" max="15888" width="9" style="224" customWidth="1"/>
    <col min="15889" max="16128" width="9.140625" style="224"/>
    <col min="16129" max="16129" width="3.140625" style="224" customWidth="1"/>
    <col min="16130" max="16130" width="4.42578125" style="224" customWidth="1"/>
    <col min="16131" max="16131" width="43.7109375" style="224" customWidth="1"/>
    <col min="16132" max="16132" width="6.28515625" style="224" customWidth="1"/>
    <col min="16133" max="16133" width="7.85546875" style="224" customWidth="1"/>
    <col min="16134" max="16134" width="9.5703125" style="224" customWidth="1"/>
    <col min="16135" max="16135" width="13.85546875" style="224" customWidth="1"/>
    <col min="16136" max="16136" width="20.42578125" style="224" customWidth="1"/>
    <col min="16137" max="16139" width="11.7109375" style="224" customWidth="1"/>
    <col min="16140" max="16140" width="16.7109375" style="224" customWidth="1"/>
    <col min="16141" max="16141" width="9.85546875" style="224" customWidth="1"/>
    <col min="16142" max="16142" width="2.5703125" style="224" bestFit="1" customWidth="1"/>
    <col min="16143" max="16143" width="9.140625" style="224"/>
    <col min="16144" max="16144" width="9" style="224" customWidth="1"/>
    <col min="16145" max="16384" width="9.140625" style="224"/>
  </cols>
  <sheetData>
    <row r="1" spans="1:16" ht="18" x14ac:dyDescent="0.2">
      <c r="A1" s="213" t="s">
        <v>495</v>
      </c>
      <c r="B1" s="224"/>
      <c r="C1" s="212" t="s">
        <v>753</v>
      </c>
    </row>
    <row r="2" spans="1:16" s="213" customFormat="1" ht="18.75" x14ac:dyDescent="0.25">
      <c r="D2" s="315"/>
      <c r="E2" s="316"/>
      <c r="F2" s="1863"/>
      <c r="G2" s="317"/>
      <c r="H2" s="214"/>
      <c r="I2" s="215"/>
      <c r="J2" s="216"/>
      <c r="K2" s="216"/>
      <c r="L2" s="217"/>
    </row>
    <row r="3" spans="1:16" s="213" customFormat="1" ht="18.75" x14ac:dyDescent="0.25">
      <c r="A3" s="212" t="s">
        <v>37</v>
      </c>
      <c r="C3" s="212" t="s">
        <v>616</v>
      </c>
      <c r="D3" s="315"/>
      <c r="E3" s="316"/>
      <c r="F3" s="1863"/>
      <c r="G3" s="317"/>
      <c r="H3" s="214"/>
      <c r="I3" s="215"/>
      <c r="J3" s="216"/>
      <c r="K3" s="216"/>
      <c r="L3" s="217"/>
    </row>
    <row r="4" spans="1:16" s="213" customFormat="1" ht="18.75" x14ac:dyDescent="0.25">
      <c r="B4" s="318"/>
      <c r="D4" s="315"/>
      <c r="E4" s="316"/>
      <c r="F4" s="1863"/>
      <c r="G4" s="317"/>
      <c r="H4" s="214"/>
      <c r="I4" s="215"/>
      <c r="J4" s="216"/>
      <c r="K4" s="216"/>
      <c r="L4" s="319"/>
      <c r="M4" s="217"/>
    </row>
    <row r="5" spans="1:16" s="330" customFormat="1" ht="18.75" x14ac:dyDescent="0.25">
      <c r="A5" s="212" t="s">
        <v>22</v>
      </c>
      <c r="B5" s="321"/>
      <c r="C5" s="212" t="s">
        <v>21</v>
      </c>
      <c r="D5" s="323"/>
      <c r="E5" s="324"/>
      <c r="F5" s="1864"/>
      <c r="G5" s="325"/>
      <c r="H5" s="326"/>
      <c r="I5" s="215"/>
      <c r="J5" s="327"/>
      <c r="K5" s="327"/>
      <c r="L5" s="328"/>
      <c r="M5" s="329"/>
    </row>
    <row r="6" spans="1:16" ht="14.25" customHeight="1" x14ac:dyDescent="0.2">
      <c r="A6" s="218"/>
      <c r="B6" s="218"/>
      <c r="L6" s="2044"/>
      <c r="M6" s="334"/>
    </row>
    <row r="7" spans="1:16" x14ac:dyDescent="0.2">
      <c r="C7" s="335"/>
      <c r="D7" s="336"/>
      <c r="E7" s="337"/>
      <c r="F7" s="1866"/>
      <c r="G7" s="336"/>
      <c r="L7" s="2044"/>
      <c r="M7" s="334"/>
    </row>
    <row r="8" spans="1:16" ht="12.75" customHeight="1" x14ac:dyDescent="0.2">
      <c r="A8" s="218" t="s">
        <v>63</v>
      </c>
      <c r="B8" s="218"/>
      <c r="C8" s="219"/>
      <c r="D8" s="336"/>
      <c r="E8" s="337"/>
      <c r="F8" s="1866"/>
      <c r="G8" s="336"/>
      <c r="L8" s="2044"/>
      <c r="M8" s="223"/>
    </row>
    <row r="9" spans="1:16" s="230" customFormat="1" x14ac:dyDescent="0.2">
      <c r="A9" s="225" t="s">
        <v>26</v>
      </c>
      <c r="B9" s="225"/>
      <c r="C9" s="226" t="s">
        <v>27</v>
      </c>
      <c r="D9" s="338" t="s">
        <v>28</v>
      </c>
      <c r="E9" s="339" t="s">
        <v>29</v>
      </c>
      <c r="F9" s="1867" t="s">
        <v>30</v>
      </c>
      <c r="G9" s="340" t="s">
        <v>31</v>
      </c>
      <c r="H9" s="227"/>
      <c r="I9" s="228"/>
      <c r="J9" s="229"/>
      <c r="K9" s="229"/>
      <c r="M9" s="224"/>
      <c r="O9" s="231"/>
      <c r="P9" s="231"/>
    </row>
    <row r="10" spans="1:16" x14ac:dyDescent="0.2">
      <c r="C10" s="233"/>
      <c r="G10" s="341"/>
    </row>
    <row r="11" spans="1:16" s="239" customFormat="1" ht="16.5" thickBot="1" x14ac:dyDescent="0.25">
      <c r="A11" s="342"/>
      <c r="B11" s="343" t="s">
        <v>20</v>
      </c>
      <c r="C11" s="344" t="s">
        <v>504</v>
      </c>
      <c r="D11" s="345"/>
      <c r="E11" s="346"/>
      <c r="F11" s="1868"/>
      <c r="G11" s="347"/>
      <c r="H11" s="237"/>
      <c r="I11" s="215"/>
      <c r="J11" s="238"/>
      <c r="K11" s="238"/>
    </row>
    <row r="12" spans="1:16" x14ac:dyDescent="0.2">
      <c r="A12" s="240"/>
      <c r="B12" s="241"/>
      <c r="C12" s="233"/>
      <c r="G12" s="341"/>
    </row>
    <row r="13" spans="1:16" x14ac:dyDescent="0.2">
      <c r="A13" s="245" t="str">
        <f>$B$11</f>
        <v>I.</v>
      </c>
      <c r="B13" s="348">
        <v>1</v>
      </c>
      <c r="C13" s="349" t="s">
        <v>754</v>
      </c>
    </row>
    <row r="14" spans="1:16" ht="15" x14ac:dyDescent="0.25">
      <c r="A14" s="245"/>
      <c r="B14" s="348"/>
      <c r="C14" s="353"/>
      <c r="D14" s="354"/>
      <c r="E14" s="355"/>
      <c r="F14" s="1870"/>
      <c r="G14" s="356"/>
      <c r="H14"/>
      <c r="I14"/>
      <c r="J14"/>
      <c r="K14"/>
      <c r="L14"/>
      <c r="M14"/>
    </row>
    <row r="15" spans="1:16" ht="24" x14ac:dyDescent="0.25">
      <c r="A15" s="245" t="str">
        <f>$B$11</f>
        <v>I.</v>
      </c>
      <c r="B15" s="348">
        <f>COUNT($A$13:B14)+1</f>
        <v>2</v>
      </c>
      <c r="C15" s="349" t="s">
        <v>755</v>
      </c>
      <c r="D15" s="350" t="s">
        <v>58</v>
      </c>
      <c r="E15" s="351">
        <v>1</v>
      </c>
      <c r="F15" s="1869"/>
      <c r="G15" s="352">
        <f>ROUND(F15*E15,2)</f>
        <v>0</v>
      </c>
      <c r="H15"/>
      <c r="I15"/>
      <c r="J15"/>
      <c r="K15"/>
      <c r="L15"/>
      <c r="M15"/>
    </row>
    <row r="16" spans="1:16" ht="15" x14ac:dyDescent="0.25">
      <c r="A16" s="245"/>
      <c r="B16" s="348"/>
      <c r="C16" s="353"/>
      <c r="D16" s="354"/>
      <c r="E16" s="355"/>
      <c r="F16" s="1870"/>
      <c r="G16" s="352"/>
      <c r="H16"/>
      <c r="I16"/>
      <c r="J16"/>
      <c r="K16"/>
      <c r="L16"/>
      <c r="M16"/>
    </row>
    <row r="17" spans="1:13" ht="24" x14ac:dyDescent="0.25">
      <c r="A17" s="245" t="str">
        <f>$B$11</f>
        <v>I.</v>
      </c>
      <c r="B17" s="348">
        <f>COUNT($A$13:B15)+1</f>
        <v>3</v>
      </c>
      <c r="C17" s="349" t="s">
        <v>563</v>
      </c>
      <c r="D17" s="350" t="s">
        <v>58</v>
      </c>
      <c r="E17" s="351">
        <v>1</v>
      </c>
      <c r="F17" s="1869"/>
      <c r="G17" s="352">
        <f>ROUND(F17*E17,2)</f>
        <v>0</v>
      </c>
      <c r="H17"/>
      <c r="I17"/>
      <c r="J17"/>
      <c r="K17"/>
      <c r="L17"/>
      <c r="M17"/>
    </row>
    <row r="18" spans="1:13" ht="15" x14ac:dyDescent="0.25">
      <c r="A18" s="245"/>
      <c r="B18" s="348"/>
      <c r="C18" s="396"/>
      <c r="D18" s="350"/>
      <c r="E18" s="351"/>
      <c r="F18" s="1869"/>
      <c r="G18" s="352"/>
      <c r="H18"/>
      <c r="I18"/>
      <c r="J18"/>
      <c r="K18"/>
      <c r="L18"/>
      <c r="M18"/>
    </row>
    <row r="19" spans="1:13" ht="36" x14ac:dyDescent="0.25">
      <c r="A19" s="245" t="str">
        <f>$B$11</f>
        <v>I.</v>
      </c>
      <c r="B19" s="348">
        <f>COUNT($A$13:B18)+1</f>
        <v>4</v>
      </c>
      <c r="C19" s="349" t="s">
        <v>640</v>
      </c>
      <c r="D19" s="350" t="s">
        <v>65</v>
      </c>
      <c r="E19" s="351">
        <v>32</v>
      </c>
      <c r="F19" s="1869"/>
      <c r="G19" s="352">
        <f>ROUND(F19*E19,2)</f>
        <v>0</v>
      </c>
      <c r="H19"/>
      <c r="I19"/>
      <c r="J19"/>
      <c r="K19"/>
      <c r="L19"/>
      <c r="M19"/>
    </row>
    <row r="20" spans="1:13" ht="15" x14ac:dyDescent="0.25">
      <c r="A20" s="245"/>
      <c r="B20" s="348"/>
      <c r="C20" s="397"/>
      <c r="D20" s="350"/>
      <c r="E20" s="351"/>
      <c r="F20" s="1869"/>
      <c r="G20" s="352"/>
      <c r="H20"/>
      <c r="I20"/>
      <c r="J20"/>
      <c r="K20"/>
      <c r="L20"/>
      <c r="M20"/>
    </row>
    <row r="21" spans="1:13" ht="48" x14ac:dyDescent="0.25">
      <c r="A21" s="245" t="str">
        <f>$B$11</f>
        <v>I.</v>
      </c>
      <c r="B21" s="348">
        <f>COUNT($A$13:B20)+1</f>
        <v>5</v>
      </c>
      <c r="C21" s="349" t="s">
        <v>756</v>
      </c>
      <c r="D21" s="350" t="s">
        <v>65</v>
      </c>
      <c r="E21" s="351">
        <v>48</v>
      </c>
      <c r="F21" s="1869"/>
      <c r="G21" s="352">
        <f>ROUND(F21*E21,2)</f>
        <v>0</v>
      </c>
      <c r="H21"/>
      <c r="I21"/>
      <c r="J21"/>
      <c r="K21"/>
      <c r="L21"/>
      <c r="M21"/>
    </row>
    <row r="22" spans="1:13" ht="15" x14ac:dyDescent="0.25">
      <c r="A22" s="245"/>
      <c r="B22" s="348"/>
      <c r="C22" s="398"/>
      <c r="D22" s="350"/>
      <c r="E22" s="351"/>
      <c r="F22" s="1869"/>
      <c r="G22" s="352"/>
      <c r="H22"/>
      <c r="I22"/>
      <c r="J22"/>
      <c r="K22"/>
      <c r="L22"/>
      <c r="M22"/>
    </row>
    <row r="23" spans="1:13" ht="48" customHeight="1" x14ac:dyDescent="0.25">
      <c r="A23" s="245" t="str">
        <f>$B$11</f>
        <v>I.</v>
      </c>
      <c r="B23" s="348">
        <f>COUNT($A$13:B22)+1</f>
        <v>6</v>
      </c>
      <c r="C23" s="349" t="s">
        <v>757</v>
      </c>
      <c r="D23" s="350" t="s">
        <v>65</v>
      </c>
      <c r="E23" s="351">
        <v>6</v>
      </c>
      <c r="F23" s="1869"/>
      <c r="G23" s="352">
        <f>ROUND(F23*E23,2)</f>
        <v>0</v>
      </c>
      <c r="H23"/>
      <c r="I23"/>
      <c r="J23"/>
      <c r="K23"/>
      <c r="L23"/>
      <c r="M23"/>
    </row>
    <row r="24" spans="1:13" ht="15" x14ac:dyDescent="0.25">
      <c r="A24" s="245"/>
      <c r="B24" s="348"/>
      <c r="C24" s="224"/>
      <c r="D24" s="224"/>
      <c r="E24" s="224"/>
      <c r="F24" s="1889"/>
      <c r="G24" s="352"/>
      <c r="H24"/>
      <c r="I24"/>
      <c r="J24"/>
      <c r="K24"/>
      <c r="L24"/>
      <c r="M24"/>
    </row>
    <row r="25" spans="1:13" ht="48" x14ac:dyDescent="0.25">
      <c r="A25" s="245" t="str">
        <f>$B$11</f>
        <v>I.</v>
      </c>
      <c r="B25" s="348">
        <f>COUNT($A$13:B24)+1</f>
        <v>7</v>
      </c>
      <c r="C25" s="349" t="s">
        <v>758</v>
      </c>
      <c r="D25" s="350" t="s">
        <v>39</v>
      </c>
      <c r="E25" s="351">
        <v>2</v>
      </c>
      <c r="F25" s="1869"/>
      <c r="G25" s="352">
        <f>ROUND(F25*E25,2)</f>
        <v>0</v>
      </c>
      <c r="H25"/>
      <c r="I25"/>
      <c r="J25"/>
      <c r="K25"/>
      <c r="L25"/>
      <c r="M25"/>
    </row>
    <row r="26" spans="1:13" ht="15" x14ac:dyDescent="0.25">
      <c r="A26" s="245"/>
      <c r="B26" s="348"/>
      <c r="C26" s="224"/>
      <c r="D26" s="224"/>
      <c r="E26" s="224"/>
      <c r="F26" s="1889"/>
      <c r="G26" s="352"/>
      <c r="H26"/>
      <c r="I26"/>
      <c r="J26"/>
      <c r="K26"/>
      <c r="L26"/>
      <c r="M26"/>
    </row>
    <row r="27" spans="1:13" ht="37.5" customHeight="1" x14ac:dyDescent="0.25">
      <c r="A27" s="245" t="str">
        <f>$B$11</f>
        <v>I.</v>
      </c>
      <c r="B27" s="348">
        <f>COUNT($A$13:B26)+1</f>
        <v>8</v>
      </c>
      <c r="C27" s="349" t="s">
        <v>759</v>
      </c>
      <c r="D27" s="350" t="s">
        <v>65</v>
      </c>
      <c r="E27" s="351">
        <v>11.8</v>
      </c>
      <c r="F27" s="1869"/>
      <c r="G27" s="352">
        <f>ROUND(F27*E27,2)</f>
        <v>0</v>
      </c>
      <c r="H27"/>
      <c r="I27"/>
      <c r="J27"/>
      <c r="K27"/>
      <c r="L27"/>
      <c r="M27"/>
    </row>
    <row r="28" spans="1:13" ht="15" x14ac:dyDescent="0.25">
      <c r="A28" s="245"/>
      <c r="B28" s="348"/>
      <c r="C28" s="396"/>
      <c r="D28" s="350"/>
      <c r="E28" s="351"/>
      <c r="F28" s="1869"/>
      <c r="G28" s="352"/>
      <c r="H28"/>
      <c r="I28"/>
      <c r="J28"/>
      <c r="K28"/>
      <c r="L28"/>
      <c r="M28"/>
    </row>
    <row r="29" spans="1:13" ht="48" x14ac:dyDescent="0.25">
      <c r="A29" s="245" t="str">
        <f>$B$11</f>
        <v>I.</v>
      </c>
      <c r="B29" s="348">
        <f>COUNT($A$13:B28)+1</f>
        <v>9</v>
      </c>
      <c r="C29" s="349" t="s">
        <v>760</v>
      </c>
      <c r="D29" s="350" t="s">
        <v>65</v>
      </c>
      <c r="E29" s="351">
        <v>9.5</v>
      </c>
      <c r="F29" s="1869"/>
      <c r="G29" s="352">
        <f>ROUND(F29*E29,2)</f>
        <v>0</v>
      </c>
      <c r="H29"/>
      <c r="I29"/>
      <c r="J29"/>
      <c r="K29"/>
      <c r="L29"/>
      <c r="M29"/>
    </row>
    <row r="30" spans="1:13" ht="15" x14ac:dyDescent="0.25">
      <c r="A30" s="245"/>
      <c r="B30" s="348"/>
      <c r="C30" s="349"/>
      <c r="D30" s="350"/>
      <c r="E30" s="351"/>
      <c r="F30" s="1869"/>
      <c r="G30" s="352"/>
      <c r="H30"/>
      <c r="I30"/>
      <c r="J30"/>
      <c r="K30"/>
      <c r="L30"/>
      <c r="M30"/>
    </row>
    <row r="31" spans="1:13" ht="48" x14ac:dyDescent="0.25">
      <c r="A31" s="245" t="str">
        <f>$B$11</f>
        <v>I.</v>
      </c>
      <c r="B31" s="348">
        <f>COUNT($A$13:B30)+1</f>
        <v>10</v>
      </c>
      <c r="C31" s="349" t="s">
        <v>761</v>
      </c>
      <c r="D31" s="350" t="s">
        <v>39</v>
      </c>
      <c r="E31" s="351">
        <v>3</v>
      </c>
      <c r="F31" s="1869"/>
      <c r="G31" s="352">
        <f>ROUND(F31*E31,2)</f>
        <v>0</v>
      </c>
      <c r="H31"/>
      <c r="I31"/>
      <c r="J31"/>
      <c r="K31"/>
      <c r="L31"/>
      <c r="M31"/>
    </row>
    <row r="32" spans="1:13" ht="15" x14ac:dyDescent="0.25">
      <c r="A32" s="245"/>
      <c r="B32" s="348"/>
      <c r="C32" s="359"/>
      <c r="D32" s="350"/>
      <c r="E32" s="351"/>
      <c r="F32" s="1869"/>
      <c r="G32" s="352"/>
      <c r="H32"/>
      <c r="I32"/>
      <c r="J32"/>
      <c r="K32"/>
      <c r="L32"/>
      <c r="M32"/>
    </row>
    <row r="33" spans="1:16" ht="36" customHeight="1" x14ac:dyDescent="0.25">
      <c r="A33" s="245" t="str">
        <f>$B$11</f>
        <v>I.</v>
      </c>
      <c r="B33" s="348">
        <f>COUNT($A$13:B32)+1</f>
        <v>11</v>
      </c>
      <c r="C33" s="349" t="s">
        <v>647</v>
      </c>
      <c r="D33" s="350" t="s">
        <v>39</v>
      </c>
      <c r="E33" s="351">
        <v>1</v>
      </c>
      <c r="F33" s="1869"/>
      <c r="G33" s="352">
        <f>ROUND(F33*E33,2)</f>
        <v>0</v>
      </c>
      <c r="H33"/>
      <c r="I33"/>
      <c r="J33"/>
      <c r="K33"/>
      <c r="L33"/>
      <c r="M33"/>
    </row>
    <row r="34" spans="1:16" ht="15" x14ac:dyDescent="0.25">
      <c r="A34" s="245"/>
      <c r="B34" s="348"/>
      <c r="C34" s="399"/>
      <c r="D34" s="350"/>
      <c r="E34" s="351"/>
      <c r="F34" s="1869"/>
      <c r="G34" s="352"/>
      <c r="H34"/>
      <c r="I34"/>
      <c r="J34"/>
      <c r="K34"/>
      <c r="L34"/>
      <c r="M34"/>
    </row>
    <row r="35" spans="1:16" ht="48" x14ac:dyDescent="0.25">
      <c r="A35" s="245" t="str">
        <f>$B$11</f>
        <v>I.</v>
      </c>
      <c r="B35" s="348">
        <f>COUNT($A$13:B34)+1</f>
        <v>12</v>
      </c>
      <c r="C35" s="349" t="s">
        <v>648</v>
      </c>
      <c r="D35" s="350" t="s">
        <v>39</v>
      </c>
      <c r="E35" s="351">
        <v>1</v>
      </c>
      <c r="F35" s="1869"/>
      <c r="G35" s="352">
        <f>ROUND(F35*E35,2)</f>
        <v>0</v>
      </c>
      <c r="H35"/>
      <c r="I35"/>
      <c r="J35"/>
      <c r="K35"/>
      <c r="L35"/>
      <c r="M35"/>
    </row>
    <row r="36" spans="1:16" ht="15" x14ac:dyDescent="0.25">
      <c r="A36" s="245"/>
      <c r="B36" s="348"/>
      <c r="C36" s="400"/>
      <c r="D36" s="350"/>
      <c r="E36" s="351"/>
      <c r="F36" s="1869"/>
      <c r="G36" s="352"/>
      <c r="H36"/>
      <c r="I36"/>
      <c r="J36"/>
      <c r="K36"/>
      <c r="L36"/>
      <c r="M36"/>
    </row>
    <row r="37" spans="1:16" ht="48" x14ac:dyDescent="0.25">
      <c r="A37" s="245" t="str">
        <f>$B$11</f>
        <v>I.</v>
      </c>
      <c r="B37" s="348">
        <f>COUNT($A$13:B36)+1</f>
        <v>13</v>
      </c>
      <c r="C37" s="395" t="s">
        <v>762</v>
      </c>
      <c r="D37" s="350" t="s">
        <v>71</v>
      </c>
      <c r="E37" s="351">
        <v>45.2</v>
      </c>
      <c r="F37" s="1869"/>
      <c r="G37" s="352">
        <f>ROUND(F37*E37,2)</f>
        <v>0</v>
      </c>
      <c r="H37"/>
      <c r="I37"/>
      <c r="J37"/>
      <c r="K37"/>
      <c r="L37"/>
      <c r="M37"/>
    </row>
    <row r="38" spans="1:16" ht="15" x14ac:dyDescent="0.25">
      <c r="A38" s="245"/>
      <c r="B38" s="348"/>
      <c r="C38" s="395"/>
      <c r="D38" s="350"/>
      <c r="E38" s="351"/>
      <c r="F38" s="1869"/>
      <c r="G38" s="352"/>
      <c r="H38"/>
      <c r="I38"/>
      <c r="J38"/>
      <c r="K38"/>
      <c r="L38"/>
      <c r="M38"/>
    </row>
    <row r="39" spans="1:16" ht="60" x14ac:dyDescent="0.25">
      <c r="A39" s="245" t="str">
        <f>$B$11</f>
        <v>I.</v>
      </c>
      <c r="B39" s="348">
        <f>COUNT($A$13:B38)+1</f>
        <v>14</v>
      </c>
      <c r="C39" s="349" t="s">
        <v>763</v>
      </c>
      <c r="D39" s="350" t="s">
        <v>39</v>
      </c>
      <c r="E39" s="351">
        <v>1</v>
      </c>
      <c r="F39" s="1869"/>
      <c r="G39" s="352">
        <f>ROUND(F39*E39,2)</f>
        <v>0</v>
      </c>
      <c r="H39"/>
      <c r="I39"/>
      <c r="J39"/>
      <c r="K39"/>
      <c r="L39"/>
      <c r="M39"/>
    </row>
    <row r="40" spans="1:16" ht="15" x14ac:dyDescent="0.25">
      <c r="A40" s="245"/>
      <c r="B40" s="357"/>
      <c r="C40" s="349"/>
      <c r="D40" s="350"/>
      <c r="E40" s="351"/>
      <c r="F40" s="1869"/>
      <c r="G40" s="352"/>
      <c r="H40"/>
      <c r="I40"/>
      <c r="J40"/>
      <c r="K40"/>
      <c r="L40"/>
      <c r="M40"/>
    </row>
    <row r="41" spans="1:16" ht="48" x14ac:dyDescent="0.25">
      <c r="A41" s="245" t="str">
        <f>$B$11</f>
        <v>I.</v>
      </c>
      <c r="B41" s="348">
        <f>COUNT($A$13:B40)+1</f>
        <v>15</v>
      </c>
      <c r="C41" s="349" t="s">
        <v>651</v>
      </c>
      <c r="D41" s="350" t="s">
        <v>69</v>
      </c>
      <c r="E41" s="351">
        <v>66.8</v>
      </c>
      <c r="F41" s="1869"/>
      <c r="G41" s="352">
        <f>ROUND(F41*E41,2)</f>
        <v>0</v>
      </c>
      <c r="H41"/>
      <c r="I41"/>
      <c r="J41"/>
      <c r="K41"/>
      <c r="L41"/>
      <c r="M41"/>
    </row>
    <row r="42" spans="1:16" s="260" customFormat="1" ht="15" x14ac:dyDescent="0.25">
      <c r="A42" s="254"/>
      <c r="B42" s="358"/>
      <c r="C42" s="359"/>
      <c r="D42" s="360"/>
      <c r="E42" s="361"/>
      <c r="F42" s="1871"/>
      <c r="G42" s="361"/>
      <c r="H42"/>
      <c r="I42"/>
      <c r="J42"/>
      <c r="K42"/>
      <c r="L42"/>
      <c r="M42"/>
      <c r="N42" s="259"/>
      <c r="O42" s="250"/>
      <c r="P42" s="251"/>
    </row>
    <row r="43" spans="1:16" s="369" customFormat="1" ht="15.75" thickBot="1" x14ac:dyDescent="0.3">
      <c r="A43" s="362"/>
      <c r="B43" s="363"/>
      <c r="C43" s="364"/>
      <c r="D43" s="365"/>
      <c r="E43" s="366" t="str">
        <f>CONCATENATE(B11," ",C11," - SKUPAJ:")</f>
        <v>I. Odstranjevalna in rušitvena dela - SKUPAJ:</v>
      </c>
      <c r="F43" s="1872"/>
      <c r="G43" s="367">
        <f>ROUND(SUM(G13:G41),2)</f>
        <v>0</v>
      </c>
      <c r="H43"/>
      <c r="I43"/>
      <c r="J43"/>
      <c r="K43"/>
      <c r="L43"/>
      <c r="M43"/>
    </row>
    <row r="44" spans="1:16" s="246" customFormat="1" ht="6" customHeight="1" x14ac:dyDescent="0.2">
      <c r="A44" s="279"/>
      <c r="B44" s="279"/>
      <c r="C44" s="280"/>
      <c r="D44" s="281"/>
      <c r="E44" s="282"/>
      <c r="F44" s="1874"/>
      <c r="G44" s="281"/>
      <c r="H44" s="262"/>
      <c r="I44" s="215"/>
      <c r="J44" s="263"/>
      <c r="K44" s="263"/>
    </row>
    <row r="45" spans="1:16" s="246" customFormat="1" x14ac:dyDescent="0.2">
      <c r="A45" s="274"/>
      <c r="B45" s="274"/>
      <c r="C45" s="283"/>
      <c r="D45" s="281"/>
      <c r="E45" s="282"/>
      <c r="F45" s="1874"/>
      <c r="G45" s="281"/>
      <c r="H45" s="262"/>
      <c r="I45" s="215"/>
      <c r="J45" s="263"/>
      <c r="K45" s="263"/>
    </row>
    <row r="46" spans="1:16" s="246" customFormat="1" x14ac:dyDescent="0.2">
      <c r="A46" s="284" t="s">
        <v>26</v>
      </c>
      <c r="B46" s="284"/>
      <c r="C46" s="285" t="s">
        <v>27</v>
      </c>
      <c r="D46" s="286" t="s">
        <v>28</v>
      </c>
      <c r="E46" s="287" t="s">
        <v>29</v>
      </c>
      <c r="F46" s="1875" t="s">
        <v>30</v>
      </c>
      <c r="G46" s="288" t="s">
        <v>31</v>
      </c>
      <c r="H46" s="262"/>
      <c r="I46" s="215"/>
      <c r="J46" s="263"/>
      <c r="K46" s="263"/>
    </row>
    <row r="47" spans="1:16" s="246" customFormat="1" ht="6.75" customHeight="1" x14ac:dyDescent="0.2">
      <c r="A47" s="279"/>
      <c r="B47" s="279"/>
      <c r="C47" s="289"/>
      <c r="D47" s="276"/>
      <c r="E47" s="277"/>
      <c r="F47" s="1876"/>
      <c r="G47" s="290"/>
      <c r="H47" s="262"/>
      <c r="I47" s="215"/>
      <c r="J47" s="263"/>
      <c r="K47" s="263"/>
    </row>
    <row r="48" spans="1:16" s="246" customFormat="1" ht="14.25" customHeight="1" thickBot="1" x14ac:dyDescent="0.25">
      <c r="A48" s="291"/>
      <c r="B48" s="292" t="s">
        <v>77</v>
      </c>
      <c r="C48" s="376" t="s">
        <v>505</v>
      </c>
      <c r="D48" s="293"/>
      <c r="E48" s="294"/>
      <c r="F48" s="1877"/>
      <c r="G48" s="295"/>
      <c r="H48" s="262"/>
      <c r="I48" s="215"/>
      <c r="J48" s="263"/>
      <c r="K48" s="263"/>
    </row>
    <row r="49" spans="1:16" s="246" customFormat="1" ht="7.5" customHeight="1" x14ac:dyDescent="0.2">
      <c r="A49" s="296"/>
      <c r="B49" s="297"/>
      <c r="C49" s="275"/>
      <c r="D49" s="276"/>
      <c r="E49" s="277"/>
      <c r="F49" s="1876"/>
      <c r="G49" s="278"/>
      <c r="H49" s="262"/>
      <c r="I49" s="215"/>
      <c r="J49" s="263"/>
      <c r="K49" s="263"/>
    </row>
    <row r="50" spans="1:16" s="246" customFormat="1" ht="24" x14ac:dyDescent="0.2">
      <c r="A50" s="380" t="str">
        <f>$B$48</f>
        <v>II.</v>
      </c>
      <c r="B50" s="299">
        <f>1</f>
        <v>1</v>
      </c>
      <c r="C50" s="377" t="s">
        <v>583</v>
      </c>
      <c r="D50" s="301" t="s">
        <v>71</v>
      </c>
      <c r="E50" s="302">
        <v>120</v>
      </c>
      <c r="F50" s="1878"/>
      <c r="G50" s="303">
        <f>ROUND(E50*F50,2)</f>
        <v>0</v>
      </c>
      <c r="H50" s="262"/>
      <c r="I50" s="215"/>
      <c r="J50" s="263"/>
      <c r="K50" s="263"/>
    </row>
    <row r="51" spans="1:16" s="246" customFormat="1" ht="6.75" customHeight="1" x14ac:dyDescent="0.2">
      <c r="A51" s="298"/>
      <c r="B51" s="299"/>
      <c r="C51" s="377"/>
      <c r="D51" s="301"/>
      <c r="E51" s="302"/>
      <c r="F51" s="1878"/>
      <c r="G51" s="303"/>
      <c r="H51" s="262"/>
      <c r="I51" s="215"/>
      <c r="J51" s="263"/>
      <c r="K51" s="263"/>
    </row>
    <row r="52" spans="1:16" s="246" customFormat="1" ht="36" x14ac:dyDescent="0.2">
      <c r="A52" s="298"/>
      <c r="B52" s="299" t="s">
        <v>521</v>
      </c>
      <c r="C52" s="377" t="s">
        <v>584</v>
      </c>
      <c r="D52" s="301"/>
      <c r="E52" s="302"/>
      <c r="F52" s="1878"/>
      <c r="G52" s="303"/>
      <c r="H52" s="262"/>
      <c r="I52" s="215"/>
      <c r="J52" s="263"/>
      <c r="K52" s="263"/>
    </row>
    <row r="53" spans="1:16" s="246" customFormat="1" ht="6.75" customHeight="1" x14ac:dyDescent="0.2">
      <c r="A53" s="296"/>
      <c r="B53" s="297"/>
      <c r="C53" s="289"/>
      <c r="D53" s="276"/>
      <c r="E53" s="277"/>
      <c r="F53" s="1876"/>
      <c r="G53" s="277"/>
      <c r="H53" s="262"/>
      <c r="I53" s="215"/>
      <c r="J53" s="263"/>
      <c r="K53" s="263"/>
    </row>
    <row r="54" spans="1:16" s="246" customFormat="1" ht="13.5" thickBot="1" x14ac:dyDescent="0.25">
      <c r="A54" s="309"/>
      <c r="B54" s="310"/>
      <c r="C54" s="311"/>
      <c r="D54" s="312"/>
      <c r="E54" s="313" t="str">
        <f>CONCATENATE(B48," ",C48," - SKUPAJ:")</f>
        <v>II. Zemeljska dela - SKUPAJ:</v>
      </c>
      <c r="F54" s="1879"/>
      <c r="G54" s="314">
        <f>ROUND(SUM(G50),2)</f>
        <v>0</v>
      </c>
      <c r="H54" s="262"/>
      <c r="I54" s="215"/>
      <c r="J54" s="263"/>
      <c r="K54" s="263"/>
    </row>
    <row r="55" spans="1:16" s="383" customFormat="1" ht="15" x14ac:dyDescent="0.25">
      <c r="A55" s="279"/>
      <c r="B55" s="279"/>
      <c r="C55" s="280"/>
      <c r="D55" s="281"/>
      <c r="E55" s="282"/>
      <c r="F55" s="1874"/>
      <c r="G55" s="281"/>
      <c r="H55"/>
      <c r="I55"/>
      <c r="J55"/>
      <c r="K55"/>
      <c r="L55" s="2046"/>
      <c r="M55" s="412"/>
      <c r="O55" s="440"/>
    </row>
    <row r="56" spans="1:16" s="383" customFormat="1" ht="12.75" customHeight="1" x14ac:dyDescent="0.25">
      <c r="A56" s="274"/>
      <c r="B56" s="274"/>
      <c r="C56" s="283"/>
      <c r="D56" s="281"/>
      <c r="E56" s="282"/>
      <c r="F56" s="1874"/>
      <c r="G56" s="281"/>
      <c r="H56"/>
      <c r="I56"/>
      <c r="J56"/>
      <c r="K56"/>
      <c r="L56" s="2046"/>
      <c r="M56" s="441"/>
      <c r="O56" s="440"/>
    </row>
    <row r="57" spans="1:16" s="444" customFormat="1" ht="15" x14ac:dyDescent="0.25">
      <c r="A57" s="284" t="s">
        <v>26</v>
      </c>
      <c r="B57" s="284"/>
      <c r="C57" s="285" t="s">
        <v>27</v>
      </c>
      <c r="D57" s="286" t="s">
        <v>28</v>
      </c>
      <c r="E57" s="287" t="s">
        <v>29</v>
      </c>
      <c r="F57" s="1875" t="s">
        <v>30</v>
      </c>
      <c r="G57" s="288" t="s">
        <v>31</v>
      </c>
      <c r="H57"/>
      <c r="I57"/>
      <c r="J57"/>
      <c r="K57"/>
      <c r="L57"/>
      <c r="M57" s="383"/>
      <c r="O57" s="445"/>
      <c r="P57" s="446"/>
    </row>
    <row r="58" spans="1:16" s="383" customFormat="1" ht="15" x14ac:dyDescent="0.25">
      <c r="A58" s="279"/>
      <c r="B58" s="279"/>
      <c r="C58" s="289"/>
      <c r="D58" s="276"/>
      <c r="E58" s="277"/>
      <c r="F58" s="1876"/>
      <c r="G58" s="290"/>
      <c r="H58"/>
      <c r="I58"/>
      <c r="J58"/>
      <c r="K58"/>
      <c r="L58"/>
      <c r="O58" s="440"/>
    </row>
    <row r="59" spans="1:16" s="447" customFormat="1" ht="16.5" thickBot="1" x14ac:dyDescent="0.3">
      <c r="A59" s="291"/>
      <c r="B59" s="292" t="s">
        <v>84</v>
      </c>
      <c r="C59" s="376" t="s">
        <v>628</v>
      </c>
      <c r="D59" s="293"/>
      <c r="E59" s="294"/>
      <c r="F59" s="1877"/>
      <c r="G59" s="295"/>
      <c r="H59"/>
      <c r="I59"/>
      <c r="J59"/>
      <c r="K59"/>
      <c r="L59"/>
      <c r="O59" s="448"/>
    </row>
    <row r="60" spans="1:16" s="383" customFormat="1" ht="15" x14ac:dyDescent="0.25">
      <c r="A60" s="296"/>
      <c r="B60" s="297"/>
      <c r="C60" s="289"/>
      <c r="D60" s="276"/>
      <c r="E60" s="277"/>
      <c r="F60" s="1876"/>
      <c r="G60" s="290"/>
      <c r="H60"/>
      <c r="I60"/>
      <c r="J60"/>
      <c r="K60"/>
      <c r="L60"/>
      <c r="O60" s="440"/>
    </row>
    <row r="61" spans="1:16" s="383" customFormat="1" ht="36" x14ac:dyDescent="0.25">
      <c r="A61" s="380" t="str">
        <f>$B$59</f>
        <v>III.</v>
      </c>
      <c r="B61" s="299">
        <v>1</v>
      </c>
      <c r="C61" s="377" t="s">
        <v>652</v>
      </c>
      <c r="D61" s="301" t="s">
        <v>69</v>
      </c>
      <c r="E61" s="302">
        <v>12</v>
      </c>
      <c r="F61" s="1878"/>
      <c r="G61" s="303">
        <f>ROUND(E61*F61,2)</f>
        <v>0</v>
      </c>
      <c r="H61"/>
      <c r="I61"/>
      <c r="J61"/>
      <c r="K61"/>
      <c r="L61"/>
      <c r="O61" s="440"/>
    </row>
    <row r="62" spans="1:16" s="383" customFormat="1" ht="15" x14ac:dyDescent="0.25">
      <c r="A62" s="380"/>
      <c r="B62" s="299"/>
      <c r="C62" s="377"/>
      <c r="D62" s="301"/>
      <c r="E62" s="302"/>
      <c r="F62" s="1878"/>
      <c r="G62" s="303"/>
      <c r="H62"/>
      <c r="I62"/>
      <c r="J62"/>
      <c r="K62"/>
      <c r="L62"/>
      <c r="O62" s="440"/>
    </row>
    <row r="63" spans="1:16" s="383" customFormat="1" ht="24" x14ac:dyDescent="0.25">
      <c r="A63" s="380" t="str">
        <f t="shared" ref="A63:A91" si="0">$B$59</f>
        <v>III.</v>
      </c>
      <c r="B63" s="299">
        <f>COUNT($A$60:B62)+1</f>
        <v>2</v>
      </c>
      <c r="C63" s="300" t="s">
        <v>764</v>
      </c>
      <c r="D63" s="301" t="s">
        <v>69</v>
      </c>
      <c r="E63" s="302">
        <v>20</v>
      </c>
      <c r="F63" s="1878"/>
      <c r="G63" s="303">
        <f>ROUND(E63*F63,2)</f>
        <v>0</v>
      </c>
      <c r="H63"/>
      <c r="I63"/>
      <c r="J63"/>
      <c r="K63"/>
      <c r="L63"/>
      <c r="O63" s="440"/>
    </row>
    <row r="64" spans="1:16" s="383" customFormat="1" ht="15" x14ac:dyDescent="0.25">
      <c r="A64" s="380"/>
      <c r="B64" s="299"/>
      <c r="C64" s="300"/>
      <c r="D64" s="301"/>
      <c r="E64" s="302"/>
      <c r="F64" s="1878"/>
      <c r="G64" s="303"/>
      <c r="H64"/>
      <c r="I64"/>
      <c r="J64"/>
      <c r="K64"/>
      <c r="L64"/>
      <c r="O64" s="440"/>
    </row>
    <row r="65" spans="1:15" s="383" customFormat="1" ht="36" x14ac:dyDescent="0.25">
      <c r="A65" s="380" t="str">
        <f t="shared" si="0"/>
        <v>III.</v>
      </c>
      <c r="B65" s="299">
        <f>COUNT($A$60:B64)+1</f>
        <v>3</v>
      </c>
      <c r="C65" s="300" t="s">
        <v>765</v>
      </c>
      <c r="D65" s="301" t="s">
        <v>69</v>
      </c>
      <c r="E65" s="302">
        <v>132</v>
      </c>
      <c r="F65" s="1878"/>
      <c r="G65" s="303">
        <f>ROUND(E65*F65,2)</f>
        <v>0</v>
      </c>
      <c r="H65"/>
      <c r="I65"/>
      <c r="J65"/>
      <c r="K65"/>
      <c r="L65"/>
      <c r="O65" s="440"/>
    </row>
    <row r="66" spans="1:15" s="383" customFormat="1" ht="15" x14ac:dyDescent="0.25">
      <c r="A66" s="380"/>
      <c r="B66" s="299"/>
      <c r="C66" s="300"/>
      <c r="D66" s="301"/>
      <c r="E66" s="302"/>
      <c r="F66" s="1878"/>
      <c r="G66" s="303"/>
      <c r="H66"/>
      <c r="I66"/>
      <c r="J66"/>
      <c r="K66"/>
      <c r="L66"/>
      <c r="O66" s="440"/>
    </row>
    <row r="67" spans="1:15" s="383" customFormat="1" ht="24" x14ac:dyDescent="0.25">
      <c r="A67" s="380" t="str">
        <f t="shared" si="0"/>
        <v>III.</v>
      </c>
      <c r="B67" s="299">
        <f>COUNT($A$60:B66)+1</f>
        <v>4</v>
      </c>
      <c r="C67" s="300" t="s">
        <v>766</v>
      </c>
      <c r="D67" s="301" t="s">
        <v>69</v>
      </c>
      <c r="E67" s="302">
        <v>935</v>
      </c>
      <c r="F67" s="1878"/>
      <c r="G67" s="303">
        <f>ROUND(E67*F67,2)</f>
        <v>0</v>
      </c>
      <c r="H67"/>
      <c r="I67"/>
      <c r="J67"/>
      <c r="K67"/>
      <c r="L67"/>
      <c r="O67" s="440"/>
    </row>
    <row r="68" spans="1:15" s="383" customFormat="1" ht="15" x14ac:dyDescent="0.25">
      <c r="A68" s="380"/>
      <c r="B68" s="299"/>
      <c r="C68" s="300"/>
      <c r="D68" s="301"/>
      <c r="E68" s="302"/>
      <c r="F68" s="1878"/>
      <c r="G68" s="303"/>
      <c r="H68"/>
      <c r="I68"/>
      <c r="J68"/>
      <c r="K68"/>
      <c r="L68"/>
      <c r="O68" s="440"/>
    </row>
    <row r="69" spans="1:15" s="383" customFormat="1" ht="36" x14ac:dyDescent="0.25">
      <c r="A69" s="380" t="str">
        <f t="shared" si="0"/>
        <v>III.</v>
      </c>
      <c r="B69" s="299">
        <f>COUNT($A$60:B68)+1</f>
        <v>5</v>
      </c>
      <c r="C69" s="377" t="s">
        <v>767</v>
      </c>
      <c r="D69" s="301" t="s">
        <v>69</v>
      </c>
      <c r="E69" s="302">
        <v>345</v>
      </c>
      <c r="F69" s="1878"/>
      <c r="G69" s="303">
        <f>ROUND(E69*F69,2)</f>
        <v>0</v>
      </c>
      <c r="H69"/>
      <c r="I69"/>
      <c r="J69"/>
      <c r="K69"/>
      <c r="L69"/>
      <c r="O69" s="440"/>
    </row>
    <row r="70" spans="1:15" s="383" customFormat="1" ht="15" x14ac:dyDescent="0.25">
      <c r="A70" s="380"/>
      <c r="B70" s="299"/>
      <c r="C70" s="377"/>
      <c r="D70" s="301"/>
      <c r="E70" s="302"/>
      <c r="F70" s="1878"/>
      <c r="G70" s="303"/>
      <c r="H70"/>
      <c r="I70"/>
      <c r="J70"/>
      <c r="K70"/>
      <c r="L70"/>
      <c r="O70" s="440"/>
    </row>
    <row r="71" spans="1:15" s="383" customFormat="1" ht="48" x14ac:dyDescent="0.25">
      <c r="A71" s="380" t="str">
        <f t="shared" si="0"/>
        <v>III.</v>
      </c>
      <c r="B71" s="299">
        <f>COUNT($A$60:B70)+1</f>
        <v>6</v>
      </c>
      <c r="C71" s="377" t="s">
        <v>768</v>
      </c>
      <c r="D71" s="301" t="s">
        <v>71</v>
      </c>
      <c r="E71" s="302">
        <v>152.6</v>
      </c>
      <c r="F71" s="1878"/>
      <c r="G71" s="303">
        <f>ROUND(E71*F71,2)</f>
        <v>0</v>
      </c>
      <c r="H71"/>
      <c r="I71"/>
      <c r="J71"/>
      <c r="K71"/>
      <c r="L71"/>
      <c r="O71" s="440"/>
    </row>
    <row r="72" spans="1:15" s="383" customFormat="1" ht="15" x14ac:dyDescent="0.25">
      <c r="A72" s="380"/>
      <c r="B72" s="299"/>
      <c r="F72" s="1890"/>
      <c r="G72" s="303"/>
      <c r="H72"/>
      <c r="I72"/>
      <c r="J72"/>
      <c r="K72"/>
      <c r="L72"/>
      <c r="O72" s="440"/>
    </row>
    <row r="73" spans="1:15" s="383" customFormat="1" ht="24" customHeight="1" x14ac:dyDescent="0.25">
      <c r="A73" s="380" t="str">
        <f t="shared" si="0"/>
        <v>III.</v>
      </c>
      <c r="B73" s="299">
        <f>COUNT($A$60:B72)+1</f>
        <v>7</v>
      </c>
      <c r="C73" s="300" t="s">
        <v>769</v>
      </c>
      <c r="D73" s="301" t="s">
        <v>69</v>
      </c>
      <c r="E73" s="302">
        <v>37</v>
      </c>
      <c r="F73" s="1878"/>
      <c r="G73" s="303">
        <f>ROUND(E73*F73,2)</f>
        <v>0</v>
      </c>
      <c r="H73"/>
      <c r="I73"/>
      <c r="J73"/>
      <c r="K73"/>
      <c r="L73"/>
      <c r="O73" s="440"/>
    </row>
    <row r="74" spans="1:15" s="383" customFormat="1" ht="15" x14ac:dyDescent="0.25">
      <c r="A74" s="380"/>
      <c r="B74" s="299"/>
      <c r="C74" s="377"/>
      <c r="D74" s="301"/>
      <c r="E74" s="302"/>
      <c r="F74" s="1878"/>
      <c r="G74" s="303"/>
      <c r="H74"/>
      <c r="I74"/>
      <c r="J74"/>
      <c r="K74"/>
      <c r="L74"/>
      <c r="O74" s="440"/>
    </row>
    <row r="75" spans="1:15" s="383" customFormat="1" ht="25.5" customHeight="1" x14ac:dyDescent="0.25">
      <c r="A75" s="380" t="str">
        <f t="shared" si="0"/>
        <v>III.</v>
      </c>
      <c r="B75" s="299">
        <f>COUNT($A$60:B74)+1</f>
        <v>8</v>
      </c>
      <c r="C75" s="300" t="s">
        <v>770</v>
      </c>
      <c r="D75" s="301" t="s">
        <v>69</v>
      </c>
      <c r="E75" s="302">
        <v>25</v>
      </c>
      <c r="F75" s="1878"/>
      <c r="G75" s="303">
        <f>ROUND(E75*F75,2)</f>
        <v>0</v>
      </c>
      <c r="H75"/>
      <c r="I75"/>
      <c r="J75"/>
      <c r="K75"/>
      <c r="L75"/>
      <c r="O75" s="440"/>
    </row>
    <row r="76" spans="1:15" s="383" customFormat="1" ht="15" x14ac:dyDescent="0.25">
      <c r="A76" s="380"/>
      <c r="B76" s="299"/>
      <c r="C76" s="377"/>
      <c r="D76" s="301"/>
      <c r="E76" s="302"/>
      <c r="F76" s="1878"/>
      <c r="G76" s="303"/>
      <c r="H76"/>
      <c r="I76"/>
      <c r="J76"/>
      <c r="K76"/>
      <c r="L76"/>
      <c r="O76" s="440"/>
    </row>
    <row r="77" spans="1:15" s="383" customFormat="1" ht="36" x14ac:dyDescent="0.25">
      <c r="A77" s="380" t="str">
        <f t="shared" si="0"/>
        <v>III.</v>
      </c>
      <c r="B77" s="299">
        <f>COUNT($A$60:B76)+1</f>
        <v>9</v>
      </c>
      <c r="C77" s="300" t="s">
        <v>771</v>
      </c>
      <c r="D77" s="301" t="s">
        <v>69</v>
      </c>
      <c r="E77" s="302">
        <v>13.5</v>
      </c>
      <c r="F77" s="1878"/>
      <c r="G77" s="303">
        <f>ROUND(E77*F77,2)</f>
        <v>0</v>
      </c>
      <c r="H77"/>
      <c r="I77"/>
      <c r="J77"/>
      <c r="K77"/>
      <c r="L77"/>
      <c r="O77" s="440"/>
    </row>
    <row r="78" spans="1:15" s="383" customFormat="1" ht="15" x14ac:dyDescent="0.25">
      <c r="A78" s="380"/>
      <c r="B78" s="299"/>
      <c r="C78" s="377"/>
      <c r="D78" s="301"/>
      <c r="E78" s="302"/>
      <c r="F78" s="1878"/>
      <c r="G78" s="303"/>
      <c r="H78"/>
      <c r="I78"/>
      <c r="J78"/>
      <c r="K78"/>
      <c r="L78"/>
      <c r="O78" s="440"/>
    </row>
    <row r="79" spans="1:15" s="383" customFormat="1" ht="96" x14ac:dyDescent="0.25">
      <c r="A79" s="380" t="str">
        <f t="shared" si="0"/>
        <v>III.</v>
      </c>
      <c r="B79" s="299">
        <f>COUNT($A$60:B78)+1</f>
        <v>10</v>
      </c>
      <c r="C79" s="401" t="s">
        <v>662</v>
      </c>
      <c r="D79" s="301" t="s">
        <v>65</v>
      </c>
      <c r="E79" s="302">
        <v>665</v>
      </c>
      <c r="F79" s="1878"/>
      <c r="G79" s="303">
        <f>ROUND(E79*F79,2)</f>
        <v>0</v>
      </c>
      <c r="H79"/>
      <c r="I79"/>
      <c r="J79"/>
      <c r="K79"/>
      <c r="L79"/>
      <c r="O79" s="440"/>
    </row>
    <row r="80" spans="1:15" s="383" customFormat="1" ht="15" x14ac:dyDescent="0.25">
      <c r="A80" s="380"/>
      <c r="B80" s="299"/>
      <c r="C80" s="401"/>
      <c r="D80" s="301"/>
      <c r="E80" s="302"/>
      <c r="F80" s="1878"/>
      <c r="G80" s="303"/>
      <c r="H80"/>
      <c r="I80"/>
      <c r="J80"/>
      <c r="K80"/>
      <c r="L80"/>
      <c r="O80" s="440"/>
    </row>
    <row r="81" spans="1:16" s="383" customFormat="1" ht="36" x14ac:dyDescent="0.25">
      <c r="A81" s="380" t="str">
        <f t="shared" si="0"/>
        <v>III.</v>
      </c>
      <c r="B81" s="299">
        <f>COUNT($A$60:B80)+1</f>
        <v>11</v>
      </c>
      <c r="C81" s="401" t="s">
        <v>772</v>
      </c>
      <c r="D81" s="301" t="s">
        <v>65</v>
      </c>
      <c r="E81" s="302">
        <v>100</v>
      </c>
      <c r="F81" s="1878"/>
      <c r="G81" s="303">
        <f>ROUND(E81*F81,2)</f>
        <v>0</v>
      </c>
      <c r="H81"/>
      <c r="I81"/>
      <c r="J81"/>
      <c r="K81"/>
      <c r="L81"/>
      <c r="O81" s="440"/>
    </row>
    <row r="82" spans="1:16" s="383" customFormat="1" ht="15" x14ac:dyDescent="0.25">
      <c r="A82" s="380"/>
      <c r="B82" s="299"/>
      <c r="C82" s="401"/>
      <c r="D82" s="301"/>
      <c r="E82" s="302"/>
      <c r="F82" s="1878"/>
      <c r="G82" s="303"/>
      <c r="H82"/>
      <c r="I82"/>
      <c r="J82"/>
      <c r="K82"/>
      <c r="L82"/>
      <c r="O82" s="440"/>
    </row>
    <row r="83" spans="1:16" s="383" customFormat="1" ht="48" x14ac:dyDescent="0.25">
      <c r="A83" s="380" t="str">
        <f t="shared" si="0"/>
        <v>III.</v>
      </c>
      <c r="B83" s="299">
        <f>COUNT($A$60:B82)+1</f>
        <v>12</v>
      </c>
      <c r="C83" s="300" t="s">
        <v>773</v>
      </c>
      <c r="D83" s="301" t="s">
        <v>39</v>
      </c>
      <c r="E83" s="302">
        <v>2</v>
      </c>
      <c r="F83" s="1878"/>
      <c r="G83" s="303">
        <f>ROUND(E83*F83,2)</f>
        <v>0</v>
      </c>
      <c r="H83"/>
      <c r="I83"/>
      <c r="J83"/>
      <c r="K83"/>
      <c r="L83"/>
      <c r="O83" s="440"/>
    </row>
    <row r="84" spans="1:16" s="383" customFormat="1" ht="15" x14ac:dyDescent="0.25">
      <c r="A84" s="380"/>
      <c r="B84" s="299"/>
      <c r="C84" s="300"/>
      <c r="D84" s="301"/>
      <c r="E84" s="302"/>
      <c r="F84" s="1878"/>
      <c r="G84" s="303"/>
      <c r="H84"/>
      <c r="I84"/>
      <c r="J84"/>
      <c r="K84"/>
      <c r="L84"/>
      <c r="O84" s="440"/>
    </row>
    <row r="85" spans="1:16" s="383" customFormat="1" ht="70.5" customHeight="1" x14ac:dyDescent="0.25">
      <c r="A85" s="380" t="str">
        <f t="shared" si="0"/>
        <v>III.</v>
      </c>
      <c r="B85" s="299">
        <f>COUNT($A$60:B84)+1</f>
        <v>13</v>
      </c>
      <c r="C85" s="300" t="s">
        <v>774</v>
      </c>
      <c r="D85" s="301" t="s">
        <v>39</v>
      </c>
      <c r="E85" s="302">
        <v>200</v>
      </c>
      <c r="F85" s="1878"/>
      <c r="G85" s="303">
        <f>ROUND(E85*F85,2)</f>
        <v>0</v>
      </c>
      <c r="H85"/>
      <c r="I85"/>
      <c r="J85"/>
      <c r="K85"/>
      <c r="L85"/>
      <c r="O85" s="440"/>
    </row>
    <row r="86" spans="1:16" s="383" customFormat="1" ht="15" x14ac:dyDescent="0.25">
      <c r="A86" s="380"/>
      <c r="B86" s="299"/>
      <c r="C86" s="300"/>
      <c r="D86" s="301"/>
      <c r="E86" s="302"/>
      <c r="F86" s="1878"/>
      <c r="G86" s="303"/>
      <c r="H86"/>
      <c r="I86"/>
      <c r="J86"/>
      <c r="K86"/>
      <c r="L86"/>
      <c r="O86" s="440"/>
    </row>
    <row r="87" spans="1:16" s="383" customFormat="1" ht="24" x14ac:dyDescent="0.25">
      <c r="A87" s="380" t="str">
        <f t="shared" si="0"/>
        <v>III.</v>
      </c>
      <c r="B87" s="299">
        <f>COUNT($A$60:B86)+1</f>
        <v>14</v>
      </c>
      <c r="C87" s="300" t="s">
        <v>664</v>
      </c>
      <c r="D87" s="276"/>
      <c r="E87" s="302"/>
      <c r="F87" s="1876"/>
      <c r="G87" s="303"/>
      <c r="H87"/>
      <c r="I87"/>
      <c r="J87"/>
      <c r="K87"/>
      <c r="L87"/>
      <c r="O87" s="440"/>
    </row>
    <row r="88" spans="1:16" s="383" customFormat="1" ht="15" x14ac:dyDescent="0.25">
      <c r="A88" s="380"/>
      <c r="B88" s="299"/>
      <c r="C88" s="402" t="s">
        <v>665</v>
      </c>
      <c r="D88" s="301" t="s">
        <v>138</v>
      </c>
      <c r="E88" s="1697">
        <v>15000</v>
      </c>
      <c r="F88" s="1878"/>
      <c r="G88" s="303">
        <f>ROUND(E88*F88,2)</f>
        <v>0</v>
      </c>
      <c r="H88"/>
      <c r="I88"/>
      <c r="J88"/>
      <c r="K88"/>
      <c r="L88"/>
      <c r="O88" s="440"/>
    </row>
    <row r="89" spans="1:16" s="383" customFormat="1" ht="15" x14ac:dyDescent="0.25">
      <c r="A89" s="380"/>
      <c r="B89" s="299"/>
      <c r="C89" s="402" t="s">
        <v>666</v>
      </c>
      <c r="D89" s="301" t="s">
        <v>138</v>
      </c>
      <c r="E89" s="1697">
        <v>220000</v>
      </c>
      <c r="F89" s="1878"/>
      <c r="G89" s="303">
        <f>ROUND(E89*F89,2)</f>
        <v>0</v>
      </c>
      <c r="H89"/>
      <c r="I89"/>
      <c r="J89"/>
      <c r="K89"/>
      <c r="L89"/>
      <c r="O89" s="440"/>
    </row>
    <row r="90" spans="1:16" s="383" customFormat="1" ht="15" x14ac:dyDescent="0.25">
      <c r="A90" s="380"/>
      <c r="B90" s="299"/>
      <c r="C90" s="402"/>
      <c r="E90" s="1698"/>
      <c r="F90" s="1890"/>
      <c r="G90" s="303"/>
      <c r="H90"/>
      <c r="I90"/>
      <c r="J90"/>
      <c r="K90"/>
      <c r="L90"/>
      <c r="O90" s="440"/>
    </row>
    <row r="91" spans="1:16" s="383" customFormat="1" ht="24" x14ac:dyDescent="0.25">
      <c r="A91" s="380" t="str">
        <f t="shared" si="0"/>
        <v>III.</v>
      </c>
      <c r="B91" s="299">
        <f>COUNT($A$60:B90)+1</f>
        <v>15</v>
      </c>
      <c r="C91" s="300" t="s">
        <v>667</v>
      </c>
      <c r="D91" s="301" t="s">
        <v>138</v>
      </c>
      <c r="E91" s="1697">
        <v>25000</v>
      </c>
      <c r="F91" s="1878"/>
      <c r="G91" s="303">
        <f>ROUND(E91*F91,2)</f>
        <v>0</v>
      </c>
      <c r="H91"/>
      <c r="I91"/>
      <c r="J91"/>
      <c r="K91"/>
      <c r="L91"/>
      <c r="O91" s="440"/>
    </row>
    <row r="92" spans="1:16" s="383" customFormat="1" ht="15" x14ac:dyDescent="0.25">
      <c r="A92" s="296"/>
      <c r="B92" s="297"/>
      <c r="C92" s="289"/>
      <c r="D92" s="276"/>
      <c r="E92" s="277"/>
      <c r="F92" s="1876"/>
      <c r="G92" s="277"/>
      <c r="H92"/>
      <c r="I92"/>
      <c r="J92"/>
      <c r="K92"/>
      <c r="L92"/>
      <c r="O92" s="440"/>
    </row>
    <row r="93" spans="1:16" s="408" customFormat="1" ht="15.75" thickBot="1" x14ac:dyDescent="0.3">
      <c r="A93" s="309"/>
      <c r="B93" s="310"/>
      <c r="C93" s="311"/>
      <c r="D93" s="312"/>
      <c r="E93" s="313" t="str">
        <f>CONCATENATE(B59," ",C59," - SKUPAJ:")</f>
        <v>III. Betonska dela - SKUPAJ:</v>
      </c>
      <c r="F93" s="1879"/>
      <c r="G93" s="314">
        <f>ROUND(SUM(G61:G91),2)</f>
        <v>0</v>
      </c>
      <c r="H93"/>
      <c r="I93"/>
      <c r="J93"/>
      <c r="K93"/>
      <c r="L93"/>
      <c r="O93" s="451"/>
    </row>
    <row r="94" spans="1:16" s="383" customFormat="1" x14ac:dyDescent="0.2">
      <c r="A94" s="279"/>
      <c r="B94" s="279"/>
      <c r="C94" s="280"/>
      <c r="D94" s="281"/>
      <c r="E94" s="282"/>
      <c r="F94" s="1874"/>
      <c r="G94" s="281"/>
      <c r="H94" s="438"/>
      <c r="I94" s="215"/>
      <c r="J94" s="439"/>
      <c r="K94" s="439"/>
      <c r="L94" s="2045"/>
      <c r="M94" s="412"/>
    </row>
    <row r="95" spans="1:16" s="383" customFormat="1" ht="12.75" customHeight="1" x14ac:dyDescent="0.2">
      <c r="A95" s="274"/>
      <c r="B95" s="274"/>
      <c r="C95" s="283"/>
      <c r="D95" s="281"/>
      <c r="E95" s="282"/>
      <c r="F95" s="1874"/>
      <c r="G95" s="281"/>
      <c r="H95" s="438"/>
      <c r="I95" s="215"/>
      <c r="J95" s="439"/>
      <c r="K95" s="439"/>
      <c r="L95" s="2045"/>
      <c r="M95" s="441"/>
    </row>
    <row r="96" spans="1:16" s="444" customFormat="1" x14ac:dyDescent="0.2">
      <c r="A96" s="284" t="s">
        <v>26</v>
      </c>
      <c r="B96" s="284"/>
      <c r="C96" s="285" t="s">
        <v>27</v>
      </c>
      <c r="D96" s="286" t="s">
        <v>28</v>
      </c>
      <c r="E96" s="287" t="s">
        <v>29</v>
      </c>
      <c r="F96" s="1875" t="s">
        <v>30</v>
      </c>
      <c r="G96" s="288" t="s">
        <v>31</v>
      </c>
      <c r="H96" s="442"/>
      <c r="I96" s="228"/>
      <c r="J96" s="443"/>
      <c r="K96" s="443"/>
      <c r="M96" s="383"/>
      <c r="O96" s="446"/>
      <c r="P96" s="446"/>
    </row>
    <row r="97" spans="1:12" s="383" customFormat="1" x14ac:dyDescent="0.2">
      <c r="A97" s="279"/>
      <c r="B97" s="279"/>
      <c r="C97" s="289"/>
      <c r="D97" s="276"/>
      <c r="E97" s="277"/>
      <c r="F97" s="1876"/>
      <c r="G97" s="290"/>
      <c r="H97" s="438"/>
      <c r="I97" s="215"/>
      <c r="J97" s="439"/>
      <c r="K97" s="439"/>
    </row>
    <row r="98" spans="1:12" s="447" customFormat="1" ht="16.5" thickBot="1" x14ac:dyDescent="0.3">
      <c r="A98" s="291"/>
      <c r="B98" s="292" t="s">
        <v>86</v>
      </c>
      <c r="C98" s="376" t="s">
        <v>629</v>
      </c>
      <c r="D98" s="293"/>
      <c r="E98" s="294"/>
      <c r="F98" s="1877"/>
      <c r="G98" s="295"/>
      <c r="H98"/>
      <c r="I98"/>
      <c r="J98"/>
      <c r="K98"/>
      <c r="L98"/>
    </row>
    <row r="99" spans="1:12" s="383" customFormat="1" ht="15" x14ac:dyDescent="0.25">
      <c r="A99" s="296"/>
      <c r="B99" s="297"/>
      <c r="C99" s="289"/>
      <c r="D99" s="276"/>
      <c r="E99" s="277"/>
      <c r="F99" s="1876"/>
      <c r="G99" s="290"/>
      <c r="H99"/>
      <c r="I99"/>
      <c r="J99"/>
      <c r="K99"/>
      <c r="L99"/>
    </row>
    <row r="100" spans="1:12" s="383" customFormat="1" ht="36" x14ac:dyDescent="0.25">
      <c r="A100" s="380" t="str">
        <f>$B$98</f>
        <v>IV.</v>
      </c>
      <c r="B100" s="299">
        <f>1</f>
        <v>1</v>
      </c>
      <c r="C100" s="307" t="s">
        <v>775</v>
      </c>
      <c r="D100" s="301" t="s">
        <v>65</v>
      </c>
      <c r="E100" s="302">
        <v>41</v>
      </c>
      <c r="F100" s="1878"/>
      <c r="G100" s="303">
        <f>ROUND(E100*F100,2)</f>
        <v>0</v>
      </c>
      <c r="H100"/>
      <c r="I100"/>
      <c r="J100"/>
      <c r="K100"/>
      <c r="L100"/>
    </row>
    <row r="101" spans="1:12" s="383" customFormat="1" ht="15" x14ac:dyDescent="0.25">
      <c r="A101" s="380"/>
      <c r="B101" s="299"/>
      <c r="C101" s="275"/>
      <c r="D101" s="276"/>
      <c r="E101" s="277"/>
      <c r="F101" s="1876"/>
      <c r="G101" s="303"/>
      <c r="H101"/>
      <c r="I101"/>
      <c r="J101"/>
      <c r="K101"/>
      <c r="L101"/>
    </row>
    <row r="102" spans="1:12" s="383" customFormat="1" ht="48" x14ac:dyDescent="0.25">
      <c r="A102" s="380" t="str">
        <f t="shared" ref="A102:A134" si="1">$B$98</f>
        <v>IV.</v>
      </c>
      <c r="B102" s="381">
        <f>COUNT($A$98:B101)+1</f>
        <v>2</v>
      </c>
      <c r="C102" s="300" t="s">
        <v>776</v>
      </c>
      <c r="D102" s="301" t="s">
        <v>71</v>
      </c>
      <c r="E102" s="302">
        <v>21.5</v>
      </c>
      <c r="F102" s="1878"/>
      <c r="G102" s="303">
        <f>ROUND(E102*F102,2)</f>
        <v>0</v>
      </c>
      <c r="H102"/>
      <c r="I102"/>
      <c r="J102"/>
      <c r="K102"/>
      <c r="L102"/>
    </row>
    <row r="103" spans="1:12" s="383" customFormat="1" ht="15" x14ac:dyDescent="0.25">
      <c r="A103" s="380"/>
      <c r="B103" s="381"/>
      <c r="C103" s="377"/>
      <c r="D103" s="301"/>
      <c r="E103" s="302"/>
      <c r="F103" s="1878"/>
      <c r="G103" s="303"/>
      <c r="H103"/>
      <c r="I103"/>
      <c r="J103"/>
      <c r="K103"/>
      <c r="L103"/>
    </row>
    <row r="104" spans="1:12" s="383" customFormat="1" ht="48" x14ac:dyDescent="0.25">
      <c r="A104" s="380" t="str">
        <f t="shared" si="1"/>
        <v>IV.</v>
      </c>
      <c r="B104" s="381">
        <f>COUNT($A$98:B103)+1</f>
        <v>3</v>
      </c>
      <c r="C104" s="300" t="s">
        <v>777</v>
      </c>
      <c r="D104" s="301" t="s">
        <v>71</v>
      </c>
      <c r="E104" s="302">
        <v>1526</v>
      </c>
      <c r="F104" s="1878"/>
      <c r="G104" s="303">
        <f>ROUND(E104*F104,2)</f>
        <v>0</v>
      </c>
      <c r="H104"/>
      <c r="I104"/>
      <c r="J104"/>
      <c r="K104"/>
      <c r="L104"/>
    </row>
    <row r="105" spans="1:12" s="383" customFormat="1" ht="15" x14ac:dyDescent="0.25">
      <c r="A105" s="380"/>
      <c r="B105" s="381"/>
      <c r="C105" s="377"/>
      <c r="D105" s="301"/>
      <c r="E105" s="302"/>
      <c r="F105" s="1878"/>
      <c r="G105" s="303"/>
      <c r="H105"/>
      <c r="I105"/>
      <c r="J105"/>
      <c r="K105"/>
      <c r="L105"/>
    </row>
    <row r="106" spans="1:12" s="383" customFormat="1" ht="36" x14ac:dyDescent="0.25">
      <c r="A106" s="380" t="str">
        <f t="shared" si="1"/>
        <v>IV.</v>
      </c>
      <c r="B106" s="381">
        <f>COUNT($A$98:B105)+1</f>
        <v>4</v>
      </c>
      <c r="C106" s="377" t="s">
        <v>778</v>
      </c>
      <c r="D106" s="301" t="s">
        <v>71</v>
      </c>
      <c r="E106" s="302">
        <v>88</v>
      </c>
      <c r="F106" s="1878"/>
      <c r="G106" s="303">
        <f>ROUND(E106*F106,2)</f>
        <v>0</v>
      </c>
      <c r="H106"/>
      <c r="I106"/>
      <c r="J106"/>
      <c r="K106"/>
      <c r="L106"/>
    </row>
    <row r="107" spans="1:12" s="383" customFormat="1" ht="15" x14ac:dyDescent="0.25">
      <c r="A107" s="380"/>
      <c r="B107" s="381"/>
      <c r="C107" s="377"/>
      <c r="D107" s="301"/>
      <c r="E107" s="302"/>
      <c r="F107" s="1878"/>
      <c r="G107" s="303"/>
      <c r="H107"/>
      <c r="I107"/>
      <c r="J107"/>
      <c r="K107"/>
      <c r="L107"/>
    </row>
    <row r="108" spans="1:12" s="383" customFormat="1" ht="48" x14ac:dyDescent="0.25">
      <c r="A108" s="380" t="str">
        <f t="shared" si="1"/>
        <v>IV.</v>
      </c>
      <c r="B108" s="381">
        <f>COUNT($A$98:B107)+1</f>
        <v>5</v>
      </c>
      <c r="C108" s="377" t="s">
        <v>779</v>
      </c>
      <c r="D108" s="301" t="s">
        <v>71</v>
      </c>
      <c r="E108" s="302">
        <v>2730</v>
      </c>
      <c r="F108" s="1878"/>
      <c r="G108" s="303">
        <f>ROUND(E108*F108,2)</f>
        <v>0</v>
      </c>
      <c r="H108"/>
      <c r="I108"/>
      <c r="J108"/>
      <c r="K108"/>
      <c r="L108"/>
    </row>
    <row r="109" spans="1:12" s="383" customFormat="1" ht="15" x14ac:dyDescent="0.25">
      <c r="A109" s="380"/>
      <c r="B109" s="381"/>
      <c r="C109" s="377"/>
      <c r="D109" s="301"/>
      <c r="E109" s="302"/>
      <c r="F109" s="1878"/>
      <c r="G109" s="303"/>
      <c r="H109"/>
      <c r="I109"/>
      <c r="J109"/>
      <c r="K109"/>
      <c r="L109"/>
    </row>
    <row r="110" spans="1:12" s="383" customFormat="1" ht="36" x14ac:dyDescent="0.25">
      <c r="A110" s="380" t="str">
        <f t="shared" si="1"/>
        <v>IV.</v>
      </c>
      <c r="B110" s="381">
        <f>COUNT($A$98:B109)+1</f>
        <v>6</v>
      </c>
      <c r="C110" s="377" t="s">
        <v>780</v>
      </c>
      <c r="D110" s="301" t="s">
        <v>71</v>
      </c>
      <c r="E110" s="302">
        <v>110</v>
      </c>
      <c r="F110" s="1878"/>
      <c r="G110" s="303">
        <f>ROUND(E110*F110,2)</f>
        <v>0</v>
      </c>
      <c r="H110"/>
      <c r="I110"/>
      <c r="J110"/>
      <c r="K110"/>
      <c r="L110"/>
    </row>
    <row r="111" spans="1:12" s="383" customFormat="1" ht="15" x14ac:dyDescent="0.25">
      <c r="A111" s="380"/>
      <c r="B111" s="381"/>
      <c r="C111" s="453"/>
      <c r="D111" s="301"/>
      <c r="E111" s="302"/>
      <c r="F111" s="1878"/>
      <c r="G111" s="303"/>
      <c r="H111"/>
      <c r="I111"/>
      <c r="J111"/>
      <c r="K111"/>
      <c r="L111"/>
    </row>
    <row r="112" spans="1:12" s="383" customFormat="1" ht="48" x14ac:dyDescent="0.25">
      <c r="A112" s="380" t="str">
        <f t="shared" si="1"/>
        <v>IV.</v>
      </c>
      <c r="B112" s="381">
        <f>COUNT($A$98:B111)+1</f>
        <v>7</v>
      </c>
      <c r="C112" s="377" t="s">
        <v>781</v>
      </c>
      <c r="D112" s="301" t="s">
        <v>71</v>
      </c>
      <c r="E112" s="302">
        <v>220</v>
      </c>
      <c r="F112" s="1878"/>
      <c r="G112" s="303">
        <f>ROUND(E112*F112,2)</f>
        <v>0</v>
      </c>
      <c r="H112"/>
      <c r="I112"/>
      <c r="J112"/>
      <c r="K112"/>
      <c r="L112"/>
    </row>
    <row r="113" spans="1:12" s="383" customFormat="1" ht="15" x14ac:dyDescent="0.25">
      <c r="A113" s="380"/>
      <c r="B113" s="381"/>
      <c r="C113" s="377"/>
      <c r="D113" s="301"/>
      <c r="E113" s="302"/>
      <c r="F113" s="1878"/>
      <c r="G113" s="303"/>
      <c r="H113"/>
      <c r="I113"/>
      <c r="J113"/>
      <c r="K113"/>
      <c r="L113"/>
    </row>
    <row r="114" spans="1:12" s="383" customFormat="1" ht="48" x14ac:dyDescent="0.25">
      <c r="A114" s="380" t="str">
        <f t="shared" si="1"/>
        <v>IV.</v>
      </c>
      <c r="B114" s="381">
        <f>COUNT($A$98:B113)+1</f>
        <v>8</v>
      </c>
      <c r="C114" s="377" t="s">
        <v>782</v>
      </c>
      <c r="D114" s="301" t="s">
        <v>71</v>
      </c>
      <c r="E114" s="302">
        <v>180</v>
      </c>
      <c r="F114" s="1878"/>
      <c r="G114" s="303">
        <f>ROUND(E114*F114,2)</f>
        <v>0</v>
      </c>
      <c r="H114"/>
      <c r="I114"/>
      <c r="J114"/>
      <c r="K114"/>
      <c r="L114"/>
    </row>
    <row r="115" spans="1:12" s="383" customFormat="1" ht="15" x14ac:dyDescent="0.25">
      <c r="A115" s="380"/>
      <c r="B115" s="381"/>
      <c r="C115" s="377"/>
      <c r="D115" s="301"/>
      <c r="E115" s="302"/>
      <c r="F115" s="1878"/>
      <c r="G115" s="303"/>
      <c r="H115"/>
      <c r="I115"/>
      <c r="J115"/>
      <c r="K115"/>
      <c r="L115"/>
    </row>
    <row r="116" spans="1:12" s="383" customFormat="1" ht="36" x14ac:dyDescent="0.25">
      <c r="A116" s="380" t="str">
        <f t="shared" si="1"/>
        <v>IV.</v>
      </c>
      <c r="B116" s="381">
        <f>COUNT($A$98:B115)+1</f>
        <v>9</v>
      </c>
      <c r="C116" s="403" t="s">
        <v>783</v>
      </c>
      <c r="D116" s="301" t="s">
        <v>71</v>
      </c>
      <c r="E116" s="302">
        <v>315</v>
      </c>
      <c r="F116" s="1878"/>
      <c r="G116" s="303">
        <f>ROUND(E116*F116,2)</f>
        <v>0</v>
      </c>
      <c r="H116"/>
      <c r="I116"/>
      <c r="J116"/>
      <c r="K116"/>
      <c r="L116"/>
    </row>
    <row r="117" spans="1:12" s="383" customFormat="1" ht="15" x14ac:dyDescent="0.25">
      <c r="A117" s="380"/>
      <c r="B117" s="381"/>
      <c r="C117" s="403"/>
      <c r="D117" s="301"/>
      <c r="E117" s="302"/>
      <c r="F117" s="1878"/>
      <c r="G117" s="303"/>
      <c r="H117"/>
      <c r="I117"/>
      <c r="J117"/>
      <c r="K117"/>
      <c r="L117"/>
    </row>
    <row r="118" spans="1:12" s="383" customFormat="1" ht="36" x14ac:dyDescent="0.25">
      <c r="A118" s="380" t="str">
        <f t="shared" si="1"/>
        <v>IV.</v>
      </c>
      <c r="B118" s="381">
        <f>COUNT($A$98:B117)+1</f>
        <v>10</v>
      </c>
      <c r="C118" s="403" t="s">
        <v>784</v>
      </c>
      <c r="D118" s="301" t="s">
        <v>65</v>
      </c>
      <c r="E118" s="302">
        <v>32.5</v>
      </c>
      <c r="F118" s="1878"/>
      <c r="G118" s="303">
        <f>ROUND(E118*F118,2)</f>
        <v>0</v>
      </c>
      <c r="H118"/>
      <c r="I118"/>
      <c r="J118"/>
      <c r="K118"/>
      <c r="L118"/>
    </row>
    <row r="119" spans="1:12" s="383" customFormat="1" ht="15" x14ac:dyDescent="0.25">
      <c r="A119" s="380"/>
      <c r="B119" s="381"/>
      <c r="C119" s="377"/>
      <c r="D119" s="301"/>
      <c r="E119" s="302"/>
      <c r="F119" s="1878"/>
      <c r="G119" s="303"/>
      <c r="H119"/>
      <c r="I119"/>
      <c r="J119"/>
      <c r="K119"/>
      <c r="L119"/>
    </row>
    <row r="120" spans="1:12" s="383" customFormat="1" ht="36" x14ac:dyDescent="0.25">
      <c r="A120" s="380" t="str">
        <f t="shared" si="1"/>
        <v>IV.</v>
      </c>
      <c r="B120" s="381">
        <f>COUNT($A$98:B119)+1</f>
        <v>11</v>
      </c>
      <c r="C120" s="377" t="s">
        <v>785</v>
      </c>
      <c r="D120" s="301"/>
      <c r="E120" s="302"/>
      <c r="F120" s="1878"/>
      <c r="G120" s="303"/>
      <c r="H120"/>
      <c r="I120"/>
      <c r="J120"/>
      <c r="K120"/>
      <c r="L120"/>
    </row>
    <row r="121" spans="1:12" s="383" customFormat="1" ht="15" x14ac:dyDescent="0.25">
      <c r="A121" s="380"/>
      <c r="B121" s="381" t="s">
        <v>521</v>
      </c>
      <c r="C121" s="307" t="s">
        <v>684</v>
      </c>
      <c r="D121" s="301" t="s">
        <v>39</v>
      </c>
      <c r="E121" s="302">
        <v>10</v>
      </c>
      <c r="F121" s="1878"/>
      <c r="G121" s="303">
        <f>ROUND(E121*F121,2)</f>
        <v>0</v>
      </c>
      <c r="H121"/>
      <c r="I121"/>
      <c r="J121"/>
      <c r="K121"/>
      <c r="L121"/>
    </row>
    <row r="122" spans="1:12" s="383" customFormat="1" ht="15" x14ac:dyDescent="0.25">
      <c r="A122" s="380"/>
      <c r="B122" s="381" t="s">
        <v>521</v>
      </c>
      <c r="C122" s="307" t="s">
        <v>686</v>
      </c>
      <c r="D122" s="301" t="s">
        <v>39</v>
      </c>
      <c r="E122" s="302">
        <v>10</v>
      </c>
      <c r="F122" s="1878"/>
      <c r="G122" s="303">
        <f>ROUND(E122*F122,2)</f>
        <v>0</v>
      </c>
      <c r="H122"/>
      <c r="I122"/>
      <c r="J122"/>
      <c r="K122"/>
      <c r="L122"/>
    </row>
    <row r="123" spans="1:12" s="383" customFormat="1" ht="15" x14ac:dyDescent="0.25">
      <c r="A123" s="380"/>
      <c r="B123" s="381" t="s">
        <v>521</v>
      </c>
      <c r="C123" s="307" t="s">
        <v>687</v>
      </c>
      <c r="D123" s="301" t="s">
        <v>39</v>
      </c>
      <c r="E123" s="302">
        <v>10</v>
      </c>
      <c r="F123" s="1878"/>
      <c r="G123" s="303">
        <f>ROUND(E123*F123,2)</f>
        <v>0</v>
      </c>
      <c r="H123"/>
      <c r="I123"/>
      <c r="J123"/>
      <c r="K123"/>
      <c r="L123"/>
    </row>
    <row r="124" spans="1:12" s="383" customFormat="1" ht="15" x14ac:dyDescent="0.25">
      <c r="A124" s="380"/>
      <c r="B124" s="381"/>
      <c r="C124" s="307"/>
      <c r="D124" s="301"/>
      <c r="E124" s="302"/>
      <c r="F124" s="1878"/>
      <c r="G124" s="303"/>
      <c r="H124"/>
      <c r="I124"/>
      <c r="J124"/>
      <c r="K124"/>
      <c r="L124"/>
    </row>
    <row r="125" spans="1:12" s="383" customFormat="1" ht="48" x14ac:dyDescent="0.25">
      <c r="A125" s="380" t="str">
        <f t="shared" si="1"/>
        <v>IV.</v>
      </c>
      <c r="B125" s="381">
        <f>COUNT($A$98:B124)+1</f>
        <v>12</v>
      </c>
      <c r="C125" s="300" t="s">
        <v>786</v>
      </c>
      <c r="D125" s="301"/>
      <c r="E125" s="302"/>
      <c r="F125" s="1878"/>
      <c r="G125" s="303"/>
      <c r="H125"/>
      <c r="I125"/>
      <c r="J125"/>
      <c r="K125"/>
      <c r="L125"/>
    </row>
    <row r="126" spans="1:12" s="383" customFormat="1" ht="15" x14ac:dyDescent="0.25">
      <c r="A126" s="380"/>
      <c r="B126" s="381" t="s">
        <v>521</v>
      </c>
      <c r="C126" s="307" t="s">
        <v>787</v>
      </c>
      <c r="D126" s="301" t="s">
        <v>39</v>
      </c>
      <c r="E126" s="302">
        <v>4</v>
      </c>
      <c r="F126" s="1878"/>
      <c r="G126" s="303">
        <f>ROUND(E126*F126,2)</f>
        <v>0</v>
      </c>
      <c r="H126"/>
      <c r="I126"/>
      <c r="J126"/>
      <c r="K126"/>
      <c r="L126"/>
    </row>
    <row r="127" spans="1:12" s="383" customFormat="1" ht="15" x14ac:dyDescent="0.25">
      <c r="A127" s="380"/>
      <c r="B127" s="381" t="s">
        <v>521</v>
      </c>
      <c r="C127" s="307" t="s">
        <v>788</v>
      </c>
      <c r="D127" s="301" t="s">
        <v>39</v>
      </c>
      <c r="E127" s="302">
        <v>2</v>
      </c>
      <c r="F127" s="1878"/>
      <c r="G127" s="303">
        <f>ROUND(E127*F127,2)</f>
        <v>0</v>
      </c>
      <c r="H127"/>
      <c r="I127"/>
      <c r="J127"/>
      <c r="K127"/>
      <c r="L127"/>
    </row>
    <row r="128" spans="1:12" s="383" customFormat="1" ht="15" x14ac:dyDescent="0.25">
      <c r="A128" s="380"/>
      <c r="B128" s="381"/>
      <c r="C128" s="307"/>
      <c r="D128" s="301"/>
      <c r="E128" s="302"/>
      <c r="F128" s="1878"/>
      <c r="G128" s="303"/>
      <c r="H128"/>
      <c r="I128"/>
      <c r="J128"/>
      <c r="K128"/>
      <c r="L128"/>
    </row>
    <row r="129" spans="1:15" s="383" customFormat="1" ht="48" x14ac:dyDescent="0.25">
      <c r="A129" s="380" t="str">
        <f t="shared" si="1"/>
        <v>IV.</v>
      </c>
      <c r="B129" s="381">
        <f>COUNT($A$98:B128)+1</f>
        <v>13</v>
      </c>
      <c r="C129" s="300" t="s">
        <v>789</v>
      </c>
      <c r="D129" s="301"/>
      <c r="E129" s="302"/>
      <c r="F129" s="1878"/>
      <c r="G129" s="303"/>
      <c r="H129"/>
      <c r="I129"/>
      <c r="J129"/>
      <c r="K129"/>
      <c r="L129"/>
    </row>
    <row r="130" spans="1:15" s="383" customFormat="1" ht="15" x14ac:dyDescent="0.25">
      <c r="A130" s="380"/>
      <c r="B130" s="381" t="s">
        <v>521</v>
      </c>
      <c r="C130" s="307" t="s">
        <v>788</v>
      </c>
      <c r="D130" s="301" t="s">
        <v>39</v>
      </c>
      <c r="E130" s="302">
        <v>3</v>
      </c>
      <c r="F130" s="1878"/>
      <c r="G130" s="303">
        <f>ROUND(E130*F130,2)</f>
        <v>0</v>
      </c>
      <c r="H130"/>
      <c r="I130"/>
      <c r="J130"/>
      <c r="K130"/>
      <c r="L130"/>
    </row>
    <row r="131" spans="1:15" s="383" customFormat="1" ht="15" x14ac:dyDescent="0.25">
      <c r="A131" s="380"/>
      <c r="B131" s="381"/>
      <c r="C131" s="307"/>
      <c r="D131" s="301"/>
      <c r="E131" s="302"/>
      <c r="F131" s="1878"/>
      <c r="G131" s="303"/>
      <c r="H131"/>
      <c r="I131"/>
      <c r="J131"/>
      <c r="K131"/>
      <c r="L131"/>
    </row>
    <row r="132" spans="1:15" s="383" customFormat="1" ht="48" x14ac:dyDescent="0.25">
      <c r="A132" s="380" t="str">
        <f t="shared" si="1"/>
        <v>IV.</v>
      </c>
      <c r="B132" s="381">
        <f>COUNT($A$98:B131)+1</f>
        <v>14</v>
      </c>
      <c r="C132" s="377" t="s">
        <v>790</v>
      </c>
      <c r="D132" s="301" t="s">
        <v>71</v>
      </c>
      <c r="E132" s="302">
        <v>285</v>
      </c>
      <c r="F132" s="1878"/>
      <c r="G132" s="303">
        <f>ROUND(E132*F132,2)</f>
        <v>0</v>
      </c>
      <c r="H132"/>
      <c r="I132"/>
      <c r="J132"/>
      <c r="K132"/>
      <c r="L132"/>
    </row>
    <row r="133" spans="1:15" s="383" customFormat="1" ht="15" x14ac:dyDescent="0.25">
      <c r="A133" s="380"/>
      <c r="B133" s="381"/>
      <c r="C133" s="307"/>
      <c r="D133" s="301"/>
      <c r="E133" s="302"/>
      <c r="F133" s="1878"/>
      <c r="G133" s="303"/>
      <c r="H133"/>
      <c r="I133"/>
      <c r="J133"/>
      <c r="K133"/>
      <c r="L133"/>
    </row>
    <row r="134" spans="1:15" s="383" customFormat="1" ht="48" x14ac:dyDescent="0.25">
      <c r="A134" s="380" t="str">
        <f t="shared" si="1"/>
        <v>IV.</v>
      </c>
      <c r="B134" s="381">
        <f>COUNT($A$98:B133)+1</f>
        <v>15</v>
      </c>
      <c r="C134" s="377" t="s">
        <v>791</v>
      </c>
      <c r="D134" s="301" t="s">
        <v>65</v>
      </c>
      <c r="E134" s="302">
        <v>27.4</v>
      </c>
      <c r="F134" s="1878"/>
      <c r="G134" s="303">
        <f>ROUND(E134*F134,2)</f>
        <v>0</v>
      </c>
      <c r="H134"/>
      <c r="I134"/>
      <c r="J134"/>
      <c r="K134"/>
      <c r="L134"/>
    </row>
    <row r="135" spans="1:15" s="383" customFormat="1" ht="15" x14ac:dyDescent="0.25">
      <c r="A135" s="296"/>
      <c r="B135" s="297"/>
      <c r="C135" s="404"/>
      <c r="D135" s="301"/>
      <c r="E135" s="302"/>
      <c r="F135" s="1878"/>
      <c r="G135" s="303"/>
      <c r="H135"/>
      <c r="I135"/>
      <c r="J135"/>
      <c r="K135"/>
      <c r="L135"/>
    </row>
    <row r="136" spans="1:15" s="408" customFormat="1" ht="13.5" thickBot="1" x14ac:dyDescent="0.25">
      <c r="A136" s="309"/>
      <c r="B136" s="310"/>
      <c r="C136" s="311"/>
      <c r="D136" s="312"/>
      <c r="E136" s="313" t="str">
        <f>CONCATENATE(B98," ",C98," - SKUPAJ:")</f>
        <v>IV. Tesarska dela - SKUPAJ:</v>
      </c>
      <c r="F136" s="1879"/>
      <c r="G136" s="314">
        <f>ROUND(SUM(G99:G135),2)</f>
        <v>0</v>
      </c>
      <c r="H136" s="449"/>
      <c r="I136" s="368"/>
      <c r="J136" s="450"/>
      <c r="K136" s="450"/>
    </row>
    <row r="138" spans="1:15" s="330" customFormat="1" ht="18.75" x14ac:dyDescent="0.25">
      <c r="A138" s="320" t="s">
        <v>24</v>
      </c>
      <c r="B138" s="321"/>
      <c r="C138" s="322" t="s">
        <v>617</v>
      </c>
      <c r="D138" s="323"/>
      <c r="E138" s="324"/>
      <c r="F138" s="1864"/>
      <c r="G138" s="325"/>
      <c r="H138" s="326"/>
      <c r="I138" s="215"/>
      <c r="J138" s="327"/>
      <c r="K138" s="327"/>
      <c r="L138" s="328"/>
      <c r="M138" s="329"/>
    </row>
    <row r="139" spans="1:15" s="383" customFormat="1" x14ac:dyDescent="0.2">
      <c r="A139" s="274"/>
      <c r="B139" s="274"/>
      <c r="D139" s="384"/>
      <c r="E139" s="277"/>
      <c r="F139" s="1881"/>
      <c r="G139" s="384"/>
      <c r="H139" s="454"/>
      <c r="I139" s="455"/>
      <c r="J139" s="456"/>
      <c r="K139" s="456"/>
      <c r="L139" s="1391"/>
    </row>
    <row r="140" spans="1:15" s="383" customFormat="1" x14ac:dyDescent="0.2">
      <c r="A140" s="274"/>
      <c r="B140" s="274"/>
      <c r="C140" s="386"/>
      <c r="D140" s="384"/>
      <c r="E140" s="277"/>
      <c r="F140" s="1881"/>
      <c r="G140" s="386"/>
      <c r="H140" s="454"/>
      <c r="I140" s="455"/>
      <c r="J140" s="456"/>
      <c r="K140" s="456"/>
      <c r="L140" s="412"/>
    </row>
    <row r="141" spans="1:15" s="444" customFormat="1" x14ac:dyDescent="0.2">
      <c r="A141" s="284" t="s">
        <v>26</v>
      </c>
      <c r="B141" s="284"/>
      <c r="C141" s="285" t="s">
        <v>27</v>
      </c>
      <c r="D141" s="387" t="s">
        <v>28</v>
      </c>
      <c r="E141" s="287" t="s">
        <v>29</v>
      </c>
      <c r="F141" s="1883" t="s">
        <v>30</v>
      </c>
      <c r="G141" s="287" t="s">
        <v>31</v>
      </c>
      <c r="H141" s="457"/>
      <c r="I141" s="458"/>
      <c r="J141" s="459"/>
      <c r="K141" s="459"/>
      <c r="L141" s="383"/>
      <c r="N141" s="446"/>
      <c r="O141" s="446"/>
    </row>
    <row r="142" spans="1:15" s="383" customFormat="1" ht="15" x14ac:dyDescent="0.25">
      <c r="A142" s="279"/>
      <c r="B142" s="279"/>
      <c r="C142" s="289"/>
      <c r="D142" s="384"/>
      <c r="E142" s="277"/>
      <c r="F142" s="1881"/>
      <c r="G142" s="277"/>
      <c r="H142"/>
      <c r="I142"/>
      <c r="J142"/>
      <c r="K142"/>
      <c r="L142"/>
    </row>
    <row r="143" spans="1:15" s="447" customFormat="1" ht="16.5" thickBot="1" x14ac:dyDescent="0.3">
      <c r="A143" s="291"/>
      <c r="B143" s="292" t="s">
        <v>20</v>
      </c>
      <c r="C143" s="376" t="s">
        <v>631</v>
      </c>
      <c r="D143" s="388"/>
      <c r="E143" s="294"/>
      <c r="F143" s="1884"/>
      <c r="G143" s="294"/>
      <c r="H143"/>
      <c r="I143"/>
      <c r="J143"/>
      <c r="K143"/>
      <c r="L143"/>
    </row>
    <row r="144" spans="1:15" s="383" customFormat="1" ht="15" x14ac:dyDescent="0.25">
      <c r="A144" s="296"/>
      <c r="B144" s="297"/>
      <c r="C144" s="289"/>
      <c r="D144" s="384"/>
      <c r="E144" s="277"/>
      <c r="F144" s="1881"/>
      <c r="G144" s="277"/>
      <c r="H144"/>
      <c r="I144"/>
      <c r="J144"/>
      <c r="K144"/>
      <c r="L144"/>
    </row>
    <row r="145" spans="1:15" s="414" customFormat="1" ht="84" x14ac:dyDescent="0.25">
      <c r="A145" s="380" t="str">
        <f>B143</f>
        <v>I.</v>
      </c>
      <c r="B145" s="299">
        <v>1</v>
      </c>
      <c r="C145" s="377" t="s">
        <v>691</v>
      </c>
      <c r="D145" s="301" t="s">
        <v>65</v>
      </c>
      <c r="E145" s="302">
        <v>3.5</v>
      </c>
      <c r="F145" s="1878"/>
      <c r="G145" s="303">
        <f>ROUND(E145*F145,2)</f>
        <v>0</v>
      </c>
      <c r="H145"/>
      <c r="I145"/>
      <c r="J145"/>
      <c r="K145"/>
      <c r="L145"/>
      <c r="M145" s="460"/>
      <c r="N145" s="461"/>
      <c r="O145" s="462"/>
    </row>
    <row r="146" spans="1:15" s="414" customFormat="1" ht="15" x14ac:dyDescent="0.25">
      <c r="A146" s="298"/>
      <c r="B146" s="299"/>
      <c r="C146" s="300"/>
      <c r="D146" s="301"/>
      <c r="E146" s="302"/>
      <c r="F146" s="1878"/>
      <c r="G146" s="303"/>
      <c r="H146"/>
      <c r="I146"/>
      <c r="J146"/>
      <c r="K146"/>
      <c r="L146"/>
      <c r="M146" s="460"/>
      <c r="N146" s="461"/>
      <c r="O146" s="462"/>
    </row>
    <row r="147" spans="1:15" s="414" customFormat="1" ht="72" x14ac:dyDescent="0.25">
      <c r="A147" s="380" t="str">
        <f>A145</f>
        <v>I.</v>
      </c>
      <c r="B147" s="299">
        <v>2</v>
      </c>
      <c r="C147" s="377" t="s">
        <v>692</v>
      </c>
      <c r="D147" s="301" t="s">
        <v>65</v>
      </c>
      <c r="E147" s="302">
        <v>7</v>
      </c>
      <c r="F147" s="1878"/>
      <c r="G147" s="303">
        <f>ROUND(E147*F147,2)</f>
        <v>0</v>
      </c>
      <c r="H147"/>
      <c r="I147"/>
      <c r="J147"/>
      <c r="K147"/>
      <c r="L147"/>
      <c r="M147" s="460"/>
      <c r="N147" s="461"/>
      <c r="O147" s="462"/>
    </row>
    <row r="148" spans="1:15" s="414" customFormat="1" ht="15" x14ac:dyDescent="0.25">
      <c r="A148" s="298"/>
      <c r="B148" s="299"/>
      <c r="C148" s="389"/>
      <c r="D148" s="390"/>
      <c r="E148" s="390"/>
      <c r="F148" s="1885"/>
      <c r="G148" s="303"/>
      <c r="H148"/>
      <c r="I148"/>
      <c r="J148"/>
      <c r="K148"/>
      <c r="L148"/>
      <c r="M148" s="460"/>
      <c r="N148" s="461"/>
      <c r="O148" s="462"/>
    </row>
    <row r="149" spans="1:15" s="414" customFormat="1" ht="15.75" thickBot="1" x14ac:dyDescent="0.3">
      <c r="A149" s="391"/>
      <c r="B149" s="392"/>
      <c r="C149" s="393"/>
      <c r="D149" s="394"/>
      <c r="E149" s="313" t="str">
        <f>CONCATENATE(B143," ",C143," - SKUPAJ:")</f>
        <v>I. Krovskokleparska dela - SKUPAJ:</v>
      </c>
      <c r="F149" s="1886"/>
      <c r="G149" s="314">
        <f>ROUND(SUM(G145:G147),2)</f>
        <v>0</v>
      </c>
      <c r="H149"/>
      <c r="I149"/>
      <c r="J149"/>
      <c r="K149"/>
      <c r="L149"/>
      <c r="M149" s="460"/>
      <c r="N149" s="461"/>
      <c r="O149" s="462"/>
    </row>
    <row r="150" spans="1:15" s="383" customFormat="1" x14ac:dyDescent="0.2">
      <c r="A150" s="279"/>
      <c r="B150" s="279"/>
      <c r="C150" s="417"/>
      <c r="D150" s="282"/>
      <c r="E150" s="282"/>
      <c r="F150" s="1882"/>
      <c r="G150" s="282"/>
      <c r="H150" s="454"/>
      <c r="I150" s="455"/>
      <c r="J150" s="456"/>
      <c r="K150" s="456"/>
      <c r="L150" s="412"/>
    </row>
    <row r="151" spans="1:15" s="383" customFormat="1" x14ac:dyDescent="0.2">
      <c r="A151" s="274" t="s">
        <v>63</v>
      </c>
      <c r="B151" s="274"/>
      <c r="C151" s="275"/>
      <c r="D151" s="282"/>
      <c r="E151" s="282"/>
      <c r="F151" s="1882"/>
      <c r="G151" s="282"/>
      <c r="H151" s="454"/>
      <c r="I151" s="455"/>
      <c r="J151" s="456"/>
      <c r="K151" s="456"/>
      <c r="L151" s="441"/>
    </row>
    <row r="152" spans="1:15" s="444" customFormat="1" x14ac:dyDescent="0.2">
      <c r="A152" s="284" t="s">
        <v>26</v>
      </c>
      <c r="B152" s="284"/>
      <c r="C152" s="285" t="s">
        <v>27</v>
      </c>
      <c r="D152" s="387" t="s">
        <v>28</v>
      </c>
      <c r="E152" s="287" t="s">
        <v>29</v>
      </c>
      <c r="F152" s="1883" t="s">
        <v>30</v>
      </c>
      <c r="G152" s="287" t="s">
        <v>31</v>
      </c>
      <c r="H152" s="457"/>
      <c r="I152" s="458"/>
      <c r="J152" s="459"/>
      <c r="K152" s="459"/>
      <c r="L152" s="383"/>
      <c r="N152" s="446"/>
      <c r="O152" s="446"/>
    </row>
    <row r="153" spans="1:15" s="383" customFormat="1" x14ac:dyDescent="0.2">
      <c r="A153" s="279"/>
      <c r="B153" s="279"/>
      <c r="C153" s="289"/>
      <c r="D153" s="384"/>
      <c r="E153" s="277"/>
      <c r="F153" s="1881"/>
      <c r="G153" s="277"/>
      <c r="H153" s="454"/>
      <c r="I153" s="455"/>
      <c r="J153" s="456"/>
      <c r="K153" s="456"/>
    </row>
    <row r="154" spans="1:15" s="447" customFormat="1" ht="16.5" thickBot="1" x14ac:dyDescent="0.3">
      <c r="A154" s="291"/>
      <c r="B154" s="292" t="s">
        <v>77</v>
      </c>
      <c r="C154" s="376" t="s">
        <v>632</v>
      </c>
      <c r="D154" s="388"/>
      <c r="E154" s="294"/>
      <c r="F154" s="1884"/>
      <c r="G154" s="294"/>
      <c r="H154"/>
      <c r="I154"/>
      <c r="J154"/>
      <c r="K154"/>
      <c r="L154"/>
    </row>
    <row r="155" spans="1:15" s="383" customFormat="1" ht="15" x14ac:dyDescent="0.25">
      <c r="A155" s="296"/>
      <c r="B155" s="297"/>
      <c r="C155" s="289"/>
      <c r="D155" s="384"/>
      <c r="E155" s="277"/>
      <c r="F155" s="1881"/>
      <c r="G155" s="277"/>
      <c r="H155"/>
      <c r="I155"/>
      <c r="J155"/>
      <c r="K155"/>
      <c r="L155"/>
    </row>
    <row r="156" spans="1:15" s="414" customFormat="1" ht="107.25" customHeight="1" x14ac:dyDescent="0.25">
      <c r="A156" s="380" t="str">
        <f>$B$154</f>
        <v>II.</v>
      </c>
      <c r="B156" s="299">
        <v>1</v>
      </c>
      <c r="C156" s="378" t="s">
        <v>792</v>
      </c>
      <c r="D156" s="302" t="s">
        <v>138</v>
      </c>
      <c r="E156" s="302">
        <v>250</v>
      </c>
      <c r="F156" s="1878"/>
      <c r="G156" s="303">
        <f>ROUND(E156*F156,2)</f>
        <v>0</v>
      </c>
      <c r="H156"/>
      <c r="I156"/>
      <c r="J156"/>
      <c r="K156"/>
      <c r="L156"/>
    </row>
    <row r="157" spans="1:15" s="414" customFormat="1" ht="15" x14ac:dyDescent="0.25">
      <c r="A157" s="380"/>
      <c r="B157" s="299"/>
      <c r="C157" s="378"/>
      <c r="F157" s="1892"/>
      <c r="G157" s="303"/>
      <c r="H157"/>
      <c r="I157"/>
      <c r="J157"/>
      <c r="K157"/>
      <c r="L157"/>
      <c r="M157" s="460"/>
      <c r="N157" s="461"/>
      <c r="O157" s="462"/>
    </row>
    <row r="158" spans="1:15" s="414" customFormat="1" ht="60" x14ac:dyDescent="0.25">
      <c r="A158" s="380" t="str">
        <f t="shared" ref="A158:A170" si="2">$B$154</f>
        <v>II.</v>
      </c>
      <c r="B158" s="299">
        <f>COUNT($A$155:B157)+1</f>
        <v>2</v>
      </c>
      <c r="C158" s="377" t="s">
        <v>793</v>
      </c>
      <c r="D158" s="302" t="s">
        <v>65</v>
      </c>
      <c r="E158" s="302">
        <v>32.5</v>
      </c>
      <c r="F158" s="1878"/>
      <c r="G158" s="303">
        <f>ROUND(E158*F158,2)</f>
        <v>0</v>
      </c>
      <c r="H158"/>
      <c r="I158"/>
      <c r="J158"/>
      <c r="K158"/>
      <c r="L158"/>
      <c r="O158" s="462"/>
    </row>
    <row r="159" spans="1:15" s="414" customFormat="1" ht="15" x14ac:dyDescent="0.25">
      <c r="A159" s="380"/>
      <c r="B159" s="299"/>
      <c r="C159" s="377"/>
      <c r="D159" s="302"/>
      <c r="E159" s="302"/>
      <c r="F159" s="1878"/>
      <c r="G159" s="303"/>
      <c r="H159"/>
      <c r="I159"/>
      <c r="J159"/>
      <c r="K159"/>
      <c r="L159"/>
      <c r="O159" s="462"/>
    </row>
    <row r="160" spans="1:15" s="414" customFormat="1" ht="48" x14ac:dyDescent="0.25">
      <c r="A160" s="380" t="str">
        <f t="shared" si="2"/>
        <v>II.</v>
      </c>
      <c r="B160" s="299">
        <f>COUNT($A$155:B159)+1</f>
        <v>3</v>
      </c>
      <c r="C160" s="300" t="s">
        <v>794</v>
      </c>
      <c r="D160" s="302" t="s">
        <v>39</v>
      </c>
      <c r="E160" s="302">
        <v>4</v>
      </c>
      <c r="F160" s="1878"/>
      <c r="G160" s="303">
        <f>ROUND(E160*F160,2)</f>
        <v>0</v>
      </c>
      <c r="H160"/>
      <c r="I160"/>
      <c r="J160"/>
      <c r="K160"/>
      <c r="L160"/>
      <c r="O160" s="462"/>
    </row>
    <row r="161" spans="1:15" s="414" customFormat="1" ht="15" x14ac:dyDescent="0.25">
      <c r="A161" s="380"/>
      <c r="B161" s="299"/>
      <c r="C161" s="300"/>
      <c r="D161" s="302"/>
      <c r="E161" s="302"/>
      <c r="F161" s="1878"/>
      <c r="G161" s="303"/>
      <c r="H161"/>
      <c r="I161"/>
      <c r="J161"/>
      <c r="K161"/>
      <c r="L161"/>
      <c r="O161" s="462"/>
    </row>
    <row r="162" spans="1:15" s="414" customFormat="1" ht="48" x14ac:dyDescent="0.25">
      <c r="A162" s="380" t="str">
        <f t="shared" si="2"/>
        <v>II.</v>
      </c>
      <c r="B162" s="299">
        <f>COUNT($A$155:B161)+1</f>
        <v>4</v>
      </c>
      <c r="C162" s="300" t="s">
        <v>795</v>
      </c>
      <c r="D162" s="302" t="s">
        <v>39</v>
      </c>
      <c r="E162" s="302">
        <v>2</v>
      </c>
      <c r="F162" s="1878"/>
      <c r="G162" s="303">
        <f>ROUND(E162*F162,2)</f>
        <v>0</v>
      </c>
      <c r="H162"/>
      <c r="I162"/>
      <c r="J162"/>
      <c r="K162"/>
      <c r="L162"/>
      <c r="O162" s="462"/>
    </row>
    <row r="163" spans="1:15" s="414" customFormat="1" ht="15" x14ac:dyDescent="0.25">
      <c r="A163" s="380"/>
      <c r="B163" s="299"/>
      <c r="C163" s="377"/>
      <c r="D163" s="302"/>
      <c r="E163" s="302"/>
      <c r="F163" s="1878"/>
      <c r="G163" s="303"/>
      <c r="H163"/>
      <c r="I163"/>
      <c r="J163"/>
      <c r="K163"/>
      <c r="L163"/>
      <c r="O163" s="462"/>
    </row>
    <row r="164" spans="1:15" s="414" customFormat="1" ht="120" x14ac:dyDescent="0.25">
      <c r="A164" s="380" t="str">
        <f t="shared" si="2"/>
        <v>II.</v>
      </c>
      <c r="B164" s="299">
        <f>COUNT($A$155:B163)+1</f>
        <v>5</v>
      </c>
      <c r="C164" s="418" t="s">
        <v>712</v>
      </c>
      <c r="D164" s="302" t="s">
        <v>65</v>
      </c>
      <c r="E164" s="302">
        <v>50</v>
      </c>
      <c r="F164" s="1878"/>
      <c r="G164" s="303">
        <f>ROUND(E164*F164,2)</f>
        <v>0</v>
      </c>
      <c r="H164"/>
      <c r="I164"/>
      <c r="J164"/>
      <c r="K164"/>
      <c r="L164"/>
      <c r="O164" s="462"/>
    </row>
    <row r="165" spans="1:15" s="414" customFormat="1" ht="15" x14ac:dyDescent="0.25">
      <c r="A165" s="380"/>
      <c r="B165" s="299"/>
      <c r="C165" s="300"/>
      <c r="D165" s="302"/>
      <c r="E165" s="302"/>
      <c r="F165" s="1878"/>
      <c r="G165" s="303"/>
      <c r="H165"/>
      <c r="I165"/>
      <c r="J165"/>
      <c r="K165"/>
      <c r="L165"/>
      <c r="O165" s="462"/>
    </row>
    <row r="166" spans="1:15" s="414" customFormat="1" ht="132" x14ac:dyDescent="0.25">
      <c r="A166" s="380" t="str">
        <f t="shared" si="2"/>
        <v>II.</v>
      </c>
      <c r="B166" s="299">
        <f>COUNT($A$155:B165)+1</f>
        <v>6</v>
      </c>
      <c r="C166" s="418" t="s">
        <v>714</v>
      </c>
      <c r="D166" s="302" t="s">
        <v>65</v>
      </c>
      <c r="E166" s="302">
        <v>202</v>
      </c>
      <c r="F166" s="1878"/>
      <c r="G166" s="303">
        <f>ROUND(E166*F166,2)</f>
        <v>0</v>
      </c>
      <c r="H166"/>
      <c r="I166"/>
      <c r="J166"/>
      <c r="K166"/>
      <c r="L166"/>
      <c r="O166" s="462"/>
    </row>
    <row r="167" spans="1:15" s="414" customFormat="1" ht="15" x14ac:dyDescent="0.25">
      <c r="A167" s="380"/>
      <c r="B167" s="299"/>
      <c r="F167" s="1878"/>
      <c r="G167" s="303"/>
      <c r="H167"/>
      <c r="I167"/>
      <c r="J167"/>
      <c r="K167"/>
      <c r="L167"/>
      <c r="O167" s="462"/>
    </row>
    <row r="168" spans="1:15" s="414" customFormat="1" ht="48" x14ac:dyDescent="0.25">
      <c r="A168" s="380" t="str">
        <f t="shared" si="2"/>
        <v>II.</v>
      </c>
      <c r="B168" s="299">
        <f>COUNT($A$155:B167)+1</f>
        <v>7</v>
      </c>
      <c r="C168" s="420" t="s">
        <v>715</v>
      </c>
      <c r="D168" s="302" t="s">
        <v>39</v>
      </c>
      <c r="E168" s="302">
        <v>2</v>
      </c>
      <c r="F168" s="1878"/>
      <c r="G168" s="303">
        <f>ROUND(E168*F168,2)</f>
        <v>0</v>
      </c>
      <c r="H168"/>
      <c r="I168"/>
      <c r="J168"/>
      <c r="K168"/>
      <c r="L168"/>
      <c r="O168" s="462"/>
    </row>
    <row r="169" spans="1:15" s="414" customFormat="1" ht="15" x14ac:dyDescent="0.25">
      <c r="A169" s="380"/>
      <c r="B169" s="299">
        <v>1</v>
      </c>
      <c r="C169" s="418"/>
      <c r="D169" s="302"/>
      <c r="E169" s="302"/>
      <c r="F169" s="1878"/>
      <c r="G169" s="303"/>
      <c r="H169"/>
      <c r="I169"/>
      <c r="J169"/>
      <c r="K169"/>
      <c r="L169"/>
      <c r="O169" s="462"/>
    </row>
    <row r="170" spans="1:15" s="414" customFormat="1" ht="72" x14ac:dyDescent="0.25">
      <c r="A170" s="380" t="str">
        <f t="shared" si="2"/>
        <v>II.</v>
      </c>
      <c r="B170" s="299">
        <f>COUNT($A$155:B169)+1</f>
        <v>9</v>
      </c>
      <c r="C170" s="418" t="s">
        <v>716</v>
      </c>
      <c r="D170" s="302" t="s">
        <v>39</v>
      </c>
      <c r="E170" s="302">
        <v>2</v>
      </c>
      <c r="F170" s="1878"/>
      <c r="G170" s="303">
        <f>ROUND(E170*F170,2)</f>
        <v>0</v>
      </c>
      <c r="H170"/>
      <c r="I170"/>
      <c r="J170"/>
      <c r="K170"/>
      <c r="L170"/>
      <c r="O170" s="462"/>
    </row>
    <row r="171" spans="1:15" s="414" customFormat="1" ht="15" x14ac:dyDescent="0.25">
      <c r="A171" s="298"/>
      <c r="B171" s="299"/>
      <c r="C171" s="421"/>
      <c r="F171" s="1892"/>
      <c r="G171" s="1354"/>
      <c r="H171"/>
      <c r="I171"/>
      <c r="J171"/>
      <c r="K171"/>
      <c r="L171"/>
      <c r="M171" s="460"/>
      <c r="N171" s="461"/>
      <c r="O171" s="462"/>
    </row>
    <row r="172" spans="1:15" s="414" customFormat="1" ht="15.75" thickBot="1" x14ac:dyDescent="0.3">
      <c r="A172" s="391"/>
      <c r="B172" s="392"/>
      <c r="C172" s="393"/>
      <c r="D172" s="394"/>
      <c r="E172" s="313" t="str">
        <f>CONCATENATE(B154," ",C154," - SKUPAJ:")</f>
        <v>II. Ključavničarska dela - SKUPAJ:</v>
      </c>
      <c r="F172" s="1886"/>
      <c r="G172" s="314">
        <f>ROUND(SUM(G156:G170),2)</f>
        <v>0</v>
      </c>
      <c r="H172"/>
      <c r="I172"/>
      <c r="J172"/>
      <c r="K172"/>
      <c r="L172"/>
      <c r="M172" s="460"/>
      <c r="N172" s="461"/>
      <c r="O172" s="462"/>
    </row>
    <row r="173" spans="1:15" s="383" customFormat="1" x14ac:dyDescent="0.2">
      <c r="A173" s="274"/>
      <c r="B173" s="385"/>
      <c r="C173" s="422"/>
      <c r="D173" s="422"/>
      <c r="E173" s="422"/>
      <c r="F173" s="1893"/>
      <c r="G173" s="422"/>
      <c r="H173" s="454"/>
      <c r="I173" s="455"/>
      <c r="J173" s="456"/>
      <c r="K173" s="456"/>
      <c r="L173" s="412"/>
    </row>
    <row r="174" spans="1:15" s="383" customFormat="1" ht="12.75" customHeight="1" x14ac:dyDescent="0.2">
      <c r="A174" s="274"/>
      <c r="B174" s="274"/>
      <c r="C174" s="283"/>
      <c r="D174" s="282"/>
      <c r="E174" s="282"/>
      <c r="F174" s="1882"/>
      <c r="G174" s="282"/>
      <c r="H174" s="454"/>
      <c r="I174" s="455"/>
      <c r="J174" s="456"/>
      <c r="K174" s="456"/>
      <c r="L174" s="441"/>
    </row>
    <row r="175" spans="1:15" s="444" customFormat="1" x14ac:dyDescent="0.2">
      <c r="A175" s="284" t="s">
        <v>26</v>
      </c>
      <c r="B175" s="284"/>
      <c r="C175" s="285" t="s">
        <v>27</v>
      </c>
      <c r="D175" s="387" t="s">
        <v>28</v>
      </c>
      <c r="E175" s="287" t="s">
        <v>29</v>
      </c>
      <c r="F175" s="1883" t="s">
        <v>30</v>
      </c>
      <c r="G175" s="287" t="s">
        <v>31</v>
      </c>
      <c r="H175" s="457"/>
      <c r="I175" s="458"/>
      <c r="J175" s="459"/>
      <c r="K175" s="459"/>
      <c r="L175" s="383"/>
      <c r="N175" s="446"/>
      <c r="O175" s="446"/>
    </row>
    <row r="176" spans="1:15" s="383" customFormat="1" x14ac:dyDescent="0.2">
      <c r="A176" s="279"/>
      <c r="B176" s="279"/>
      <c r="C176" s="289"/>
      <c r="D176" s="384"/>
      <c r="E176" s="277"/>
      <c r="F176" s="1881"/>
      <c r="G176" s="277"/>
      <c r="H176" s="454"/>
      <c r="I176" s="455"/>
      <c r="J176" s="456"/>
      <c r="K176" s="456"/>
    </row>
    <row r="177" spans="1:15" s="447" customFormat="1" ht="16.5" customHeight="1" thickBot="1" x14ac:dyDescent="0.3">
      <c r="A177" s="291"/>
      <c r="B177" s="292" t="s">
        <v>84</v>
      </c>
      <c r="C177" s="376" t="s">
        <v>633</v>
      </c>
      <c r="D177" s="388"/>
      <c r="E177" s="294"/>
      <c r="F177" s="1884"/>
      <c r="G177" s="294"/>
      <c r="H177"/>
      <c r="I177"/>
      <c r="J177"/>
      <c r="K177"/>
    </row>
    <row r="178" spans="1:15" s="383" customFormat="1" ht="15" x14ac:dyDescent="0.25">
      <c r="A178" s="296"/>
      <c r="B178" s="297"/>
      <c r="C178" s="423"/>
      <c r="D178" s="384"/>
      <c r="E178" s="277"/>
      <c r="F178" s="1881"/>
      <c r="G178" s="277"/>
      <c r="H178"/>
      <c r="I178"/>
      <c r="J178"/>
      <c r="K178"/>
    </row>
    <row r="179" spans="1:15" s="414" customFormat="1" ht="15" x14ac:dyDescent="0.25">
      <c r="A179" s="380" t="str">
        <f>$B$177</f>
        <v>III.</v>
      </c>
      <c r="B179" s="299">
        <f>1</f>
        <v>1</v>
      </c>
      <c r="C179" s="420" t="s">
        <v>733</v>
      </c>
      <c r="F179" s="1892"/>
      <c r="H179"/>
      <c r="I179"/>
      <c r="J179"/>
      <c r="K179"/>
      <c r="M179" s="460"/>
      <c r="N179" s="461"/>
      <c r="O179" s="463"/>
    </row>
    <row r="180" spans="1:15" s="414" customFormat="1" ht="60" x14ac:dyDescent="0.25">
      <c r="A180" s="298"/>
      <c r="B180" s="299"/>
      <c r="C180" s="424" t="s">
        <v>796</v>
      </c>
      <c r="F180" s="1892"/>
      <c r="H180"/>
      <c r="I180"/>
      <c r="J180"/>
      <c r="K180"/>
      <c r="M180" s="460"/>
      <c r="N180" s="461"/>
      <c r="O180" s="463"/>
    </row>
    <row r="181" spans="1:15" s="414" customFormat="1" ht="24" x14ac:dyDescent="0.25">
      <c r="A181" s="298"/>
      <c r="B181" s="299"/>
      <c r="C181" s="424" t="s">
        <v>735</v>
      </c>
      <c r="D181" s="302" t="s">
        <v>39</v>
      </c>
      <c r="E181" s="302">
        <v>1</v>
      </c>
      <c r="F181" s="1878"/>
      <c r="G181" s="303">
        <f>ROUND(E181*F181,2)</f>
        <v>0</v>
      </c>
      <c r="H181"/>
      <c r="I181"/>
      <c r="J181"/>
      <c r="K181"/>
      <c r="M181" s="460"/>
      <c r="N181" s="461"/>
      <c r="O181" s="463"/>
    </row>
    <row r="182" spans="1:15" s="414" customFormat="1" ht="15" x14ac:dyDescent="0.25">
      <c r="A182" s="298"/>
      <c r="B182" s="299"/>
      <c r="F182" s="1892"/>
      <c r="G182" s="303"/>
      <c r="H182"/>
      <c r="I182"/>
      <c r="J182"/>
      <c r="K182"/>
      <c r="M182" s="460"/>
      <c r="N182" s="461"/>
      <c r="O182" s="463"/>
    </row>
    <row r="183" spans="1:15" s="414" customFormat="1" ht="15" x14ac:dyDescent="0.25">
      <c r="A183" s="298" t="s">
        <v>84</v>
      </c>
      <c r="B183" s="299">
        <f>COUNT($A$178:B181)+1</f>
        <v>2</v>
      </c>
      <c r="C183" s="420" t="s">
        <v>736</v>
      </c>
      <c r="F183" s="1892"/>
      <c r="G183" s="303"/>
      <c r="H183"/>
      <c r="I183"/>
      <c r="J183"/>
      <c r="K183"/>
      <c r="M183" s="460"/>
      <c r="N183" s="461"/>
      <c r="O183" s="463"/>
    </row>
    <row r="184" spans="1:15" s="414" customFormat="1" ht="84" x14ac:dyDescent="0.25">
      <c r="A184" s="298"/>
      <c r="B184" s="299"/>
      <c r="C184" s="424" t="s">
        <v>737</v>
      </c>
      <c r="D184" s="302" t="s">
        <v>39</v>
      </c>
      <c r="E184" s="302">
        <v>1</v>
      </c>
      <c r="F184" s="1878"/>
      <c r="G184" s="303">
        <f>ROUND(E184*F184,2)</f>
        <v>0</v>
      </c>
      <c r="H184"/>
      <c r="I184"/>
      <c r="J184"/>
      <c r="K184"/>
      <c r="M184" s="460"/>
      <c r="N184" s="461"/>
      <c r="O184" s="463"/>
    </row>
    <row r="185" spans="1:15" s="466" customFormat="1" ht="15" x14ac:dyDescent="0.25">
      <c r="A185" s="305"/>
      <c r="B185" s="306"/>
      <c r="C185" s="424"/>
      <c r="D185" s="302"/>
      <c r="E185" s="302"/>
      <c r="F185" s="1878"/>
      <c r="G185" s="303"/>
      <c r="H185"/>
      <c r="I185"/>
      <c r="J185"/>
      <c r="K185"/>
      <c r="L185" s="464"/>
      <c r="M185" s="465"/>
      <c r="N185" s="461"/>
      <c r="O185" s="463"/>
    </row>
    <row r="186" spans="1:15" s="408" customFormat="1" ht="15.75" thickBot="1" x14ac:dyDescent="0.3">
      <c r="A186" s="309"/>
      <c r="B186" s="310"/>
      <c r="C186" s="425"/>
      <c r="D186" s="394"/>
      <c r="E186" s="313" t="str">
        <f>CONCATENATE(B177," ",C177," - SKUPAJ:")</f>
        <v>III. Stavbno pohištvo - SKUPAJ:</v>
      </c>
      <c r="F186" s="1886"/>
      <c r="G186" s="314">
        <f>ROUND(SUM(G181:G184),2)</f>
        <v>0</v>
      </c>
      <c r="H186"/>
      <c r="I186"/>
      <c r="J186"/>
      <c r="K186"/>
    </row>
    <row r="187" spans="1:15" s="383" customFormat="1" x14ac:dyDescent="0.2">
      <c r="A187" s="274"/>
      <c r="B187" s="274"/>
      <c r="D187" s="384"/>
      <c r="E187" s="277"/>
      <c r="F187" s="1881"/>
      <c r="G187" s="384"/>
      <c r="H187" s="454"/>
      <c r="I187" s="455"/>
      <c r="J187" s="456"/>
      <c r="K187" s="456"/>
      <c r="L187" s="1391"/>
    </row>
    <row r="188" spans="1:15" s="383" customFormat="1" x14ac:dyDescent="0.2">
      <c r="A188" s="274"/>
      <c r="B188" s="274"/>
      <c r="C188" s="275"/>
      <c r="D188" s="282"/>
      <c r="E188" s="282"/>
      <c r="F188" s="1882"/>
      <c r="G188" s="282"/>
      <c r="H188" s="454"/>
      <c r="I188" s="455"/>
      <c r="J188" s="456"/>
      <c r="K188" s="456"/>
      <c r="L188" s="441"/>
    </row>
    <row r="189" spans="1:15" s="444" customFormat="1" x14ac:dyDescent="0.2">
      <c r="A189" s="284" t="s">
        <v>26</v>
      </c>
      <c r="B189" s="284"/>
      <c r="C189" s="285" t="s">
        <v>27</v>
      </c>
      <c r="D189" s="387" t="s">
        <v>28</v>
      </c>
      <c r="E189" s="287" t="s">
        <v>29</v>
      </c>
      <c r="F189" s="1883" t="s">
        <v>30</v>
      </c>
      <c r="G189" s="287" t="s">
        <v>31</v>
      </c>
      <c r="H189" s="457"/>
      <c r="I189" s="458"/>
      <c r="J189" s="459"/>
      <c r="K189" s="459"/>
      <c r="L189" s="383"/>
      <c r="N189" s="446"/>
      <c r="O189" s="446"/>
    </row>
    <row r="190" spans="1:15" s="383" customFormat="1" x14ac:dyDescent="0.2">
      <c r="A190" s="279"/>
      <c r="B190" s="279"/>
      <c r="C190" s="289"/>
      <c r="D190" s="384"/>
      <c r="E190" s="277"/>
      <c r="F190" s="1881"/>
      <c r="G190" s="277"/>
      <c r="H190" s="454"/>
      <c r="I190" s="455"/>
      <c r="J190" s="456"/>
      <c r="K190" s="456"/>
    </row>
    <row r="191" spans="1:15" s="447" customFormat="1" ht="16.5" thickBot="1" x14ac:dyDescent="0.3">
      <c r="A191" s="291"/>
      <c r="B191" s="292" t="s">
        <v>86</v>
      </c>
      <c r="C191" s="376" t="s">
        <v>634</v>
      </c>
      <c r="D191" s="388"/>
      <c r="E191" s="294"/>
      <c r="F191" s="1884"/>
      <c r="G191" s="294"/>
      <c r="H191"/>
      <c r="I191"/>
      <c r="J191"/>
      <c r="K191"/>
      <c r="L191"/>
    </row>
    <row r="192" spans="1:15" s="383" customFormat="1" ht="15" x14ac:dyDescent="0.25">
      <c r="A192" s="296"/>
      <c r="B192" s="297"/>
      <c r="C192" s="289"/>
      <c r="D192" s="384"/>
      <c r="E192" s="277"/>
      <c r="F192" s="1881"/>
      <c r="G192" s="277"/>
      <c r="H192"/>
      <c r="I192"/>
      <c r="J192"/>
      <c r="K192"/>
      <c r="L192"/>
    </row>
    <row r="193" spans="1:15" s="414" customFormat="1" ht="24" x14ac:dyDescent="0.25">
      <c r="A193" s="380" t="str">
        <f>$B$191</f>
        <v>IV.</v>
      </c>
      <c r="B193" s="299">
        <v>1</v>
      </c>
      <c r="C193" s="426" t="s">
        <v>750</v>
      </c>
      <c r="D193" s="302" t="s">
        <v>71</v>
      </c>
      <c r="E193" s="302">
        <v>31.5</v>
      </c>
      <c r="F193" s="1878"/>
      <c r="G193" s="303">
        <f>ROUND(E193*F193,2)</f>
        <v>0</v>
      </c>
      <c r="H193"/>
      <c r="I193"/>
      <c r="J193"/>
      <c r="K193"/>
      <c r="L193"/>
      <c r="O193" s="462"/>
    </row>
    <row r="194" spans="1:15" s="414" customFormat="1" ht="15" x14ac:dyDescent="0.25">
      <c r="A194" s="380"/>
      <c r="B194" s="299"/>
      <c r="C194" s="403"/>
      <c r="D194" s="302"/>
      <c r="E194" s="302"/>
      <c r="F194" s="1878"/>
      <c r="G194" s="303"/>
      <c r="H194"/>
      <c r="I194"/>
      <c r="J194"/>
      <c r="K194"/>
      <c r="L194"/>
      <c r="M194" s="460"/>
      <c r="N194" s="461"/>
      <c r="O194" s="462"/>
    </row>
    <row r="195" spans="1:15" s="414" customFormat="1" ht="36" x14ac:dyDescent="0.25">
      <c r="A195" s="380" t="str">
        <f t="shared" ref="A195:A197" si="3">$B$191</f>
        <v>IV.</v>
      </c>
      <c r="B195" s="299">
        <f>COUNT($A$192:B194)+1</f>
        <v>2</v>
      </c>
      <c r="C195" s="426" t="s">
        <v>751</v>
      </c>
      <c r="D195" s="302" t="s">
        <v>71</v>
      </c>
      <c r="E195" s="302">
        <v>31.5</v>
      </c>
      <c r="F195" s="1878"/>
      <c r="G195" s="303">
        <f>ROUND(E195*F195,2)</f>
        <v>0</v>
      </c>
      <c r="H195"/>
      <c r="I195"/>
      <c r="J195"/>
      <c r="K195"/>
      <c r="L195"/>
      <c r="M195" s="460"/>
      <c r="N195" s="461"/>
      <c r="O195" s="462"/>
    </row>
    <row r="196" spans="1:15" s="414" customFormat="1" ht="15" x14ac:dyDescent="0.25">
      <c r="A196" s="380"/>
      <c r="B196" s="299"/>
      <c r="C196" s="426"/>
      <c r="D196" s="302"/>
      <c r="E196" s="302"/>
      <c r="F196" s="1878"/>
      <c r="G196" s="303"/>
      <c r="H196"/>
      <c r="I196"/>
      <c r="J196"/>
      <c r="K196"/>
      <c r="L196"/>
      <c r="M196" s="460"/>
      <c r="N196" s="461"/>
      <c r="O196" s="462"/>
    </row>
    <row r="197" spans="1:15" s="414" customFormat="1" ht="84" x14ac:dyDescent="0.25">
      <c r="A197" s="380" t="str">
        <f t="shared" si="3"/>
        <v>IV.</v>
      </c>
      <c r="B197" s="299">
        <f>COUNT($A$192:B196)+1</f>
        <v>3</v>
      </c>
      <c r="C197" s="426" t="s">
        <v>797</v>
      </c>
      <c r="D197" s="302" t="s">
        <v>71</v>
      </c>
      <c r="E197" s="302">
        <v>34</v>
      </c>
      <c r="F197" s="1878"/>
      <c r="G197" s="303">
        <f>ROUND(E197*F197,2)</f>
        <v>0</v>
      </c>
      <c r="H197"/>
      <c r="I197"/>
      <c r="J197"/>
      <c r="K197"/>
      <c r="L197"/>
      <c r="M197" s="460"/>
      <c r="N197" s="461"/>
      <c r="O197" s="462"/>
    </row>
    <row r="198" spans="1:15" s="414" customFormat="1" ht="15" x14ac:dyDescent="0.25">
      <c r="A198" s="298"/>
      <c r="B198" s="299"/>
      <c r="D198" s="390"/>
      <c r="E198" s="390"/>
      <c r="F198" s="1885"/>
      <c r="G198" s="303"/>
      <c r="H198"/>
      <c r="I198"/>
      <c r="J198"/>
      <c r="K198"/>
      <c r="L198"/>
      <c r="M198" s="460"/>
      <c r="N198" s="461"/>
      <c r="O198" s="462"/>
    </row>
    <row r="199" spans="1:15" s="414" customFormat="1" ht="15.75" thickBot="1" x14ac:dyDescent="0.3">
      <c r="A199" s="391"/>
      <c r="B199" s="392"/>
      <c r="C199" s="393"/>
      <c r="D199" s="394"/>
      <c r="E199" s="313" t="str">
        <f>CONCATENATE(B191," ",C191," - SKUPAJ:")</f>
        <v>IV. Slikopleskarska dela - SKUPAJ:</v>
      </c>
      <c r="F199" s="1886"/>
      <c r="G199" s="314">
        <f>ROUND(SUM(G193:G197),2)</f>
        <v>0</v>
      </c>
      <c r="H199"/>
      <c r="I199"/>
      <c r="J199"/>
      <c r="K199"/>
      <c r="L199"/>
      <c r="M199" s="460"/>
      <c r="N199" s="461"/>
      <c r="O199" s="462"/>
    </row>
    <row r="200" spans="1:15" ht="15" x14ac:dyDescent="0.25">
      <c r="H200"/>
      <c r="I200"/>
      <c r="J200"/>
      <c r="K200"/>
      <c r="L200"/>
    </row>
    <row r="201" spans="1:15" ht="15" x14ac:dyDescent="0.25">
      <c r="H201"/>
      <c r="I201"/>
      <c r="J201"/>
      <c r="K201"/>
      <c r="L201"/>
    </row>
    <row r="202" spans="1:15" ht="15" x14ac:dyDescent="0.25">
      <c r="H202"/>
      <c r="I202"/>
      <c r="J202"/>
      <c r="K202"/>
      <c r="L202"/>
    </row>
  </sheetData>
  <sheetProtection algorithmName="SHA-512" hashValue="ctpV9BsJCayWoVpnbuQY+34BN109RDxlzZ6IL/elp97r8lIefKg+YwuYLQr53oVbjPaqR3y6AvOi4eSX8A5cFw==" saltValue="riYl77b/Y/8WJBO2wdlCvQ==" spinCount="100000" sheet="1" objects="1" scenarios="1"/>
  <mergeCells count="3">
    <mergeCell ref="L94:L95"/>
    <mergeCell ref="L55:L56"/>
    <mergeCell ref="L6:L8"/>
  </mergeCells>
  <pageMargins left="0.98425196850393704" right="0.39370078740157483" top="0.98425196850393704" bottom="0.74803149606299213" header="0" footer="0.39370078740157483"/>
  <pageSetup paperSize="9" scale="97" firstPageNumber="0" orientation="portrait" horizontalDpi="300" verticalDpi="300" r:id="rId1"/>
  <headerFooter alignWithMargins="0">
    <oddHeader xml:space="preserve">&amp;L
</oddHeader>
    <oddFooter>&amp;C&amp;6 &amp; List: &amp;A&amp;L&amp;9&amp;R&amp;R &amp; &amp;9 &amp; List: &amp;A_x000D_&amp;R &amp; &amp;9 &amp; Stran: &amp;P</oddFooter>
  </headerFooter>
  <rowBreaks count="3" manualBreakCount="3">
    <brk id="56" max="6" man="1"/>
    <brk id="136" max="6" man="1"/>
    <brk id="174" max="6" man="1"/>
  </rowBreaks>
  <ignoredErrors>
    <ignoredError sqref="A1" twoDigitTextYea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L35"/>
  <sheetViews>
    <sheetView view="pageBreakPreview" zoomScale="145" zoomScaleNormal="55" zoomScaleSheetLayoutView="145" workbookViewId="0"/>
  </sheetViews>
  <sheetFormatPr defaultColWidth="9.140625" defaultRowHeight="15" x14ac:dyDescent="0.25"/>
  <cols>
    <col min="1" max="1" width="4.42578125" style="471" customWidth="1"/>
    <col min="2" max="2" width="5.5703125" style="471" customWidth="1"/>
    <col min="3" max="3" width="39.28515625" style="471" customWidth="1"/>
    <col min="4" max="4" width="5.5703125" style="471" customWidth="1"/>
    <col min="5" max="5" width="10.5703125" style="471" bestFit="1" customWidth="1"/>
    <col min="6" max="6" width="10.42578125" style="471" bestFit="1" customWidth="1"/>
    <col min="7" max="7" width="14.5703125" style="471" bestFit="1" customWidth="1"/>
    <col min="8" max="8" width="9.140625" style="471"/>
    <col min="9" max="9" width="10.7109375" style="471" bestFit="1" customWidth="1"/>
    <col min="10" max="10" width="9.140625" style="471"/>
    <col min="11" max="12" width="10.7109375" style="471" bestFit="1" customWidth="1"/>
    <col min="13" max="16384" width="9.140625" style="471"/>
  </cols>
  <sheetData>
    <row r="1" spans="1:12" ht="18" x14ac:dyDescent="0.25">
      <c r="A1" s="467" t="s">
        <v>1445</v>
      </c>
      <c r="B1" s="468"/>
      <c r="C1" s="469"/>
      <c r="D1" s="469"/>
      <c r="E1" s="470"/>
      <c r="F1" s="468"/>
      <c r="G1" s="468"/>
    </row>
    <row r="2" spans="1:12" ht="18" x14ac:dyDescent="0.25">
      <c r="A2" s="467"/>
      <c r="B2" s="472"/>
      <c r="C2" s="469"/>
      <c r="D2" s="469"/>
      <c r="E2" s="470"/>
      <c r="F2" s="468"/>
      <c r="G2" s="468"/>
    </row>
    <row r="3" spans="1:12" ht="18" x14ac:dyDescent="0.25">
      <c r="A3" s="473" t="s">
        <v>798</v>
      </c>
      <c r="B3" s="474"/>
      <c r="C3" s="475" t="s">
        <v>799</v>
      </c>
      <c r="D3" s="469"/>
      <c r="E3" s="470"/>
      <c r="F3" s="468"/>
      <c r="G3" s="468"/>
    </row>
    <row r="4" spans="1:12" x14ac:dyDescent="0.25">
      <c r="A4" s="515"/>
      <c r="B4" s="477"/>
      <c r="D4" s="516"/>
      <c r="E4" s="517"/>
      <c r="F4" s="476"/>
      <c r="G4" s="476"/>
    </row>
    <row r="5" spans="1:12" ht="18.75" thickBot="1" x14ac:dyDescent="0.3">
      <c r="A5" s="478" t="s">
        <v>76</v>
      </c>
      <c r="B5" s="479"/>
      <c r="C5" s="480"/>
      <c r="D5" s="481"/>
      <c r="E5" s="482"/>
      <c r="F5" s="483"/>
      <c r="G5" s="483"/>
    </row>
    <row r="6" spans="1:12" x14ac:dyDescent="0.25">
      <c r="A6" s="484"/>
      <c r="B6" s="485"/>
      <c r="C6" s="486"/>
      <c r="D6" s="487"/>
      <c r="E6" s="488"/>
      <c r="F6" s="485"/>
      <c r="G6" s="485"/>
    </row>
    <row r="7" spans="1:12" x14ac:dyDescent="0.25">
      <c r="A7" s="484"/>
      <c r="C7" s="518" t="s">
        <v>800</v>
      </c>
      <c r="D7" s="487"/>
      <c r="E7" s="488"/>
      <c r="F7" s="485"/>
      <c r="G7" s="485"/>
    </row>
    <row r="8" spans="1:12" x14ac:dyDescent="0.25">
      <c r="A8" s="496"/>
      <c r="B8" s="497"/>
      <c r="C8" s="498"/>
      <c r="D8" s="499"/>
      <c r="E8" s="500"/>
      <c r="F8" s="497"/>
      <c r="G8" s="501"/>
      <c r="I8" s="495"/>
      <c r="J8" s="495"/>
    </row>
    <row r="9" spans="1:12" x14ac:dyDescent="0.25">
      <c r="A9" s="489"/>
      <c r="B9" s="489" t="s">
        <v>958</v>
      </c>
      <c r="C9" s="491" t="s">
        <v>801</v>
      </c>
      <c r="D9" s="492"/>
      <c r="E9" s="493"/>
      <c r="F9" s="492"/>
      <c r="G9" s="1355">
        <f>ROUND(SUM(G10:G13),2)</f>
        <v>0</v>
      </c>
      <c r="I9" s="494"/>
      <c r="J9" s="495"/>
      <c r="L9" s="502"/>
    </row>
    <row r="10" spans="1:12" ht="16.5" customHeight="1" x14ac:dyDescent="0.25">
      <c r="A10" s="489"/>
      <c r="B10" s="489" t="s">
        <v>20</v>
      </c>
      <c r="C10" s="519" t="s">
        <v>802</v>
      </c>
      <c r="D10" s="520"/>
      <c r="E10" s="521"/>
      <c r="F10" s="520"/>
      <c r="G10" s="1356">
        <f>+'3.7.1'!G12</f>
        <v>0</v>
      </c>
      <c r="I10" s="495"/>
      <c r="J10" s="495"/>
    </row>
    <row r="11" spans="1:12" ht="16.5" customHeight="1" x14ac:dyDescent="0.25">
      <c r="A11" s="489"/>
      <c r="B11" s="489" t="s">
        <v>77</v>
      </c>
      <c r="C11" s="519" t="s">
        <v>803</v>
      </c>
      <c r="D11" s="520"/>
      <c r="E11" s="521"/>
      <c r="F11" s="520"/>
      <c r="G11" s="1356">
        <f>+'3.7.1'!G118</f>
        <v>0</v>
      </c>
      <c r="I11" s="495"/>
      <c r="J11" s="495"/>
    </row>
    <row r="12" spans="1:12" ht="16.5" customHeight="1" x14ac:dyDescent="0.25">
      <c r="A12" s="489"/>
      <c r="B12" s="489" t="s">
        <v>84</v>
      </c>
      <c r="C12" s="519" t="s">
        <v>804</v>
      </c>
      <c r="D12" s="520"/>
      <c r="E12" s="521"/>
      <c r="F12" s="520"/>
      <c r="G12" s="1356">
        <f>+'3.7.1'!G199</f>
        <v>0</v>
      </c>
      <c r="I12" s="495"/>
      <c r="J12" s="495"/>
    </row>
    <row r="13" spans="1:12" ht="16.5" customHeight="1" x14ac:dyDescent="0.25">
      <c r="A13" s="489"/>
      <c r="B13" s="489" t="s">
        <v>86</v>
      </c>
      <c r="C13" s="519" t="s">
        <v>805</v>
      </c>
      <c r="D13" s="520"/>
      <c r="E13" s="521"/>
      <c r="F13" s="520"/>
      <c r="G13" s="1356">
        <f>+'3.7.1'!G384</f>
        <v>0</v>
      </c>
      <c r="I13" s="495"/>
      <c r="J13" s="495"/>
    </row>
    <row r="14" spans="1:12" x14ac:dyDescent="0.25">
      <c r="A14" s="489"/>
      <c r="B14" s="490"/>
      <c r="C14" s="491"/>
      <c r="D14" s="492"/>
      <c r="E14" s="493"/>
      <c r="F14" s="492"/>
      <c r="G14" s="1355"/>
      <c r="I14" s="495"/>
      <c r="J14" s="495"/>
    </row>
    <row r="15" spans="1:12" ht="25.5" x14ac:dyDescent="0.25">
      <c r="A15" s="489"/>
      <c r="B15" s="489" t="s">
        <v>959</v>
      </c>
      <c r="C15" s="491" t="s">
        <v>806</v>
      </c>
      <c r="D15" s="492"/>
      <c r="E15" s="493"/>
      <c r="F15" s="492"/>
      <c r="G15" s="1355">
        <f>'3.7.2'!G12</f>
        <v>0</v>
      </c>
      <c r="I15" s="494"/>
      <c r="J15" s="495"/>
    </row>
    <row r="16" spans="1:12" x14ac:dyDescent="0.25">
      <c r="A16" s="489"/>
      <c r="B16" s="490"/>
      <c r="C16" s="491"/>
      <c r="D16" s="492"/>
      <c r="E16" s="493"/>
      <c r="F16" s="492"/>
      <c r="G16" s="1355"/>
      <c r="I16" s="495"/>
      <c r="J16" s="495"/>
    </row>
    <row r="17" spans="1:12" ht="38.25" x14ac:dyDescent="0.25">
      <c r="A17" s="489"/>
      <c r="B17" s="489" t="s">
        <v>960</v>
      </c>
      <c r="C17" s="491" t="s">
        <v>807</v>
      </c>
      <c r="D17" s="492"/>
      <c r="E17" s="493"/>
      <c r="F17" s="492"/>
      <c r="G17" s="1355">
        <f>'3.7.3'!G11</f>
        <v>0</v>
      </c>
      <c r="I17" s="494"/>
      <c r="J17" s="495"/>
    </row>
    <row r="18" spans="1:12" x14ac:dyDescent="0.25">
      <c r="A18" s="503"/>
      <c r="B18" s="504"/>
      <c r="C18" s="505"/>
      <c r="D18" s="506"/>
      <c r="E18" s="507"/>
      <c r="F18" s="508"/>
      <c r="G18" s="1357"/>
    </row>
    <row r="19" spans="1:12" ht="15.75" customHeight="1" thickBot="1" x14ac:dyDescent="0.3">
      <c r="A19" s="509"/>
      <c r="B19" s="510"/>
      <c r="C19" s="511" t="s">
        <v>808</v>
      </c>
      <c r="D19" s="512"/>
      <c r="E19" s="513"/>
      <c r="F19" s="514"/>
      <c r="G19" s="1358">
        <f>ROUND(SUM(G9,G15,G17),2)</f>
        <v>0</v>
      </c>
      <c r="K19" s="502"/>
      <c r="L19" s="495"/>
    </row>
    <row r="20" spans="1:12" ht="15.75" thickTop="1" x14ac:dyDescent="0.25">
      <c r="A20" s="515"/>
      <c r="B20" s="477"/>
      <c r="D20" s="516"/>
      <c r="E20" s="517"/>
      <c r="F20" s="476"/>
      <c r="G20" s="476"/>
    </row>
    <row r="21" spans="1:12" x14ac:dyDescent="0.25">
      <c r="A21" s="515"/>
      <c r="B21" s="477"/>
      <c r="D21" s="516"/>
      <c r="E21" s="517"/>
      <c r="F21" s="476"/>
      <c r="G21" s="476"/>
    </row>
    <row r="22" spans="1:12" x14ac:dyDescent="0.25">
      <c r="A22" s="515"/>
      <c r="B22" s="477"/>
      <c r="D22" s="516"/>
      <c r="E22" s="517"/>
      <c r="F22" s="476"/>
      <c r="G22" s="476"/>
    </row>
    <row r="23" spans="1:12" x14ac:dyDescent="0.25">
      <c r="A23" s="515"/>
      <c r="B23" s="477"/>
      <c r="D23" s="516"/>
      <c r="E23" s="517"/>
      <c r="F23" s="476"/>
      <c r="G23" s="476"/>
    </row>
    <row r="24" spans="1:12" x14ac:dyDescent="0.25">
      <c r="A24" s="515"/>
      <c r="B24" s="477"/>
      <c r="D24" s="516"/>
      <c r="E24" s="517"/>
      <c r="F24" s="476"/>
      <c r="G24" s="476"/>
    </row>
    <row r="25" spans="1:12" x14ac:dyDescent="0.25">
      <c r="A25" s="515"/>
      <c r="B25" s="477"/>
      <c r="D25" s="516"/>
      <c r="E25" s="517"/>
      <c r="F25" s="476"/>
      <c r="G25" s="476"/>
    </row>
    <row r="27" spans="1:12" ht="30" customHeight="1" x14ac:dyDescent="0.25"/>
    <row r="29" spans="1:12" ht="41.25" customHeight="1" x14ac:dyDescent="0.25"/>
    <row r="31" spans="1:12" ht="41.25" customHeight="1" x14ac:dyDescent="0.25"/>
    <row r="35" spans="2:7" x14ac:dyDescent="0.25">
      <c r="B35" s="497"/>
      <c r="C35" s="498"/>
      <c r="D35" s="499"/>
      <c r="E35" s="500"/>
      <c r="F35" s="497"/>
      <c r="G35" s="522"/>
    </row>
  </sheetData>
  <sheetProtection algorithmName="SHA-512" hashValue="6MXWvTlZnFgSnYPo6XAaHhdMREr0r7UrjIAMHbBnd5Jexh1uyFtl7kYcJb8orGuvRAy3okH5Qnsir5l/VeXGzw==" saltValue="C92XMEmQvaGj7TNGsYE1Sg==" spinCount="100000" sheet="1" objects="1" scenarios="1"/>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L639"/>
  <sheetViews>
    <sheetView view="pageBreakPreview" zoomScale="110" zoomScaleNormal="55" zoomScaleSheetLayoutView="110" workbookViewId="0"/>
  </sheetViews>
  <sheetFormatPr defaultColWidth="9.140625" defaultRowHeight="15" x14ac:dyDescent="0.25"/>
  <cols>
    <col min="1" max="1" width="4.85546875" style="1514" customWidth="1"/>
    <col min="2" max="2" width="4.5703125" style="1514" bestFit="1" customWidth="1"/>
    <col min="3" max="3" width="39.28515625" style="1514" customWidth="1"/>
    <col min="4" max="4" width="5.5703125" style="1514" customWidth="1"/>
    <col min="5" max="5" width="10.5703125" style="1514" bestFit="1" customWidth="1"/>
    <col min="6" max="6" width="10.42578125" style="1928" bestFit="1" customWidth="1"/>
    <col min="7" max="7" width="14.5703125" style="1514" bestFit="1" customWidth="1"/>
    <col min="8" max="9" width="10.7109375" style="1514" bestFit="1" customWidth="1"/>
    <col min="10" max="16384" width="9.140625" style="1514"/>
  </cols>
  <sheetData>
    <row r="1" spans="1:12" x14ac:dyDescent="0.25">
      <c r="A1" s="1509"/>
      <c r="B1" s="1509"/>
      <c r="C1" s="1510"/>
      <c r="D1" s="1511"/>
      <c r="E1" s="1512"/>
      <c r="F1" s="1894"/>
      <c r="G1" s="1513"/>
    </row>
    <row r="2" spans="1:12" ht="18" x14ac:dyDescent="0.25">
      <c r="A2" s="1701" t="s">
        <v>1621</v>
      </c>
      <c r="B2" s="1515"/>
      <c r="C2" s="1515"/>
      <c r="D2" s="1515"/>
      <c r="E2" s="1515"/>
      <c r="F2" s="1895"/>
      <c r="G2" s="1515"/>
    </row>
    <row r="3" spans="1:12" ht="18" x14ac:dyDescent="0.25">
      <c r="A3" s="1701" t="s">
        <v>1620</v>
      </c>
      <c r="B3" s="1516"/>
      <c r="C3" s="1517"/>
      <c r="D3" s="1518"/>
      <c r="E3" s="1519"/>
      <c r="F3" s="1896"/>
      <c r="G3" s="1516"/>
    </row>
    <row r="4" spans="1:12" x14ac:dyDescent="0.25">
      <c r="A4" s="1520"/>
      <c r="B4" s="1521" t="s">
        <v>20</v>
      </c>
      <c r="C4" s="1522" t="s">
        <v>21</v>
      </c>
      <c r="D4" s="1523"/>
      <c r="E4" s="1524"/>
      <c r="F4" s="1897"/>
      <c r="G4" s="1525"/>
      <c r="I4" s="1526"/>
      <c r="J4" s="1527"/>
    </row>
    <row r="5" spans="1:12" x14ac:dyDescent="0.25">
      <c r="A5" s="1520"/>
      <c r="B5" s="1521"/>
      <c r="C5" s="1522"/>
      <c r="D5" s="1523"/>
      <c r="E5" s="1524"/>
      <c r="F5" s="1897"/>
      <c r="G5" s="1525"/>
      <c r="I5" s="1526"/>
      <c r="J5" s="1527"/>
    </row>
    <row r="6" spans="1:12" x14ac:dyDescent="0.25">
      <c r="A6" s="1520"/>
      <c r="B6" s="1528" t="s">
        <v>22</v>
      </c>
      <c r="C6" s="1529" t="s">
        <v>23</v>
      </c>
      <c r="D6" s="1530"/>
      <c r="E6" s="1531"/>
      <c r="F6" s="1898"/>
      <c r="G6" s="1532">
        <f>G63</f>
        <v>0</v>
      </c>
      <c r="I6" s="1527"/>
      <c r="J6" s="1527"/>
    </row>
    <row r="7" spans="1:12" x14ac:dyDescent="0.25">
      <c r="A7" s="1520"/>
      <c r="B7" s="1528" t="s">
        <v>24</v>
      </c>
      <c r="C7" s="1529" t="s">
        <v>117</v>
      </c>
      <c r="D7" s="1530"/>
      <c r="E7" s="1531"/>
      <c r="F7" s="1898"/>
      <c r="G7" s="1532">
        <f>G79</f>
        <v>0</v>
      </c>
      <c r="I7" s="1527"/>
      <c r="J7" s="1527"/>
    </row>
    <row r="8" spans="1:12" x14ac:dyDescent="0.25">
      <c r="A8" s="1520"/>
      <c r="B8" s="1528" t="s">
        <v>61</v>
      </c>
      <c r="C8" s="1529" t="s">
        <v>112</v>
      </c>
      <c r="D8" s="1530"/>
      <c r="E8" s="1531"/>
      <c r="F8" s="1898"/>
      <c r="G8" s="1532">
        <f>G89</f>
        <v>0</v>
      </c>
      <c r="I8" s="1527"/>
      <c r="J8" s="1527"/>
    </row>
    <row r="9" spans="1:12" x14ac:dyDescent="0.25">
      <c r="A9" s="1520"/>
      <c r="B9" s="1528" t="s">
        <v>93</v>
      </c>
      <c r="C9" s="1529" t="s">
        <v>113</v>
      </c>
      <c r="D9" s="1530"/>
      <c r="E9" s="1531"/>
      <c r="F9" s="1898"/>
      <c r="G9" s="1532">
        <f>G97</f>
        <v>0</v>
      </c>
      <c r="I9" s="1527"/>
      <c r="J9" s="1527"/>
    </row>
    <row r="10" spans="1:12" x14ac:dyDescent="0.25">
      <c r="A10" s="1520"/>
      <c r="B10" s="1528" t="s">
        <v>114</v>
      </c>
      <c r="C10" s="1529" t="s">
        <v>92</v>
      </c>
      <c r="D10" s="1530"/>
      <c r="E10" s="1531"/>
      <c r="F10" s="1898"/>
      <c r="G10" s="1532">
        <f>G105</f>
        <v>0</v>
      </c>
      <c r="I10" s="1527"/>
      <c r="J10" s="1527"/>
    </row>
    <row r="11" spans="1:12" x14ac:dyDescent="0.25">
      <c r="A11" s="1520"/>
      <c r="B11" s="1521"/>
      <c r="C11" s="1533"/>
      <c r="D11" s="1534"/>
      <c r="E11" s="1535"/>
      <c r="F11" s="1899"/>
      <c r="G11" s="1536"/>
      <c r="I11" s="1527"/>
      <c r="J11" s="1527"/>
    </row>
    <row r="12" spans="1:12" ht="15.75" customHeight="1" thickBot="1" x14ac:dyDescent="0.3">
      <c r="A12" s="1537"/>
      <c r="B12" s="1538"/>
      <c r="C12" s="1539" t="s">
        <v>25</v>
      </c>
      <c r="D12" s="1540"/>
      <c r="E12" s="1541"/>
      <c r="F12" s="1900"/>
      <c r="G12" s="1542">
        <f>SUM(G6:G10)</f>
        <v>0</v>
      </c>
      <c r="K12" s="1543"/>
      <c r="L12" s="1527"/>
    </row>
    <row r="13" spans="1:12" ht="15.75" thickTop="1" x14ac:dyDescent="0.25">
      <c r="A13" s="1544"/>
      <c r="B13" s="1545"/>
      <c r="C13" s="1546"/>
      <c r="D13" s="1547"/>
      <c r="E13" s="1548"/>
      <c r="F13" s="1901"/>
      <c r="G13" s="1549"/>
      <c r="I13" s="1527"/>
      <c r="J13" s="1527"/>
    </row>
    <row r="14" spans="1:12" x14ac:dyDescent="0.25">
      <c r="A14" s="1550"/>
      <c r="B14" s="1513"/>
      <c r="D14" s="1551"/>
      <c r="E14" s="1552"/>
      <c r="F14" s="1902"/>
      <c r="G14" s="1509"/>
    </row>
    <row r="15" spans="1:12" x14ac:dyDescent="0.25">
      <c r="A15" s="1550"/>
      <c r="B15" s="1513"/>
      <c r="D15" s="1551"/>
      <c r="E15" s="1552"/>
      <c r="F15" s="1902"/>
      <c r="G15" s="1509"/>
    </row>
    <row r="16" spans="1:12" x14ac:dyDescent="0.25">
      <c r="A16" s="1550"/>
      <c r="B16" s="1513"/>
      <c r="D16" s="1551"/>
      <c r="E16" s="1552"/>
      <c r="F16" s="1902"/>
      <c r="G16" s="1509"/>
    </row>
    <row r="17" spans="1:7" x14ac:dyDescent="0.25">
      <c r="A17" s="1550"/>
      <c r="B17" s="1513"/>
      <c r="D17" s="1551"/>
      <c r="E17" s="1552"/>
      <c r="F17" s="1902"/>
      <c r="G17" s="1509"/>
    </row>
    <row r="18" spans="1:7" x14ac:dyDescent="0.25">
      <c r="A18" s="1550"/>
      <c r="B18" s="1513"/>
      <c r="D18" s="1551"/>
      <c r="E18" s="1552"/>
      <c r="F18" s="1902"/>
      <c r="G18" s="1509"/>
    </row>
    <row r="19" spans="1:7" x14ac:dyDescent="0.25">
      <c r="A19" s="1550"/>
      <c r="B19" s="1513"/>
      <c r="D19" s="1551"/>
      <c r="E19" s="1552"/>
      <c r="F19" s="1902"/>
      <c r="G19" s="1509"/>
    </row>
    <row r="20" spans="1:7" x14ac:dyDescent="0.25">
      <c r="A20" s="1550"/>
      <c r="B20" s="1513"/>
      <c r="D20" s="1551"/>
      <c r="E20" s="1552"/>
      <c r="F20" s="1902"/>
      <c r="G20" s="1509"/>
    </row>
    <row r="21" spans="1:7" x14ac:dyDescent="0.25">
      <c r="A21" s="1550"/>
      <c r="B21" s="1513"/>
      <c r="D21" s="1551"/>
      <c r="E21" s="1552"/>
      <c r="F21" s="1902"/>
      <c r="G21" s="1509"/>
    </row>
    <row r="22" spans="1:7" x14ac:dyDescent="0.25">
      <c r="A22" s="1550"/>
      <c r="B22" s="1513"/>
      <c r="D22" s="1551"/>
      <c r="E22" s="1552"/>
      <c r="F22" s="1902"/>
      <c r="G22" s="1509"/>
    </row>
    <row r="23" spans="1:7" x14ac:dyDescent="0.25">
      <c r="A23" s="1550"/>
      <c r="B23" s="1513"/>
      <c r="D23" s="1551"/>
      <c r="E23" s="1552"/>
      <c r="F23" s="1902"/>
      <c r="G23" s="1509"/>
    </row>
    <row r="24" spans="1:7" x14ac:dyDescent="0.25">
      <c r="A24" s="1550"/>
      <c r="B24" s="1513"/>
      <c r="D24" s="1551"/>
      <c r="E24" s="1552"/>
      <c r="F24" s="1902"/>
      <c r="G24" s="1509"/>
    </row>
    <row r="25" spans="1:7" x14ac:dyDescent="0.25">
      <c r="A25" s="1550"/>
      <c r="B25" s="1513"/>
      <c r="D25" s="1551"/>
      <c r="E25" s="1552"/>
      <c r="F25" s="1902"/>
      <c r="G25" s="1509"/>
    </row>
    <row r="26" spans="1:7" x14ac:dyDescent="0.25">
      <c r="A26" s="1550"/>
      <c r="B26" s="1513"/>
      <c r="D26" s="1551"/>
      <c r="E26" s="1552"/>
      <c r="F26" s="1902"/>
      <c r="G26" s="1509"/>
    </row>
    <row r="27" spans="1:7" x14ac:dyDescent="0.25">
      <c r="A27" s="1550"/>
      <c r="B27" s="1513"/>
      <c r="D27" s="1551"/>
      <c r="E27" s="1552"/>
      <c r="F27" s="1902"/>
      <c r="G27" s="1509"/>
    </row>
    <row r="28" spans="1:7" x14ac:dyDescent="0.25">
      <c r="A28" s="1550"/>
      <c r="B28" s="1513"/>
      <c r="D28" s="1551"/>
      <c r="E28" s="1552"/>
      <c r="F28" s="1902"/>
      <c r="G28" s="1509"/>
    </row>
    <row r="29" spans="1:7" x14ac:dyDescent="0.25">
      <c r="A29" s="1550"/>
      <c r="B29" s="1513"/>
      <c r="D29" s="1551"/>
      <c r="E29" s="1552"/>
      <c r="F29" s="1902"/>
      <c r="G29" s="1509"/>
    </row>
    <row r="30" spans="1:7" x14ac:dyDescent="0.25">
      <c r="A30" s="1550"/>
      <c r="B30" s="1513"/>
      <c r="D30" s="1551"/>
      <c r="E30" s="1552"/>
      <c r="F30" s="1902"/>
      <c r="G30" s="1509"/>
    </row>
    <row r="31" spans="1:7" x14ac:dyDescent="0.25">
      <c r="A31" s="1550"/>
      <c r="B31" s="1513"/>
      <c r="D31" s="1551"/>
      <c r="E31" s="1552"/>
      <c r="F31" s="1902"/>
      <c r="G31" s="1509"/>
    </row>
    <row r="32" spans="1:7" x14ac:dyDescent="0.25">
      <c r="A32" s="1550"/>
      <c r="B32" s="1513"/>
      <c r="D32" s="1551"/>
      <c r="E32" s="1552"/>
      <c r="F32" s="1902"/>
      <c r="G32" s="1509"/>
    </row>
    <row r="33" spans="1:7" x14ac:dyDescent="0.25">
      <c r="A33" s="1550"/>
      <c r="B33" s="1513"/>
      <c r="D33" s="1551"/>
      <c r="E33" s="1552"/>
      <c r="F33" s="1902"/>
      <c r="G33" s="1509"/>
    </row>
    <row r="34" spans="1:7" x14ac:dyDescent="0.25">
      <c r="A34" s="1550"/>
      <c r="B34" s="1513"/>
      <c r="D34" s="1551"/>
      <c r="E34" s="1552"/>
      <c r="F34" s="1902"/>
      <c r="G34" s="1509"/>
    </row>
    <row r="35" spans="1:7" x14ac:dyDescent="0.25">
      <c r="A35" s="1550"/>
      <c r="B35" s="1513"/>
      <c r="D35" s="1551"/>
      <c r="E35" s="1552"/>
      <c r="F35" s="1902"/>
      <c r="G35" s="1509"/>
    </row>
    <row r="36" spans="1:7" x14ac:dyDescent="0.25">
      <c r="A36" s="1550"/>
      <c r="B36" s="1513"/>
      <c r="D36" s="1551"/>
      <c r="E36" s="1552"/>
      <c r="F36" s="1902"/>
      <c r="G36" s="1509"/>
    </row>
    <row r="37" spans="1:7" x14ac:dyDescent="0.25">
      <c r="A37" s="1550"/>
      <c r="B37" s="1513"/>
      <c r="D37" s="1551"/>
      <c r="E37" s="1552"/>
      <c r="F37" s="1902"/>
      <c r="G37" s="1509"/>
    </row>
    <row r="38" spans="1:7" x14ac:dyDescent="0.25">
      <c r="A38" s="1550"/>
      <c r="B38" s="1513"/>
      <c r="D38" s="1551"/>
      <c r="E38" s="1552"/>
      <c r="F38" s="1902"/>
      <c r="G38" s="1509"/>
    </row>
    <row r="39" spans="1:7" x14ac:dyDescent="0.25">
      <c r="A39" s="1550"/>
      <c r="B39" s="1513"/>
      <c r="D39" s="1551"/>
      <c r="E39" s="1552"/>
      <c r="F39" s="1902"/>
      <c r="G39" s="1509"/>
    </row>
    <row r="40" spans="1:7" x14ac:dyDescent="0.25">
      <c r="A40" s="1550"/>
      <c r="B40" s="1513"/>
      <c r="D40" s="1551"/>
      <c r="E40" s="1552"/>
      <c r="F40" s="1902"/>
      <c r="G40" s="1509"/>
    </row>
    <row r="41" spans="1:7" x14ac:dyDescent="0.25">
      <c r="A41" s="1550"/>
      <c r="B41" s="1513"/>
      <c r="D41" s="1551"/>
      <c r="E41" s="1552"/>
      <c r="F41" s="1902"/>
      <c r="G41" s="1509"/>
    </row>
    <row r="42" spans="1:7" x14ac:dyDescent="0.25">
      <c r="A42" s="1550"/>
      <c r="B42" s="1513"/>
      <c r="D42" s="1551"/>
      <c r="E42" s="1552"/>
      <c r="F42" s="1902"/>
      <c r="G42" s="1509"/>
    </row>
    <row r="43" spans="1:7" x14ac:dyDescent="0.25">
      <c r="A43" s="1550"/>
      <c r="B43" s="1513"/>
      <c r="D43" s="1551"/>
      <c r="E43" s="1552"/>
      <c r="F43" s="1902"/>
      <c r="G43" s="1509"/>
    </row>
    <row r="44" spans="1:7" x14ac:dyDescent="0.25">
      <c r="A44" s="1550"/>
      <c r="B44" s="1513"/>
      <c r="D44" s="1551"/>
      <c r="E44" s="1552"/>
      <c r="F44" s="1902"/>
      <c r="G44" s="1509"/>
    </row>
    <row r="45" spans="1:7" x14ac:dyDescent="0.25">
      <c r="A45" s="1550"/>
      <c r="B45" s="1513"/>
      <c r="D45" s="1551"/>
      <c r="E45" s="1552"/>
      <c r="F45" s="1902"/>
      <c r="G45" s="1509"/>
    </row>
    <row r="46" spans="1:7" x14ac:dyDescent="0.25">
      <c r="A46" s="1550"/>
      <c r="B46" s="1513"/>
      <c r="D46" s="1551"/>
      <c r="E46" s="1552"/>
      <c r="F46" s="1902"/>
      <c r="G46" s="1509"/>
    </row>
    <row r="47" spans="1:7" x14ac:dyDescent="0.25">
      <c r="A47" s="1550"/>
      <c r="B47" s="1513"/>
      <c r="D47" s="1551"/>
      <c r="E47" s="1552"/>
      <c r="F47" s="1902"/>
      <c r="G47" s="1509"/>
    </row>
    <row r="48" spans="1:7" x14ac:dyDescent="0.25">
      <c r="A48" s="1550"/>
      <c r="B48" s="1513"/>
      <c r="D48" s="1551"/>
      <c r="E48" s="1552"/>
      <c r="F48" s="1902"/>
      <c r="G48" s="1509"/>
    </row>
    <row r="49" spans="1:7" x14ac:dyDescent="0.25">
      <c r="A49" s="1550"/>
      <c r="B49" s="1513"/>
      <c r="D49" s="1551"/>
      <c r="E49" s="1552"/>
      <c r="F49" s="1902"/>
      <c r="G49" s="1509"/>
    </row>
    <row r="50" spans="1:7" x14ac:dyDescent="0.25">
      <c r="A50" s="1553" t="s">
        <v>62</v>
      </c>
      <c r="B50" s="1513"/>
      <c r="D50" s="1551"/>
      <c r="E50" s="1552"/>
      <c r="F50" s="1902"/>
      <c r="G50" s="1509"/>
    </row>
    <row r="51" spans="1:7" x14ac:dyDescent="0.25">
      <c r="A51" s="1554"/>
      <c r="B51" s="1555"/>
      <c r="C51" s="1556" t="s">
        <v>63</v>
      </c>
      <c r="D51" s="1557"/>
      <c r="E51" s="1558"/>
      <c r="F51" s="1903"/>
      <c r="G51" s="1555"/>
    </row>
    <row r="52" spans="1:7" x14ac:dyDescent="0.25">
      <c r="A52" s="1550"/>
      <c r="B52" s="1509"/>
      <c r="C52" s="1553"/>
      <c r="D52" s="1551"/>
      <c r="E52" s="1552"/>
      <c r="F52" s="1902"/>
      <c r="G52" s="1509"/>
    </row>
    <row r="53" spans="1:7" x14ac:dyDescent="0.25">
      <c r="A53" s="1550"/>
      <c r="B53" s="1521" t="s">
        <v>20</v>
      </c>
      <c r="C53" s="1522" t="s">
        <v>21</v>
      </c>
      <c r="D53" s="1551"/>
      <c r="E53" s="1552"/>
      <c r="F53" s="1902"/>
      <c r="G53" s="1509"/>
    </row>
    <row r="54" spans="1:7" x14ac:dyDescent="0.25">
      <c r="A54" s="1550"/>
      <c r="B54" s="1509"/>
      <c r="C54" s="1509"/>
      <c r="D54" s="1551"/>
      <c r="E54" s="1552"/>
      <c r="F54" s="1902"/>
      <c r="G54" s="1509"/>
    </row>
    <row r="55" spans="1:7" x14ac:dyDescent="0.25">
      <c r="A55" s="1511"/>
      <c r="B55" s="1559" t="s">
        <v>26</v>
      </c>
      <c r="C55" s="1560" t="s">
        <v>27</v>
      </c>
      <c r="D55" s="1559" t="s">
        <v>28</v>
      </c>
      <c r="E55" s="1561" t="s">
        <v>29</v>
      </c>
      <c r="F55" s="1904" t="s">
        <v>30</v>
      </c>
      <c r="G55" s="1562" t="s">
        <v>31</v>
      </c>
    </row>
    <row r="56" spans="1:7" x14ac:dyDescent="0.25">
      <c r="A56" s="1511"/>
      <c r="B56" s="1511"/>
      <c r="C56" s="1563"/>
      <c r="D56" s="1511"/>
      <c r="E56" s="1512"/>
      <c r="F56" s="1905"/>
      <c r="G56" s="1564"/>
    </row>
    <row r="57" spans="1:7" x14ac:dyDescent="0.25">
      <c r="A57" s="1565"/>
      <c r="B57" s="1566" t="s">
        <v>22</v>
      </c>
      <c r="C57" s="1567" t="s">
        <v>23</v>
      </c>
      <c r="D57" s="1568"/>
      <c r="E57" s="1569"/>
      <c r="F57" s="1906"/>
      <c r="G57" s="1569"/>
    </row>
    <row r="58" spans="1:7" ht="8.1" customHeight="1" x14ac:dyDescent="0.25">
      <c r="A58" s="1565"/>
      <c r="B58" s="1570"/>
      <c r="C58" s="1571"/>
      <c r="D58" s="1568"/>
      <c r="E58" s="1569"/>
      <c r="F58" s="1906"/>
      <c r="G58" s="1569"/>
    </row>
    <row r="59" spans="1:7" ht="62.25" customHeight="1" x14ac:dyDescent="0.25">
      <c r="A59" s="1572"/>
      <c r="B59" s="4" t="s">
        <v>32</v>
      </c>
      <c r="C59" s="4" t="s">
        <v>1589</v>
      </c>
      <c r="D59" s="1568" t="s">
        <v>235</v>
      </c>
      <c r="E59" s="1569">
        <v>473.5</v>
      </c>
      <c r="F59" s="1906"/>
      <c r="G59" s="1569">
        <f>ROUND(E59*F59,2)</f>
        <v>0</v>
      </c>
    </row>
    <row r="60" spans="1:7" ht="8.1" customHeight="1" x14ac:dyDescent="0.25">
      <c r="A60" s="1572"/>
      <c r="B60" s="4"/>
      <c r="C60" s="109"/>
      <c r="D60" s="1568"/>
      <c r="E60" s="1569"/>
      <c r="F60" s="1906"/>
      <c r="G60" s="1569"/>
    </row>
    <row r="61" spans="1:7" x14ac:dyDescent="0.25">
      <c r="A61" s="1572"/>
      <c r="B61" s="1570" t="s">
        <v>35</v>
      </c>
      <c r="C61" s="1573" t="s">
        <v>826</v>
      </c>
      <c r="D61" s="1568" t="s">
        <v>235</v>
      </c>
      <c r="E61" s="1569">
        <v>579.5</v>
      </c>
      <c r="F61" s="1906"/>
      <c r="G61" s="1569">
        <f>ROUND(E61*F61,2)</f>
        <v>0</v>
      </c>
    </row>
    <row r="62" spans="1:7" ht="8.1" customHeight="1" x14ac:dyDescent="0.25">
      <c r="A62" s="1565"/>
      <c r="B62" s="1570"/>
      <c r="C62" s="1573"/>
      <c r="D62" s="1568"/>
      <c r="E62" s="1569"/>
      <c r="F62" s="1906"/>
      <c r="G62" s="1569"/>
    </row>
    <row r="63" spans="1:7" x14ac:dyDescent="0.25">
      <c r="A63" s="1565"/>
      <c r="B63" s="1568"/>
      <c r="C63" s="1574" t="s">
        <v>59</v>
      </c>
      <c r="D63" s="1575"/>
      <c r="E63" s="1576"/>
      <c r="F63" s="1907"/>
      <c r="G63" s="1576">
        <f>SUM(G59:G61)</f>
        <v>0</v>
      </c>
    </row>
    <row r="64" spans="1:7" x14ac:dyDescent="0.25">
      <c r="A64" s="1565"/>
      <c r="B64" s="1568"/>
      <c r="C64" s="1577"/>
      <c r="D64" s="1568"/>
      <c r="E64" s="1569"/>
      <c r="F64" s="1906"/>
      <c r="G64" s="1569"/>
    </row>
    <row r="65" spans="1:7" x14ac:dyDescent="0.25">
      <c r="A65" s="1565"/>
      <c r="B65" s="1566" t="s">
        <v>24</v>
      </c>
      <c r="C65" s="1578" t="s">
        <v>117</v>
      </c>
      <c r="D65" s="1568"/>
      <c r="E65" s="1569"/>
      <c r="F65" s="1906"/>
      <c r="G65" s="1569"/>
    </row>
    <row r="66" spans="1:7" ht="8.1" customHeight="1" x14ac:dyDescent="0.25">
      <c r="A66" s="1572"/>
      <c r="B66" s="1570"/>
      <c r="C66" s="1573"/>
      <c r="D66" s="1568"/>
      <c r="E66" s="1569"/>
      <c r="F66" s="1906"/>
      <c r="G66" s="1569"/>
    </row>
    <row r="67" spans="1:7" ht="64.5" customHeight="1" x14ac:dyDescent="0.25">
      <c r="A67" s="1572"/>
      <c r="B67" s="4" t="s">
        <v>32</v>
      </c>
      <c r="C67" s="109" t="s">
        <v>827</v>
      </c>
      <c r="D67" s="1568" t="s">
        <v>235</v>
      </c>
      <c r="E67" s="1569">
        <v>342.5</v>
      </c>
      <c r="F67" s="1906"/>
      <c r="G67" s="1569">
        <f>ROUND(E67*F67,2)</f>
        <v>0</v>
      </c>
    </row>
    <row r="68" spans="1:7" ht="8.1" customHeight="1" x14ac:dyDescent="0.25">
      <c r="A68" s="1572"/>
      <c r="B68" s="1570"/>
      <c r="C68" s="1573"/>
      <c r="D68" s="1568"/>
      <c r="E68" s="1569"/>
      <c r="F68" s="1906"/>
      <c r="G68" s="1569"/>
    </row>
    <row r="69" spans="1:7" ht="76.5" customHeight="1" x14ac:dyDescent="0.25">
      <c r="A69" s="1572"/>
      <c r="B69" s="4" t="s">
        <v>35</v>
      </c>
      <c r="C69" s="109" t="s">
        <v>828</v>
      </c>
      <c r="D69" s="1568" t="s">
        <v>235</v>
      </c>
      <c r="E69" s="1569">
        <v>159</v>
      </c>
      <c r="F69" s="1906"/>
      <c r="G69" s="1569">
        <f>ROUND(E69*F69,2)</f>
        <v>0</v>
      </c>
    </row>
    <row r="70" spans="1:7" ht="8.1" customHeight="1" x14ac:dyDescent="0.25">
      <c r="A70" s="1572"/>
      <c r="B70" s="1570"/>
      <c r="C70" s="1573"/>
      <c r="D70" s="1568"/>
      <c r="E70" s="1569"/>
      <c r="F70" s="1906"/>
      <c r="G70" s="1569"/>
    </row>
    <row r="71" spans="1:7" ht="75.75" customHeight="1" x14ac:dyDescent="0.25">
      <c r="A71" s="1572"/>
      <c r="B71" s="4" t="s">
        <v>37</v>
      </c>
      <c r="C71" s="109" t="s">
        <v>829</v>
      </c>
      <c r="D71" s="1568" t="s">
        <v>235</v>
      </c>
      <c r="E71" s="1569">
        <v>78</v>
      </c>
      <c r="F71" s="1906"/>
      <c r="G71" s="1569">
        <f>ROUND(E71*F71,2)</f>
        <v>0</v>
      </c>
    </row>
    <row r="72" spans="1:7" ht="8.1" customHeight="1" x14ac:dyDescent="0.25">
      <c r="A72" s="1572"/>
      <c r="B72" s="1570"/>
      <c r="C72" s="1573"/>
      <c r="D72" s="1568"/>
      <c r="E72" s="1569"/>
      <c r="F72" s="1906"/>
      <c r="G72" s="1569"/>
    </row>
    <row r="73" spans="1:7" ht="39.75" customHeight="1" x14ac:dyDescent="0.25">
      <c r="A73" s="1572"/>
      <c r="B73" s="4" t="s">
        <v>40</v>
      </c>
      <c r="C73" s="109" t="s">
        <v>830</v>
      </c>
      <c r="D73" s="1568" t="s">
        <v>39</v>
      </c>
      <c r="E73" s="1569">
        <v>12</v>
      </c>
      <c r="F73" s="1906"/>
      <c r="G73" s="1569">
        <f>ROUND(E73*F73,2)</f>
        <v>0</v>
      </c>
    </row>
    <row r="74" spans="1:7" ht="8.1" customHeight="1" x14ac:dyDescent="0.25">
      <c r="A74" s="1572"/>
      <c r="B74" s="1570"/>
      <c r="C74" s="1573"/>
      <c r="D74" s="1568"/>
      <c r="E74" s="1569"/>
      <c r="F74" s="1906"/>
      <c r="G74" s="1569"/>
    </row>
    <row r="75" spans="1:7" x14ac:dyDescent="0.25">
      <c r="A75" s="1572"/>
      <c r="B75" s="4" t="s">
        <v>42</v>
      </c>
      <c r="C75" s="109" t="s">
        <v>831</v>
      </c>
      <c r="D75" s="1568" t="s">
        <v>39</v>
      </c>
      <c r="E75" s="1569">
        <v>24</v>
      </c>
      <c r="F75" s="1906"/>
      <c r="G75" s="1569">
        <f>ROUND(E75*F75,2)</f>
        <v>0</v>
      </c>
    </row>
    <row r="76" spans="1:7" ht="8.1" customHeight="1" x14ac:dyDescent="0.25">
      <c r="A76" s="1572"/>
      <c r="B76" s="1570"/>
      <c r="C76" s="1573"/>
      <c r="D76" s="1568"/>
      <c r="E76" s="1569"/>
      <c r="F76" s="1906"/>
      <c r="G76" s="1569"/>
    </row>
    <row r="77" spans="1:7" ht="38.25" customHeight="1" x14ac:dyDescent="0.25">
      <c r="A77" s="1572"/>
      <c r="B77" s="4" t="s">
        <v>44</v>
      </c>
      <c r="C77" s="109" t="s">
        <v>832</v>
      </c>
      <c r="D77" s="1568" t="s">
        <v>39</v>
      </c>
      <c r="E77" s="1569">
        <v>580</v>
      </c>
      <c r="F77" s="1906"/>
      <c r="G77" s="1569">
        <f>ROUND(E77*F77,2)</f>
        <v>0</v>
      </c>
    </row>
    <row r="78" spans="1:7" ht="8.1" customHeight="1" x14ac:dyDescent="0.25">
      <c r="A78" s="1565"/>
      <c r="B78" s="1570"/>
      <c r="C78" s="1573"/>
      <c r="D78" s="1568"/>
      <c r="E78" s="1569"/>
      <c r="F78" s="1906"/>
      <c r="G78" s="1569"/>
    </row>
    <row r="79" spans="1:7" x14ac:dyDescent="0.25">
      <c r="A79" s="1565"/>
      <c r="B79" s="1568"/>
      <c r="C79" s="1574" t="s">
        <v>150</v>
      </c>
      <c r="D79" s="1575"/>
      <c r="E79" s="1576"/>
      <c r="F79" s="1907"/>
      <c r="G79" s="1576">
        <f>SUM(G67:G77)</f>
        <v>0</v>
      </c>
    </row>
    <row r="80" spans="1:7" x14ac:dyDescent="0.25">
      <c r="B80" s="1579"/>
      <c r="C80" s="1571"/>
      <c r="D80" s="1568"/>
      <c r="E80" s="1569"/>
      <c r="F80" s="1906"/>
      <c r="G80" s="1569"/>
    </row>
    <row r="81" spans="1:7" ht="14.25" customHeight="1" x14ac:dyDescent="0.25">
      <c r="B81" s="1566" t="s">
        <v>61</v>
      </c>
      <c r="C81" s="1578" t="s">
        <v>112</v>
      </c>
      <c r="D81" s="1568"/>
      <c r="E81" s="1569"/>
      <c r="F81" s="1906"/>
      <c r="G81" s="1569"/>
    </row>
    <row r="82" spans="1:7" ht="8.1" customHeight="1" x14ac:dyDescent="0.25">
      <c r="A82" s="1565"/>
      <c r="B82" s="1577"/>
      <c r="C82" s="1578"/>
      <c r="D82" s="1568"/>
      <c r="E82" s="1569"/>
      <c r="F82" s="1906"/>
      <c r="G82" s="1569"/>
    </row>
    <row r="83" spans="1:7" ht="41.25" customHeight="1" x14ac:dyDescent="0.25">
      <c r="A83" s="1572"/>
      <c r="B83" s="106" t="s">
        <v>32</v>
      </c>
      <c r="C83" s="4" t="s">
        <v>833</v>
      </c>
      <c r="D83" s="1" t="s">
        <v>69</v>
      </c>
      <c r="E83" s="2">
        <v>3.5</v>
      </c>
      <c r="F83" s="1742"/>
      <c r="G83" s="1569">
        <f>ROUND(E83*F83,2)</f>
        <v>0</v>
      </c>
    </row>
    <row r="84" spans="1:7" ht="8.1" customHeight="1" x14ac:dyDescent="0.25">
      <c r="A84" s="1565"/>
      <c r="B84" s="106"/>
      <c r="C84" s="4"/>
      <c r="D84" s="1"/>
      <c r="E84" s="2"/>
      <c r="F84" s="1742"/>
      <c r="G84" s="1580"/>
    </row>
    <row r="85" spans="1:7" ht="42" customHeight="1" x14ac:dyDescent="0.25">
      <c r="A85" s="1572"/>
      <c r="B85" s="106" t="s">
        <v>35</v>
      </c>
      <c r="C85" s="4" t="s">
        <v>834</v>
      </c>
      <c r="D85" s="1" t="s">
        <v>69</v>
      </c>
      <c r="E85" s="2">
        <v>1</v>
      </c>
      <c r="F85" s="1742"/>
      <c r="G85" s="1569">
        <f>ROUND(E85*F85,2)</f>
        <v>0</v>
      </c>
    </row>
    <row r="86" spans="1:7" ht="8.1" customHeight="1" x14ac:dyDescent="0.25">
      <c r="B86" s="1579"/>
      <c r="C86" s="1571"/>
      <c r="D86" s="1568"/>
      <c r="E86" s="1569"/>
      <c r="F86" s="1906"/>
      <c r="G86" s="1580"/>
    </row>
    <row r="87" spans="1:7" ht="51" customHeight="1" x14ac:dyDescent="0.25">
      <c r="A87" s="1572"/>
      <c r="B87" s="1570" t="s">
        <v>37</v>
      </c>
      <c r="C87" s="4" t="s">
        <v>835</v>
      </c>
      <c r="D87" s="1" t="s">
        <v>138</v>
      </c>
      <c r="E87" s="1581">
        <v>401.9</v>
      </c>
      <c r="F87" s="1742"/>
      <c r="G87" s="1569">
        <f>ROUND(E87*F87,2)</f>
        <v>0</v>
      </c>
    </row>
    <row r="88" spans="1:7" ht="8.1" customHeight="1" x14ac:dyDescent="0.25">
      <c r="A88" s="1565"/>
      <c r="B88" s="1568"/>
      <c r="C88" s="1582"/>
      <c r="D88" s="1583"/>
      <c r="E88" s="1584"/>
      <c r="F88" s="1908"/>
      <c r="G88" s="1584"/>
    </row>
    <row r="89" spans="1:7" x14ac:dyDescent="0.25">
      <c r="A89" s="1565"/>
      <c r="B89" s="1568"/>
      <c r="C89" s="3" t="s">
        <v>141</v>
      </c>
      <c r="D89" s="1583"/>
      <c r="E89" s="1584"/>
      <c r="F89" s="1908"/>
      <c r="G89" s="1584">
        <f>SUM(G83:G87)</f>
        <v>0</v>
      </c>
    </row>
    <row r="90" spans="1:7" x14ac:dyDescent="0.25">
      <c r="B90" s="1579"/>
      <c r="C90" s="1571"/>
      <c r="D90" s="1568"/>
      <c r="E90" s="1569"/>
      <c r="F90" s="1906"/>
      <c r="G90" s="1569"/>
    </row>
    <row r="91" spans="1:7" ht="14.25" customHeight="1" x14ac:dyDescent="0.25">
      <c r="A91" s="1565"/>
      <c r="B91" s="1566" t="s">
        <v>93</v>
      </c>
      <c r="C91" s="1578" t="s">
        <v>113</v>
      </c>
      <c r="D91" s="1568"/>
      <c r="E91" s="1569"/>
      <c r="F91" s="1906"/>
      <c r="G91" s="1569"/>
    </row>
    <row r="92" spans="1:7" ht="8.1" customHeight="1" x14ac:dyDescent="0.25">
      <c r="A92" s="1565"/>
      <c r="B92" s="106"/>
      <c r="C92" s="5"/>
      <c r="D92" s="1"/>
      <c r="E92" s="2"/>
      <c r="F92" s="1742"/>
      <c r="G92" s="1580"/>
    </row>
    <row r="93" spans="1:7" ht="36.75" customHeight="1" x14ac:dyDescent="0.25">
      <c r="A93" s="1572"/>
      <c r="B93" s="106" t="s">
        <v>32</v>
      </c>
      <c r="C93" s="4" t="s">
        <v>836</v>
      </c>
      <c r="D93" s="1" t="s">
        <v>71</v>
      </c>
      <c r="E93" s="2">
        <v>13.5</v>
      </c>
      <c r="F93" s="1742"/>
      <c r="G93" s="1569">
        <f>ROUND(E93*F93,2)</f>
        <v>0</v>
      </c>
    </row>
    <row r="94" spans="1:7" ht="8.1" customHeight="1" x14ac:dyDescent="0.25">
      <c r="A94" s="1565"/>
      <c r="B94" s="1577"/>
      <c r="C94" s="5"/>
      <c r="D94" s="1"/>
      <c r="E94" s="2"/>
      <c r="F94" s="1742"/>
      <c r="G94" s="1580"/>
    </row>
    <row r="95" spans="1:7" ht="36" x14ac:dyDescent="0.25">
      <c r="A95" s="1572"/>
      <c r="B95" s="106" t="s">
        <v>35</v>
      </c>
      <c r="C95" s="4" t="s">
        <v>837</v>
      </c>
      <c r="D95" s="1" t="s">
        <v>71</v>
      </c>
      <c r="E95" s="2">
        <v>8.5</v>
      </c>
      <c r="F95" s="1742"/>
      <c r="G95" s="1569">
        <f>ROUND(E95*F95,2)</f>
        <v>0</v>
      </c>
    </row>
    <row r="96" spans="1:7" ht="8.1" customHeight="1" x14ac:dyDescent="0.25">
      <c r="A96" s="1565"/>
      <c r="B96" s="1568"/>
      <c r="C96" s="1582"/>
      <c r="D96" s="1583"/>
      <c r="E96" s="1584"/>
      <c r="F96" s="1908"/>
      <c r="G96" s="1584"/>
    </row>
    <row r="97" spans="1:7" x14ac:dyDescent="0.25">
      <c r="A97" s="1565"/>
      <c r="B97" s="1568"/>
      <c r="C97" s="3" t="s">
        <v>144</v>
      </c>
      <c r="D97" s="1583"/>
      <c r="E97" s="1584"/>
      <c r="F97" s="1908"/>
      <c r="G97" s="1584">
        <f>SUM(G93:G95)</f>
        <v>0</v>
      </c>
    </row>
    <row r="98" spans="1:7" x14ac:dyDescent="0.25">
      <c r="B98" s="1579"/>
      <c r="C98" s="1571"/>
      <c r="D98" s="1568"/>
      <c r="E98" s="1569"/>
      <c r="F98" s="1906"/>
      <c r="G98" s="1580"/>
    </row>
    <row r="99" spans="1:7" x14ac:dyDescent="0.25">
      <c r="A99" s="1572"/>
      <c r="B99" s="1566" t="s">
        <v>114</v>
      </c>
      <c r="C99" s="1571" t="s">
        <v>92</v>
      </c>
      <c r="D99" s="1568"/>
      <c r="E99" s="1569"/>
      <c r="F99" s="1906"/>
      <c r="G99" s="1569"/>
    </row>
    <row r="100" spans="1:7" ht="8.1" customHeight="1" x14ac:dyDescent="0.25">
      <c r="A100" s="1572"/>
      <c r="B100" s="4"/>
      <c r="C100" s="109"/>
      <c r="D100" s="1568"/>
      <c r="E100" s="1569"/>
      <c r="F100" s="1906"/>
      <c r="G100" s="1569"/>
    </row>
    <row r="101" spans="1:7" ht="24" x14ac:dyDescent="0.25">
      <c r="A101" s="1572"/>
      <c r="B101" s="106" t="s">
        <v>32</v>
      </c>
      <c r="C101" s="1573" t="s">
        <v>838</v>
      </c>
      <c r="D101" s="1568" t="s">
        <v>71</v>
      </c>
      <c r="E101" s="1569">
        <v>2897.5</v>
      </c>
      <c r="F101" s="1906"/>
      <c r="G101" s="1569">
        <f>ROUND(E101*F101,2)</f>
        <v>0</v>
      </c>
    </row>
    <row r="102" spans="1:7" ht="8.1" customHeight="1" x14ac:dyDescent="0.25">
      <c r="A102" s="1572"/>
      <c r="B102" s="1577"/>
      <c r="C102" s="1573"/>
      <c r="D102" s="1568"/>
      <c r="E102" s="1569"/>
      <c r="F102" s="1906"/>
      <c r="G102" s="1569"/>
    </row>
    <row r="103" spans="1:7" ht="26.25" customHeight="1" x14ac:dyDescent="0.25">
      <c r="A103" s="1572"/>
      <c r="B103" s="106" t="s">
        <v>35</v>
      </c>
      <c r="C103" s="96" t="s">
        <v>839</v>
      </c>
      <c r="D103" s="1568" t="s">
        <v>71</v>
      </c>
      <c r="E103" s="1569">
        <v>2897.5</v>
      </c>
      <c r="F103" s="1906"/>
      <c r="G103" s="1569">
        <f>ROUND(E103*F103,2)</f>
        <v>0</v>
      </c>
    </row>
    <row r="104" spans="1:7" x14ac:dyDescent="0.25">
      <c r="A104" s="1572"/>
      <c r="B104" s="1568"/>
      <c r="C104" s="1577"/>
      <c r="D104" s="1568"/>
      <c r="E104" s="1569"/>
      <c r="F104" s="1906"/>
      <c r="G104" s="1569"/>
    </row>
    <row r="105" spans="1:7" x14ac:dyDescent="0.25">
      <c r="A105" s="1565"/>
      <c r="B105" s="1568"/>
      <c r="C105" s="1574" t="s">
        <v>111</v>
      </c>
      <c r="D105" s="1575"/>
      <c r="E105" s="1576"/>
      <c r="F105" s="1907"/>
      <c r="G105" s="1576">
        <f>SUM(G99:G104)</f>
        <v>0</v>
      </c>
    </row>
    <row r="106" spans="1:7" x14ac:dyDescent="0.25">
      <c r="A106" s="1572"/>
      <c r="B106" s="1568"/>
      <c r="C106" s="1577"/>
      <c r="D106" s="1568"/>
      <c r="E106" s="1569"/>
      <c r="F106" s="1906"/>
      <c r="G106" s="1569"/>
    </row>
    <row r="107" spans="1:7" ht="8.1" customHeight="1" x14ac:dyDescent="0.25">
      <c r="A107" s="1565"/>
      <c r="B107" s="1568"/>
      <c r="C107" s="1585"/>
      <c r="D107" s="1586"/>
      <c r="E107" s="1587"/>
      <c r="F107" s="1909"/>
      <c r="G107" s="1587"/>
    </row>
    <row r="108" spans="1:7" x14ac:dyDescent="0.25">
      <c r="A108" s="526"/>
      <c r="B108" s="526"/>
      <c r="C108" s="527"/>
      <c r="D108" s="444"/>
      <c r="E108" s="528"/>
      <c r="F108" s="1910"/>
      <c r="G108" s="529"/>
    </row>
    <row r="109" spans="1:7" ht="18" x14ac:dyDescent="0.25">
      <c r="A109" s="1703" t="s">
        <v>1622</v>
      </c>
      <c r="B109" s="1702"/>
      <c r="C109" s="1702"/>
      <c r="D109" s="1702"/>
      <c r="E109" s="1702"/>
      <c r="F109" s="1911"/>
      <c r="G109" s="1702"/>
    </row>
    <row r="110" spans="1:7" ht="18" x14ac:dyDescent="0.25">
      <c r="A110" s="1703" t="s">
        <v>1623</v>
      </c>
      <c r="B110" s="1702"/>
      <c r="C110" s="1702"/>
      <c r="D110" s="1702"/>
      <c r="E110" s="1702"/>
      <c r="F110" s="1911"/>
      <c r="G110" s="1702"/>
    </row>
    <row r="111" spans="1:7" x14ac:dyDescent="0.25">
      <c r="A111" s="531"/>
      <c r="B111" s="532"/>
      <c r="C111" s="533"/>
      <c r="D111" s="534"/>
      <c r="E111" s="535"/>
      <c r="F111" s="1912"/>
      <c r="G111" s="532"/>
    </row>
    <row r="112" spans="1:7" x14ac:dyDescent="0.25">
      <c r="A112" s="536"/>
      <c r="B112" s="537" t="s">
        <v>20</v>
      </c>
      <c r="C112" s="538" t="s">
        <v>21</v>
      </c>
      <c r="D112" s="539"/>
      <c r="E112" s="540"/>
      <c r="F112" s="1913"/>
      <c r="G112" s="541"/>
    </row>
    <row r="113" spans="1:7" x14ac:dyDescent="0.25">
      <c r="A113" s="536"/>
      <c r="B113" s="537"/>
      <c r="C113" s="538"/>
      <c r="D113" s="539"/>
      <c r="E113" s="540"/>
      <c r="F113" s="1913"/>
      <c r="G113" s="541"/>
    </row>
    <row r="114" spans="1:7" x14ac:dyDescent="0.25">
      <c r="A114" s="536"/>
      <c r="B114" s="544" t="s">
        <v>22</v>
      </c>
      <c r="C114" s="545" t="s">
        <v>23</v>
      </c>
      <c r="D114" s="447"/>
      <c r="E114" s="546"/>
      <c r="F114" s="1914"/>
      <c r="G114" s="1588">
        <f>G171</f>
        <v>0</v>
      </c>
    </row>
    <row r="115" spans="1:7" x14ac:dyDescent="0.25">
      <c r="A115" s="536"/>
      <c r="B115" s="544" t="s">
        <v>24</v>
      </c>
      <c r="C115" s="545" t="s">
        <v>117</v>
      </c>
      <c r="D115" s="447"/>
      <c r="E115" s="546"/>
      <c r="F115" s="1914"/>
      <c r="G115" s="1588">
        <f>G177</f>
        <v>0</v>
      </c>
    </row>
    <row r="116" spans="1:7" x14ac:dyDescent="0.25">
      <c r="A116" s="536"/>
      <c r="B116" s="544" t="s">
        <v>61</v>
      </c>
      <c r="C116" s="545" t="s">
        <v>92</v>
      </c>
      <c r="D116" s="447"/>
      <c r="E116" s="546"/>
      <c r="F116" s="1914"/>
      <c r="G116" s="1588">
        <f>G185</f>
        <v>0</v>
      </c>
    </row>
    <row r="117" spans="1:7" x14ac:dyDescent="0.25">
      <c r="A117" s="536"/>
      <c r="B117" s="537"/>
      <c r="C117" s="547"/>
      <c r="D117" s="548"/>
      <c r="E117" s="549"/>
      <c r="F117" s="1915"/>
      <c r="G117" s="1589"/>
    </row>
    <row r="118" spans="1:7" ht="15.75" thickBot="1" x14ac:dyDescent="0.3">
      <c r="A118" s="550"/>
      <c r="B118" s="551"/>
      <c r="C118" s="552" t="s">
        <v>25</v>
      </c>
      <c r="D118" s="553"/>
      <c r="E118" s="554"/>
      <c r="F118" s="1916"/>
      <c r="G118" s="1590">
        <f>SUM(G114:G116)</f>
        <v>0</v>
      </c>
    </row>
    <row r="119" spans="1:7" ht="15.75" thickTop="1" x14ac:dyDescent="0.25">
      <c r="A119" s="556"/>
      <c r="B119" s="557"/>
      <c r="C119" s="558"/>
      <c r="D119" s="408"/>
      <c r="E119" s="559"/>
      <c r="F119" s="1917"/>
      <c r="G119" s="560"/>
    </row>
    <row r="120" spans="1:7" x14ac:dyDescent="0.25">
      <c r="A120" s="556"/>
      <c r="B120" s="557"/>
      <c r="C120" s="558"/>
      <c r="D120" s="408"/>
      <c r="E120" s="559"/>
      <c r="F120" s="1917"/>
      <c r="G120" s="560"/>
    </row>
    <row r="121" spans="1:7" x14ac:dyDescent="0.25">
      <c r="A121" s="383"/>
      <c r="B121" s="529"/>
      <c r="C121" s="530"/>
      <c r="D121" s="561"/>
      <c r="E121" s="562"/>
      <c r="F121" s="1918"/>
      <c r="G121" s="526"/>
    </row>
    <row r="122" spans="1:7" x14ac:dyDescent="0.25">
      <c r="A122" s="383"/>
      <c r="B122" s="529"/>
      <c r="C122" s="530"/>
      <c r="D122" s="561"/>
      <c r="E122" s="562"/>
      <c r="F122" s="1918"/>
      <c r="G122" s="526"/>
    </row>
    <row r="123" spans="1:7" x14ac:dyDescent="0.25">
      <c r="A123" s="383"/>
      <c r="B123" s="529"/>
      <c r="C123" s="530"/>
      <c r="D123" s="561"/>
      <c r="E123" s="562"/>
      <c r="F123" s="1918"/>
      <c r="G123" s="526"/>
    </row>
    <row r="124" spans="1:7" x14ac:dyDescent="0.25">
      <c r="A124" s="383"/>
      <c r="B124" s="529"/>
      <c r="C124" s="530"/>
      <c r="D124" s="561"/>
      <c r="E124" s="562"/>
      <c r="F124" s="1918"/>
      <c r="G124" s="526"/>
    </row>
    <row r="125" spans="1:7" x14ac:dyDescent="0.25">
      <c r="A125" s="383"/>
      <c r="B125" s="529"/>
      <c r="C125" s="530"/>
      <c r="D125" s="561"/>
      <c r="E125" s="562"/>
      <c r="F125" s="1918"/>
      <c r="G125" s="526"/>
    </row>
    <row r="126" spans="1:7" x14ac:dyDescent="0.25">
      <c r="A126" s="383"/>
      <c r="B126" s="529"/>
      <c r="C126" s="530"/>
      <c r="D126" s="561"/>
      <c r="E126" s="562"/>
      <c r="F126" s="1918"/>
      <c r="G126" s="526"/>
    </row>
    <row r="127" spans="1:7" x14ac:dyDescent="0.25">
      <c r="A127" s="383"/>
      <c r="B127" s="529"/>
      <c r="C127" s="530"/>
      <c r="D127" s="561"/>
      <c r="E127" s="562"/>
      <c r="F127" s="1918"/>
      <c r="G127" s="526"/>
    </row>
    <row r="128" spans="1:7" x14ac:dyDescent="0.25">
      <c r="A128" s="383"/>
      <c r="B128" s="529"/>
      <c r="C128" s="530"/>
      <c r="D128" s="561"/>
      <c r="E128" s="562"/>
      <c r="F128" s="1918"/>
      <c r="G128" s="526"/>
    </row>
    <row r="129" spans="1:7" x14ac:dyDescent="0.25">
      <c r="A129" s="383"/>
      <c r="B129" s="529"/>
      <c r="C129" s="530"/>
      <c r="D129" s="561"/>
      <c r="E129" s="562"/>
      <c r="F129" s="1918"/>
      <c r="G129" s="526"/>
    </row>
    <row r="130" spans="1:7" x14ac:dyDescent="0.25">
      <c r="A130" s="383"/>
      <c r="B130" s="529"/>
      <c r="C130" s="530"/>
      <c r="D130" s="561"/>
      <c r="E130" s="562"/>
      <c r="F130" s="1918"/>
      <c r="G130" s="526"/>
    </row>
    <row r="131" spans="1:7" x14ac:dyDescent="0.25">
      <c r="A131" s="383"/>
      <c r="B131" s="529"/>
      <c r="C131" s="530"/>
      <c r="D131" s="561"/>
      <c r="E131" s="562"/>
      <c r="F131" s="1918"/>
      <c r="G131" s="526"/>
    </row>
    <row r="132" spans="1:7" x14ac:dyDescent="0.25">
      <c r="A132" s="383"/>
      <c r="B132" s="529"/>
      <c r="C132" s="530"/>
      <c r="D132" s="561"/>
      <c r="E132" s="562"/>
      <c r="F132" s="1918"/>
      <c r="G132" s="526"/>
    </row>
    <row r="133" spans="1:7" x14ac:dyDescent="0.25">
      <c r="A133" s="383"/>
      <c r="B133" s="529"/>
      <c r="C133" s="530"/>
      <c r="D133" s="561"/>
      <c r="E133" s="562"/>
      <c r="F133" s="1918"/>
      <c r="G133" s="526"/>
    </row>
    <row r="134" spans="1:7" x14ac:dyDescent="0.25">
      <c r="A134" s="383"/>
      <c r="B134" s="529"/>
      <c r="C134" s="530"/>
      <c r="D134" s="561"/>
      <c r="E134" s="562"/>
      <c r="F134" s="1918"/>
      <c r="G134" s="526"/>
    </row>
    <row r="135" spans="1:7" x14ac:dyDescent="0.25">
      <c r="A135" s="383"/>
      <c r="B135" s="529"/>
      <c r="C135" s="530"/>
      <c r="D135" s="561"/>
      <c r="E135" s="562"/>
      <c r="F135" s="1918"/>
      <c r="G135" s="526"/>
    </row>
    <row r="136" spans="1:7" x14ac:dyDescent="0.25">
      <c r="A136" s="383"/>
      <c r="B136" s="529"/>
      <c r="C136" s="530"/>
      <c r="D136" s="561"/>
      <c r="E136" s="562"/>
      <c r="F136" s="1918"/>
      <c r="G136" s="526"/>
    </row>
    <row r="137" spans="1:7" x14ac:dyDescent="0.25">
      <c r="A137" s="383"/>
      <c r="B137" s="529"/>
      <c r="C137" s="530"/>
      <c r="D137" s="561"/>
      <c r="E137" s="562"/>
      <c r="F137" s="1918"/>
      <c r="G137" s="526"/>
    </row>
    <row r="138" spans="1:7" x14ac:dyDescent="0.25">
      <c r="A138" s="383"/>
      <c r="B138" s="529"/>
      <c r="C138" s="530"/>
      <c r="D138" s="561"/>
      <c r="E138" s="562"/>
      <c r="F138" s="1918"/>
      <c r="G138" s="526"/>
    </row>
    <row r="139" spans="1:7" x14ac:dyDescent="0.25">
      <c r="A139" s="383"/>
      <c r="B139" s="529"/>
      <c r="C139" s="530"/>
      <c r="D139" s="561"/>
      <c r="E139" s="562"/>
      <c r="F139" s="1918"/>
      <c r="G139" s="526"/>
    </row>
    <row r="140" spans="1:7" x14ac:dyDescent="0.25">
      <c r="A140" s="383"/>
      <c r="B140" s="529"/>
      <c r="C140" s="530"/>
      <c r="D140" s="561"/>
      <c r="E140" s="562"/>
      <c r="F140" s="1918"/>
      <c r="G140" s="526"/>
    </row>
    <row r="141" spans="1:7" x14ac:dyDescent="0.25">
      <c r="A141" s="383"/>
      <c r="B141" s="529"/>
      <c r="C141" s="530"/>
      <c r="D141" s="561"/>
      <c r="E141" s="562"/>
      <c r="F141" s="1918"/>
      <c r="G141" s="526"/>
    </row>
    <row r="142" spans="1:7" x14ac:dyDescent="0.25">
      <c r="A142" s="383"/>
      <c r="B142" s="529"/>
      <c r="C142" s="530"/>
      <c r="D142" s="561"/>
      <c r="E142" s="562"/>
      <c r="F142" s="1918"/>
      <c r="G142" s="526"/>
    </row>
    <row r="143" spans="1:7" x14ac:dyDescent="0.25">
      <c r="A143" s="383"/>
      <c r="B143" s="529"/>
      <c r="C143" s="530"/>
      <c r="D143" s="561"/>
      <c r="E143" s="562"/>
      <c r="F143" s="1918"/>
      <c r="G143" s="526"/>
    </row>
    <row r="144" spans="1:7" x14ac:dyDescent="0.25">
      <c r="A144" s="383"/>
      <c r="B144" s="529"/>
      <c r="C144" s="530"/>
      <c r="D144" s="561"/>
      <c r="E144" s="562"/>
      <c r="F144" s="1918"/>
      <c r="G144" s="526"/>
    </row>
    <row r="145" spans="1:7" x14ac:dyDescent="0.25">
      <c r="A145" s="383"/>
      <c r="B145" s="529"/>
      <c r="C145" s="530"/>
      <c r="D145" s="561"/>
      <c r="E145" s="562"/>
      <c r="F145" s="1918"/>
      <c r="G145" s="526"/>
    </row>
    <row r="146" spans="1:7" x14ac:dyDescent="0.25">
      <c r="A146" s="383"/>
      <c r="B146" s="529"/>
      <c r="C146" s="530"/>
      <c r="D146" s="561"/>
      <c r="E146" s="562"/>
      <c r="F146" s="1918"/>
      <c r="G146" s="526"/>
    </row>
    <row r="147" spans="1:7" x14ac:dyDescent="0.25">
      <c r="A147" s="383"/>
      <c r="B147" s="529"/>
      <c r="C147" s="530"/>
      <c r="D147" s="561"/>
      <c r="E147" s="562"/>
      <c r="F147" s="1918"/>
      <c r="G147" s="526"/>
    </row>
    <row r="148" spans="1:7" x14ac:dyDescent="0.25">
      <c r="A148" s="383"/>
      <c r="B148" s="529"/>
      <c r="C148" s="530"/>
      <c r="D148" s="561"/>
      <c r="E148" s="562"/>
      <c r="F148" s="1918"/>
      <c r="G148" s="526"/>
    </row>
    <row r="149" spans="1:7" x14ac:dyDescent="0.25">
      <c r="A149" s="383"/>
      <c r="B149" s="529"/>
      <c r="C149" s="530"/>
      <c r="D149" s="561"/>
      <c r="E149" s="562"/>
      <c r="F149" s="1918"/>
      <c r="G149" s="526"/>
    </row>
    <row r="150" spans="1:7" x14ac:dyDescent="0.25">
      <c r="A150" s="383"/>
      <c r="B150" s="529"/>
      <c r="C150" s="530"/>
      <c r="D150" s="561"/>
      <c r="E150" s="562"/>
      <c r="F150" s="1918"/>
      <c r="G150" s="526"/>
    </row>
    <row r="151" spans="1:7" x14ac:dyDescent="0.25">
      <c r="A151" s="383"/>
      <c r="B151" s="529"/>
      <c r="C151" s="530"/>
      <c r="D151" s="561"/>
      <c r="E151" s="562"/>
      <c r="F151" s="1918"/>
      <c r="G151" s="526"/>
    </row>
    <row r="152" spans="1:7" x14ac:dyDescent="0.25">
      <c r="A152" s="383"/>
      <c r="B152" s="529"/>
      <c r="C152" s="530"/>
      <c r="D152" s="561"/>
      <c r="E152" s="562"/>
      <c r="F152" s="1918"/>
      <c r="G152" s="526"/>
    </row>
    <row r="153" spans="1:7" x14ac:dyDescent="0.25">
      <c r="A153" s="383"/>
      <c r="B153" s="529"/>
      <c r="C153" s="530"/>
      <c r="D153" s="561"/>
      <c r="E153" s="562"/>
      <c r="F153" s="1918"/>
      <c r="G153" s="526"/>
    </row>
    <row r="154" spans="1:7" x14ac:dyDescent="0.25">
      <c r="A154" s="383"/>
      <c r="B154" s="529"/>
      <c r="C154" s="530"/>
      <c r="D154" s="561"/>
      <c r="E154" s="562"/>
      <c r="F154" s="1918"/>
      <c r="G154" s="526"/>
    </row>
    <row r="155" spans="1:7" x14ac:dyDescent="0.25">
      <c r="A155" s="383"/>
      <c r="B155" s="529"/>
      <c r="C155" s="530"/>
      <c r="D155" s="561"/>
      <c r="E155" s="562"/>
      <c r="F155" s="1918"/>
      <c r="G155" s="526"/>
    </row>
    <row r="156" spans="1:7" x14ac:dyDescent="0.25">
      <c r="A156" s="383"/>
      <c r="B156" s="529"/>
      <c r="C156" s="530"/>
      <c r="D156" s="561"/>
      <c r="E156" s="562"/>
      <c r="F156" s="1918"/>
      <c r="G156" s="526"/>
    </row>
    <row r="157" spans="1:7" x14ac:dyDescent="0.25">
      <c r="A157" s="383"/>
      <c r="B157" s="529"/>
      <c r="C157" s="530"/>
      <c r="D157" s="561"/>
      <c r="E157" s="562"/>
      <c r="F157" s="1918"/>
      <c r="G157" s="526"/>
    </row>
    <row r="158" spans="1:7" x14ac:dyDescent="0.25">
      <c r="A158" s="563" t="s">
        <v>62</v>
      </c>
      <c r="B158" s="529"/>
      <c r="C158" s="530"/>
      <c r="D158" s="561"/>
      <c r="E158" s="562"/>
      <c r="F158" s="1918"/>
      <c r="G158" s="526"/>
    </row>
    <row r="159" spans="1:7" x14ac:dyDescent="0.25">
      <c r="A159" s="564"/>
      <c r="B159" s="565"/>
      <c r="C159" s="566" t="s">
        <v>63</v>
      </c>
      <c r="D159" s="567"/>
      <c r="E159" s="568"/>
      <c r="F159" s="1919"/>
      <c r="G159" s="565"/>
    </row>
    <row r="160" spans="1:7" x14ac:dyDescent="0.25">
      <c r="A160" s="383"/>
      <c r="B160" s="526"/>
      <c r="C160" s="563"/>
      <c r="D160" s="561"/>
      <c r="E160" s="562"/>
      <c r="F160" s="1918"/>
      <c r="G160" s="526"/>
    </row>
    <row r="161" spans="1:7" x14ac:dyDescent="0.25">
      <c r="A161" s="383"/>
      <c r="B161" s="537" t="s">
        <v>20</v>
      </c>
      <c r="C161" s="538" t="s">
        <v>21</v>
      </c>
      <c r="D161" s="561"/>
      <c r="E161" s="562"/>
      <c r="F161" s="1918"/>
      <c r="G161" s="526"/>
    </row>
    <row r="162" spans="1:7" x14ac:dyDescent="0.25">
      <c r="A162" s="383"/>
      <c r="B162" s="526"/>
      <c r="C162" s="526"/>
      <c r="D162" s="561"/>
      <c r="E162" s="562"/>
      <c r="F162" s="1918"/>
      <c r="G162" s="526"/>
    </row>
    <row r="163" spans="1:7" x14ac:dyDescent="0.25">
      <c r="A163" s="444"/>
      <c r="B163" s="569" t="s">
        <v>26</v>
      </c>
      <c r="C163" s="570" t="s">
        <v>27</v>
      </c>
      <c r="D163" s="569" t="s">
        <v>28</v>
      </c>
      <c r="E163" s="571" t="s">
        <v>29</v>
      </c>
      <c r="F163" s="1920" t="s">
        <v>30</v>
      </c>
      <c r="G163" s="572" t="s">
        <v>31</v>
      </c>
    </row>
    <row r="164" spans="1:7" x14ac:dyDescent="0.25">
      <c r="A164" s="444"/>
      <c r="B164" s="444"/>
      <c r="C164" s="573"/>
      <c r="D164" s="444"/>
      <c r="E164" s="528"/>
      <c r="F164" s="1921"/>
      <c r="G164" s="446"/>
    </row>
    <row r="165" spans="1:7" x14ac:dyDescent="0.25">
      <c r="A165" s="574"/>
      <c r="B165" s="575" t="s">
        <v>22</v>
      </c>
      <c r="C165" s="576" t="s">
        <v>23</v>
      </c>
      <c r="D165" s="308"/>
      <c r="E165" s="577"/>
      <c r="F165" s="1922"/>
      <c r="G165" s="577"/>
    </row>
    <row r="166" spans="1:7" x14ac:dyDescent="0.25">
      <c r="A166" s="574"/>
      <c r="B166" s="578"/>
      <c r="C166" s="579"/>
      <c r="D166" s="308"/>
      <c r="E166" s="577"/>
      <c r="F166" s="1922"/>
      <c r="G166" s="577"/>
    </row>
    <row r="167" spans="1:7" ht="60" x14ac:dyDescent="0.25">
      <c r="A167" s="580"/>
      <c r="B167" s="4" t="s">
        <v>32</v>
      </c>
      <c r="C167" s="4" t="s">
        <v>1590</v>
      </c>
      <c r="D167" s="308" t="s">
        <v>71</v>
      </c>
      <c r="E167" s="577">
        <v>200</v>
      </c>
      <c r="F167" s="1922"/>
      <c r="G167" s="1569">
        <f>ROUND(E167*F167,2)</f>
        <v>0</v>
      </c>
    </row>
    <row r="168" spans="1:7" x14ac:dyDescent="0.25">
      <c r="A168" s="580"/>
      <c r="B168" s="4"/>
      <c r="C168" s="109"/>
      <c r="D168" s="308"/>
      <c r="E168" s="577"/>
      <c r="F168" s="1922"/>
      <c r="G168" s="577"/>
    </row>
    <row r="169" spans="1:7" x14ac:dyDescent="0.25">
      <c r="A169" s="580"/>
      <c r="B169" s="578" t="s">
        <v>35</v>
      </c>
      <c r="C169" s="307" t="s">
        <v>840</v>
      </c>
      <c r="D169" s="308" t="s">
        <v>235</v>
      </c>
      <c r="E169" s="577">
        <v>80</v>
      </c>
      <c r="F169" s="1922"/>
      <c r="G169" s="1569">
        <f>ROUND(E169*F169,2)</f>
        <v>0</v>
      </c>
    </row>
    <row r="170" spans="1:7" x14ac:dyDescent="0.25">
      <c r="A170" s="574"/>
      <c r="B170" s="578"/>
      <c r="C170" s="307"/>
      <c r="D170" s="308"/>
      <c r="E170" s="577"/>
      <c r="F170" s="1922"/>
      <c r="G170" s="577"/>
    </row>
    <row r="171" spans="1:7" x14ac:dyDescent="0.25">
      <c r="A171" s="574"/>
      <c r="B171" s="308"/>
      <c r="C171" s="1574" t="s">
        <v>59</v>
      </c>
      <c r="D171" s="1591"/>
      <c r="E171" s="1592"/>
      <c r="F171" s="1923"/>
      <c r="G171" s="1592">
        <f>SUM(G167:G169)</f>
        <v>0</v>
      </c>
    </row>
    <row r="172" spans="1:7" x14ac:dyDescent="0.25">
      <c r="A172" s="574"/>
      <c r="B172" s="308"/>
      <c r="C172" s="582"/>
      <c r="D172" s="308"/>
      <c r="E172" s="577"/>
      <c r="F172" s="1922"/>
      <c r="G172" s="577"/>
    </row>
    <row r="173" spans="1:7" x14ac:dyDescent="0.25">
      <c r="A173" s="574"/>
      <c r="B173" s="575" t="s">
        <v>24</v>
      </c>
      <c r="C173" s="377" t="s">
        <v>117</v>
      </c>
      <c r="D173" s="308"/>
      <c r="E173" s="577"/>
      <c r="F173" s="1922"/>
      <c r="G173" s="577"/>
    </row>
    <row r="174" spans="1:7" x14ac:dyDescent="0.25">
      <c r="A174" s="580"/>
      <c r="B174" s="578"/>
      <c r="C174" s="307"/>
      <c r="D174" s="308"/>
      <c r="E174" s="577"/>
      <c r="F174" s="1922"/>
      <c r="G174" s="577"/>
    </row>
    <row r="175" spans="1:7" ht="72.75" x14ac:dyDescent="0.25">
      <c r="A175" s="580"/>
      <c r="B175" s="4" t="s">
        <v>32</v>
      </c>
      <c r="C175" s="109" t="s">
        <v>841</v>
      </c>
      <c r="D175" s="308" t="s">
        <v>235</v>
      </c>
      <c r="E175" s="577">
        <v>200</v>
      </c>
      <c r="F175" s="1922"/>
      <c r="G175" s="1569">
        <f>ROUND(E175*F175,2)</f>
        <v>0</v>
      </c>
    </row>
    <row r="176" spans="1:7" x14ac:dyDescent="0.25">
      <c r="A176" s="574"/>
      <c r="B176" s="578"/>
      <c r="C176" s="307"/>
      <c r="D176" s="308"/>
      <c r="E176" s="577"/>
      <c r="F176" s="1922"/>
      <c r="G176" s="577"/>
    </row>
    <row r="177" spans="1:7" x14ac:dyDescent="0.25">
      <c r="A177" s="574"/>
      <c r="B177" s="308"/>
      <c r="C177" s="1574" t="s">
        <v>150</v>
      </c>
      <c r="D177" s="1591"/>
      <c r="E177" s="1592"/>
      <c r="F177" s="1923"/>
      <c r="G177" s="1592">
        <f>SUM(G175:G175)</f>
        <v>0</v>
      </c>
    </row>
    <row r="178" spans="1:7" x14ac:dyDescent="0.25">
      <c r="A178" s="530"/>
      <c r="B178" s="583"/>
      <c r="C178" s="579"/>
      <c r="D178" s="308"/>
      <c r="E178" s="577"/>
      <c r="F178" s="1922"/>
      <c r="G178" s="577"/>
    </row>
    <row r="179" spans="1:7" x14ac:dyDescent="0.25">
      <c r="A179" s="580"/>
      <c r="B179" s="575" t="s">
        <v>61</v>
      </c>
      <c r="C179" s="579" t="s">
        <v>92</v>
      </c>
      <c r="D179" s="308"/>
      <c r="E179" s="577"/>
      <c r="F179" s="1922"/>
      <c r="G179" s="577"/>
    </row>
    <row r="180" spans="1:7" x14ac:dyDescent="0.25">
      <c r="A180" s="580"/>
      <c r="B180" s="4"/>
      <c r="C180" s="109"/>
      <c r="D180" s="308"/>
      <c r="E180" s="577"/>
      <c r="F180" s="1922"/>
      <c r="G180" s="577"/>
    </row>
    <row r="181" spans="1:7" ht="24" x14ac:dyDescent="0.25">
      <c r="A181" s="580"/>
      <c r="B181" s="106" t="s">
        <v>32</v>
      </c>
      <c r="C181" s="307" t="s">
        <v>838</v>
      </c>
      <c r="D181" s="308" t="s">
        <v>71</v>
      </c>
      <c r="E181" s="577">
        <v>480</v>
      </c>
      <c r="F181" s="1922"/>
      <c r="G181" s="1569">
        <f>ROUND(E181*F181,2)</f>
        <v>0</v>
      </c>
    </row>
    <row r="182" spans="1:7" x14ac:dyDescent="0.25">
      <c r="A182" s="580"/>
      <c r="B182" s="582"/>
      <c r="C182" s="307"/>
      <c r="D182" s="308"/>
      <c r="E182" s="577"/>
      <c r="F182" s="1922"/>
      <c r="G182" s="577"/>
    </row>
    <row r="183" spans="1:7" ht="24" x14ac:dyDescent="0.25">
      <c r="A183" s="580"/>
      <c r="B183" s="106" t="s">
        <v>35</v>
      </c>
      <c r="C183" s="96" t="s">
        <v>839</v>
      </c>
      <c r="D183" s="308" t="s">
        <v>71</v>
      </c>
      <c r="E183" s="577">
        <v>480</v>
      </c>
      <c r="F183" s="1922"/>
      <c r="G183" s="1569">
        <f>ROUND(E183*F183,2)</f>
        <v>0</v>
      </c>
    </row>
    <row r="184" spans="1:7" x14ac:dyDescent="0.25">
      <c r="A184" s="580"/>
      <c r="B184" s="308"/>
      <c r="C184" s="582"/>
      <c r="D184" s="308"/>
      <c r="E184" s="577"/>
      <c r="F184" s="1922"/>
      <c r="G184" s="577"/>
    </row>
    <row r="185" spans="1:7" x14ac:dyDescent="0.25">
      <c r="A185" s="574"/>
      <c r="B185" s="308"/>
      <c r="C185" s="1574" t="s">
        <v>111</v>
      </c>
      <c r="D185" s="1591"/>
      <c r="E185" s="1592"/>
      <c r="F185" s="1923"/>
      <c r="G185" s="1592">
        <f>SUM(G181:G184)</f>
        <v>0</v>
      </c>
    </row>
    <row r="186" spans="1:7" x14ac:dyDescent="0.25">
      <c r="A186" s="574"/>
      <c r="B186" s="308"/>
      <c r="C186" s="102"/>
      <c r="D186" s="308"/>
      <c r="E186" s="577"/>
      <c r="F186" s="1922"/>
      <c r="G186" s="577"/>
    </row>
    <row r="187" spans="1:7" x14ac:dyDescent="0.25">
      <c r="A187" s="526"/>
      <c r="B187" s="526"/>
      <c r="C187" s="527"/>
      <c r="D187" s="444"/>
      <c r="E187" s="528"/>
      <c r="F187" s="1910"/>
      <c r="G187" s="529"/>
    </row>
    <row r="188" spans="1:7" ht="18" x14ac:dyDescent="0.25">
      <c r="A188" s="1703" t="s">
        <v>842</v>
      </c>
      <c r="B188" s="1702"/>
      <c r="C188" s="1702"/>
      <c r="D188" s="1702"/>
      <c r="E188" s="1702"/>
      <c r="F188" s="1911"/>
      <c r="G188" s="1702"/>
    </row>
    <row r="189" spans="1:7" x14ac:dyDescent="0.25">
      <c r="A189" s="531"/>
      <c r="B189" s="532"/>
      <c r="C189" s="533"/>
      <c r="D189" s="534"/>
      <c r="E189" s="535"/>
      <c r="F189" s="1912"/>
      <c r="G189" s="532"/>
    </row>
    <row r="190" spans="1:7" x14ac:dyDescent="0.25">
      <c r="A190" s="536"/>
      <c r="B190" s="537" t="s">
        <v>20</v>
      </c>
      <c r="C190" s="538" t="s">
        <v>21</v>
      </c>
      <c r="D190" s="539"/>
      <c r="E190" s="540"/>
      <c r="F190" s="1913"/>
      <c r="G190" s="541"/>
    </row>
    <row r="191" spans="1:7" x14ac:dyDescent="0.25">
      <c r="A191" s="536"/>
      <c r="B191" s="537"/>
      <c r="C191" s="538"/>
      <c r="D191" s="539"/>
      <c r="E191" s="540"/>
      <c r="F191" s="1913"/>
      <c r="G191" s="541"/>
    </row>
    <row r="192" spans="1:7" x14ac:dyDescent="0.25">
      <c r="A192" s="536"/>
      <c r="B192" s="544" t="s">
        <v>22</v>
      </c>
      <c r="C192" s="545" t="s">
        <v>23</v>
      </c>
      <c r="D192" s="447"/>
      <c r="E192" s="546"/>
      <c r="F192" s="1914"/>
      <c r="G192" s="1588">
        <f>G258</f>
        <v>0</v>
      </c>
    </row>
    <row r="193" spans="1:7" x14ac:dyDescent="0.25">
      <c r="A193" s="536"/>
      <c r="B193" s="544" t="s">
        <v>24</v>
      </c>
      <c r="C193" s="545" t="s">
        <v>60</v>
      </c>
      <c r="D193" s="447"/>
      <c r="E193" s="546"/>
      <c r="F193" s="1914"/>
      <c r="G193" s="1588">
        <f>G284</f>
        <v>0</v>
      </c>
    </row>
    <row r="194" spans="1:7" x14ac:dyDescent="0.25">
      <c r="A194" s="536"/>
      <c r="B194" s="544" t="s">
        <v>61</v>
      </c>
      <c r="C194" s="545" t="s">
        <v>112</v>
      </c>
      <c r="D194" s="447"/>
      <c r="E194" s="546"/>
      <c r="F194" s="1914"/>
      <c r="G194" s="1588">
        <f>G298</f>
        <v>0</v>
      </c>
    </row>
    <row r="195" spans="1:7" x14ac:dyDescent="0.25">
      <c r="A195" s="536"/>
      <c r="B195" s="544" t="s">
        <v>93</v>
      </c>
      <c r="C195" s="545" t="s">
        <v>113</v>
      </c>
      <c r="D195" s="447"/>
      <c r="E195" s="546"/>
      <c r="F195" s="1914"/>
      <c r="G195" s="1588">
        <f>G312</f>
        <v>0</v>
      </c>
    </row>
    <row r="196" spans="1:7" x14ac:dyDescent="0.25">
      <c r="A196" s="536"/>
      <c r="B196" s="544" t="s">
        <v>114</v>
      </c>
      <c r="C196" s="545" t="s">
        <v>115</v>
      </c>
      <c r="D196" s="447"/>
      <c r="E196" s="546"/>
      <c r="F196" s="1914"/>
      <c r="G196" s="1588">
        <f>G340</f>
        <v>0</v>
      </c>
    </row>
    <row r="197" spans="1:7" x14ac:dyDescent="0.25">
      <c r="A197" s="536"/>
      <c r="B197" s="544" t="s">
        <v>116</v>
      </c>
      <c r="C197" s="545" t="s">
        <v>92</v>
      </c>
      <c r="D197" s="447"/>
      <c r="E197" s="546"/>
      <c r="F197" s="1914"/>
      <c r="G197" s="1588">
        <f>G354</f>
        <v>0</v>
      </c>
    </row>
    <row r="198" spans="1:7" x14ac:dyDescent="0.25">
      <c r="A198" s="536"/>
      <c r="B198" s="537"/>
      <c r="C198" s="547"/>
      <c r="D198" s="548"/>
      <c r="E198" s="549"/>
      <c r="F198" s="1915"/>
      <c r="G198" s="1589"/>
    </row>
    <row r="199" spans="1:7" ht="15.75" thickBot="1" x14ac:dyDescent="0.3">
      <c r="A199" s="550"/>
      <c r="B199" s="551"/>
      <c r="C199" s="552" t="s">
        <v>119</v>
      </c>
      <c r="D199" s="553"/>
      <c r="E199" s="554"/>
      <c r="F199" s="1916"/>
      <c r="G199" s="1590">
        <f>SUM(G192:G197)</f>
        <v>0</v>
      </c>
    </row>
    <row r="200" spans="1:7" ht="15.75" thickTop="1" x14ac:dyDescent="0.25">
      <c r="A200" s="556"/>
      <c r="B200" s="557"/>
      <c r="C200" s="558"/>
      <c r="D200" s="408"/>
      <c r="E200" s="559"/>
      <c r="F200" s="1917"/>
      <c r="G200" s="560"/>
    </row>
    <row r="201" spans="1:7" x14ac:dyDescent="0.25">
      <c r="A201" s="556"/>
      <c r="B201" s="557"/>
      <c r="C201" s="558"/>
      <c r="D201" s="408"/>
      <c r="E201" s="559"/>
      <c r="F201" s="1917"/>
      <c r="G201" s="560"/>
    </row>
    <row r="202" spans="1:7" x14ac:dyDescent="0.25">
      <c r="A202" s="556"/>
      <c r="B202" s="557"/>
      <c r="C202" s="558"/>
      <c r="D202" s="408"/>
      <c r="E202" s="559"/>
      <c r="F202" s="1917"/>
      <c r="G202" s="560"/>
    </row>
    <row r="203" spans="1:7" x14ac:dyDescent="0.25">
      <c r="A203" s="556"/>
      <c r="B203" s="557"/>
      <c r="C203" s="558"/>
      <c r="D203" s="408"/>
      <c r="E203" s="559"/>
      <c r="F203" s="1917"/>
      <c r="G203" s="560"/>
    </row>
    <row r="204" spans="1:7" x14ac:dyDescent="0.25">
      <c r="A204" s="556"/>
      <c r="B204" s="557"/>
      <c r="C204" s="558"/>
      <c r="D204" s="408"/>
      <c r="E204" s="559"/>
      <c r="F204" s="1917"/>
      <c r="G204" s="560"/>
    </row>
    <row r="205" spans="1:7" x14ac:dyDescent="0.25">
      <c r="A205" s="556"/>
      <c r="B205" s="557"/>
      <c r="C205" s="558"/>
      <c r="D205" s="408"/>
      <c r="E205" s="559"/>
      <c r="F205" s="1917"/>
      <c r="G205" s="560"/>
    </row>
    <row r="206" spans="1:7" x14ac:dyDescent="0.25">
      <c r="A206" s="556"/>
      <c r="B206" s="557"/>
      <c r="C206" s="558"/>
      <c r="D206" s="408"/>
      <c r="E206" s="559"/>
      <c r="F206" s="1917"/>
      <c r="G206" s="560"/>
    </row>
    <row r="207" spans="1:7" x14ac:dyDescent="0.25">
      <c r="A207" s="556"/>
      <c r="B207" s="557"/>
      <c r="C207" s="558"/>
      <c r="D207" s="408"/>
      <c r="E207" s="559"/>
      <c r="F207" s="1917"/>
      <c r="G207" s="560"/>
    </row>
    <row r="208" spans="1:7" x14ac:dyDescent="0.25">
      <c r="A208" s="556"/>
      <c r="B208" s="557"/>
      <c r="C208" s="558"/>
      <c r="D208" s="408"/>
      <c r="E208" s="559"/>
      <c r="F208" s="1917"/>
      <c r="G208" s="560"/>
    </row>
    <row r="209" spans="1:7" ht="15.75" customHeight="1" x14ac:dyDescent="0.25">
      <c r="A209" s="556"/>
      <c r="B209" s="557"/>
      <c r="C209" s="558"/>
      <c r="D209" s="408"/>
      <c r="E209" s="559"/>
      <c r="F209" s="1917"/>
      <c r="G209" s="560"/>
    </row>
    <row r="210" spans="1:7" x14ac:dyDescent="0.25">
      <c r="A210" s="556"/>
      <c r="B210" s="557"/>
      <c r="C210" s="558"/>
      <c r="D210" s="408"/>
      <c r="E210" s="559"/>
      <c r="F210" s="1917"/>
      <c r="G210" s="560"/>
    </row>
    <row r="211" spans="1:7" x14ac:dyDescent="0.25">
      <c r="A211" s="383"/>
      <c r="B211" s="529"/>
      <c r="C211" s="530"/>
      <c r="D211" s="561"/>
      <c r="E211" s="562"/>
      <c r="F211" s="1918"/>
      <c r="G211" s="526"/>
    </row>
    <row r="212" spans="1:7" x14ac:dyDescent="0.25">
      <c r="A212" s="383"/>
      <c r="B212" s="529"/>
      <c r="C212" s="530"/>
      <c r="D212" s="561"/>
      <c r="E212" s="562"/>
      <c r="F212" s="1918"/>
      <c r="G212" s="526"/>
    </row>
    <row r="213" spans="1:7" x14ac:dyDescent="0.25">
      <c r="A213" s="383"/>
      <c r="B213" s="529"/>
      <c r="C213" s="530"/>
      <c r="D213" s="561"/>
      <c r="E213" s="562"/>
      <c r="F213" s="1918"/>
      <c r="G213" s="526"/>
    </row>
    <row r="214" spans="1:7" x14ac:dyDescent="0.25">
      <c r="A214" s="383"/>
      <c r="B214" s="529"/>
      <c r="C214" s="530"/>
      <c r="D214" s="561"/>
      <c r="E214" s="562"/>
      <c r="F214" s="1918"/>
      <c r="G214" s="526"/>
    </row>
    <row r="215" spans="1:7" x14ac:dyDescent="0.25">
      <c r="A215" s="383"/>
      <c r="B215" s="529"/>
      <c r="C215" s="530"/>
      <c r="D215" s="561"/>
      <c r="E215" s="562"/>
      <c r="F215" s="1918"/>
      <c r="G215" s="526"/>
    </row>
    <row r="216" spans="1:7" x14ac:dyDescent="0.25">
      <c r="A216" s="383"/>
      <c r="B216" s="529"/>
      <c r="C216" s="530"/>
      <c r="D216" s="561"/>
      <c r="E216" s="562"/>
      <c r="F216" s="1918"/>
      <c r="G216" s="526"/>
    </row>
    <row r="217" spans="1:7" x14ac:dyDescent="0.25">
      <c r="A217" s="383"/>
      <c r="B217" s="529"/>
      <c r="C217" s="530"/>
      <c r="D217" s="561"/>
      <c r="E217" s="562"/>
      <c r="F217" s="1918"/>
      <c r="G217" s="526"/>
    </row>
    <row r="218" spans="1:7" x14ac:dyDescent="0.25">
      <c r="A218" s="383"/>
      <c r="B218" s="529"/>
      <c r="C218" s="530"/>
      <c r="D218" s="561"/>
      <c r="E218" s="562"/>
      <c r="F218" s="1918"/>
      <c r="G218" s="526"/>
    </row>
    <row r="219" spans="1:7" x14ac:dyDescent="0.25">
      <c r="A219" s="383"/>
      <c r="B219" s="529"/>
      <c r="C219" s="530"/>
      <c r="D219" s="561"/>
      <c r="E219" s="562"/>
      <c r="F219" s="1918"/>
      <c r="G219" s="526"/>
    </row>
    <row r="220" spans="1:7" x14ac:dyDescent="0.25">
      <c r="A220" s="383"/>
      <c r="B220" s="529"/>
      <c r="C220" s="530"/>
      <c r="D220" s="561"/>
      <c r="E220" s="562"/>
      <c r="F220" s="1918"/>
      <c r="G220" s="526"/>
    </row>
    <row r="221" spans="1:7" x14ac:dyDescent="0.25">
      <c r="A221" s="383"/>
      <c r="B221" s="529"/>
      <c r="C221" s="530"/>
      <c r="D221" s="561"/>
      <c r="E221" s="562"/>
      <c r="F221" s="1918"/>
      <c r="G221" s="526"/>
    </row>
    <row r="222" spans="1:7" x14ac:dyDescent="0.25">
      <c r="A222" s="383"/>
      <c r="B222" s="529"/>
      <c r="C222" s="530"/>
      <c r="D222" s="561"/>
      <c r="E222" s="562"/>
      <c r="F222" s="1918"/>
      <c r="G222" s="526"/>
    </row>
    <row r="223" spans="1:7" x14ac:dyDescent="0.25">
      <c r="A223" s="383"/>
      <c r="B223" s="529"/>
      <c r="C223" s="530"/>
      <c r="D223" s="561"/>
      <c r="E223" s="562"/>
      <c r="F223" s="1918"/>
      <c r="G223" s="526"/>
    </row>
    <row r="224" spans="1:7" x14ac:dyDescent="0.25">
      <c r="A224" s="383"/>
      <c r="B224" s="529"/>
      <c r="C224" s="530"/>
      <c r="D224" s="561"/>
      <c r="E224" s="562"/>
      <c r="F224" s="1918"/>
      <c r="G224" s="526"/>
    </row>
    <row r="225" spans="1:7" x14ac:dyDescent="0.25">
      <c r="A225" s="383"/>
      <c r="B225" s="529"/>
      <c r="C225" s="530"/>
      <c r="D225" s="561"/>
      <c r="E225" s="562"/>
      <c r="F225" s="1918"/>
      <c r="G225" s="526"/>
    </row>
    <row r="226" spans="1:7" x14ac:dyDescent="0.25">
      <c r="A226" s="383"/>
      <c r="B226" s="529"/>
      <c r="C226" s="530"/>
      <c r="D226" s="561"/>
      <c r="E226" s="562"/>
      <c r="F226" s="1918"/>
      <c r="G226" s="526"/>
    </row>
    <row r="227" spans="1:7" x14ac:dyDescent="0.25">
      <c r="A227" s="383"/>
      <c r="B227" s="529"/>
      <c r="C227" s="530"/>
      <c r="D227" s="561"/>
      <c r="E227" s="562"/>
      <c r="F227" s="1918"/>
      <c r="G227" s="526"/>
    </row>
    <row r="228" spans="1:7" x14ac:dyDescent="0.25">
      <c r="A228" s="383"/>
      <c r="B228" s="529"/>
      <c r="C228" s="530"/>
      <c r="D228" s="561"/>
      <c r="E228" s="562"/>
      <c r="F228" s="1918"/>
      <c r="G228" s="526"/>
    </row>
    <row r="229" spans="1:7" x14ac:dyDescent="0.25">
      <c r="A229" s="383"/>
      <c r="B229" s="529"/>
      <c r="C229" s="530"/>
      <c r="D229" s="561"/>
      <c r="E229" s="562"/>
      <c r="F229" s="1918"/>
      <c r="G229" s="526"/>
    </row>
    <row r="230" spans="1:7" x14ac:dyDescent="0.25">
      <c r="A230" s="383"/>
      <c r="B230" s="529"/>
      <c r="C230" s="530"/>
      <c r="D230" s="561"/>
      <c r="E230" s="562"/>
      <c r="F230" s="1918"/>
      <c r="G230" s="526"/>
    </row>
    <row r="231" spans="1:7" x14ac:dyDescent="0.25">
      <c r="A231" s="383"/>
      <c r="B231" s="529"/>
      <c r="C231" s="530"/>
      <c r="D231" s="561"/>
      <c r="E231" s="562"/>
      <c r="F231" s="1918"/>
      <c r="G231" s="526"/>
    </row>
    <row r="232" spans="1:7" x14ac:dyDescent="0.25">
      <c r="A232" s="383"/>
      <c r="B232" s="529"/>
      <c r="C232" s="530"/>
      <c r="D232" s="561"/>
      <c r="E232" s="562"/>
      <c r="F232" s="1918"/>
      <c r="G232" s="526"/>
    </row>
    <row r="233" spans="1:7" x14ac:dyDescent="0.25">
      <c r="A233" s="383"/>
      <c r="B233" s="529"/>
      <c r="C233" s="530"/>
      <c r="D233" s="561"/>
      <c r="E233" s="562"/>
      <c r="F233" s="1918"/>
      <c r="G233" s="526"/>
    </row>
    <row r="234" spans="1:7" x14ac:dyDescent="0.25">
      <c r="A234" s="383"/>
      <c r="B234" s="529"/>
      <c r="C234" s="530"/>
      <c r="D234" s="561"/>
      <c r="E234" s="562"/>
      <c r="F234" s="1918"/>
      <c r="G234" s="526"/>
    </row>
    <row r="235" spans="1:7" x14ac:dyDescent="0.25">
      <c r="A235" s="383"/>
      <c r="B235" s="529"/>
      <c r="C235" s="530"/>
      <c r="D235" s="561"/>
      <c r="E235" s="562"/>
      <c r="F235" s="1918"/>
      <c r="G235" s="526"/>
    </row>
    <row r="236" spans="1:7" x14ac:dyDescent="0.25">
      <c r="A236" s="383"/>
      <c r="B236" s="529"/>
      <c r="C236" s="530"/>
      <c r="D236" s="561"/>
      <c r="E236" s="562"/>
      <c r="F236" s="1918"/>
      <c r="G236" s="526"/>
    </row>
    <row r="237" spans="1:7" x14ac:dyDescent="0.25">
      <c r="A237" s="383"/>
      <c r="B237" s="529"/>
      <c r="C237" s="530"/>
      <c r="D237" s="561"/>
      <c r="E237" s="562"/>
      <c r="F237" s="1918"/>
      <c r="G237" s="526"/>
    </row>
    <row r="238" spans="1:7" x14ac:dyDescent="0.25">
      <c r="A238" s="563" t="s">
        <v>62</v>
      </c>
      <c r="B238" s="529"/>
      <c r="C238" s="530"/>
      <c r="D238" s="561"/>
      <c r="E238" s="562"/>
      <c r="F238" s="1918"/>
      <c r="G238" s="526"/>
    </row>
    <row r="239" spans="1:7" x14ac:dyDescent="0.25">
      <c r="A239" s="564"/>
      <c r="B239" s="565"/>
      <c r="C239" s="566" t="s">
        <v>63</v>
      </c>
      <c r="D239" s="567"/>
      <c r="E239" s="568"/>
      <c r="F239" s="1919"/>
      <c r="G239" s="565"/>
    </row>
    <row r="240" spans="1:7" x14ac:dyDescent="0.25">
      <c r="A240" s="383"/>
      <c r="B240" s="526"/>
      <c r="C240" s="563"/>
      <c r="D240" s="561"/>
      <c r="E240" s="562"/>
      <c r="F240" s="1918"/>
      <c r="G240" s="526"/>
    </row>
    <row r="241" spans="1:7" x14ac:dyDescent="0.25">
      <c r="A241" s="383"/>
      <c r="B241" s="537" t="s">
        <v>20</v>
      </c>
      <c r="C241" s="538" t="s">
        <v>21</v>
      </c>
      <c r="D241" s="561"/>
      <c r="E241" s="562"/>
      <c r="F241" s="1918"/>
      <c r="G241" s="526"/>
    </row>
    <row r="242" spans="1:7" x14ac:dyDescent="0.25">
      <c r="A242" s="383"/>
      <c r="B242" s="526"/>
      <c r="C242" s="526"/>
      <c r="D242" s="561"/>
      <c r="E242" s="562"/>
      <c r="F242" s="1918"/>
      <c r="G242" s="526"/>
    </row>
    <row r="243" spans="1:7" x14ac:dyDescent="0.25">
      <c r="A243" s="444"/>
      <c r="B243" s="569" t="s">
        <v>26</v>
      </c>
      <c r="C243" s="570" t="s">
        <v>27</v>
      </c>
      <c r="D243" s="569" t="s">
        <v>28</v>
      </c>
      <c r="E243" s="571" t="s">
        <v>29</v>
      </c>
      <c r="F243" s="1920" t="s">
        <v>30</v>
      </c>
      <c r="G243" s="572" t="s">
        <v>31</v>
      </c>
    </row>
    <row r="244" spans="1:7" x14ac:dyDescent="0.25">
      <c r="A244" s="444"/>
      <c r="B244" s="444"/>
      <c r="C244" s="573"/>
      <c r="D244" s="444"/>
      <c r="E244" s="528"/>
      <c r="F244" s="1921"/>
      <c r="G244" s="446"/>
    </row>
    <row r="245" spans="1:7" x14ac:dyDescent="0.25">
      <c r="A245" s="574"/>
      <c r="B245" s="575" t="s">
        <v>22</v>
      </c>
      <c r="C245" s="576" t="s">
        <v>23</v>
      </c>
      <c r="D245" s="308"/>
      <c r="E245" s="577"/>
      <c r="F245" s="1922"/>
      <c r="G245" s="577"/>
    </row>
    <row r="246" spans="1:7" x14ac:dyDescent="0.25">
      <c r="A246" s="574"/>
      <c r="B246" s="578"/>
      <c r="C246" s="579"/>
      <c r="D246" s="308"/>
      <c r="E246" s="577"/>
      <c r="F246" s="1922"/>
      <c r="G246" s="577"/>
    </row>
    <row r="247" spans="1:7" x14ac:dyDescent="0.25">
      <c r="A247" s="580"/>
      <c r="B247" s="582" t="s">
        <v>32</v>
      </c>
      <c r="C247" s="5" t="s">
        <v>843</v>
      </c>
      <c r="D247" s="1" t="s">
        <v>1591</v>
      </c>
      <c r="E247" s="2">
        <v>1</v>
      </c>
      <c r="F247" s="1742"/>
      <c r="G247" s="1569">
        <f>ROUND(E247*F247,2)</f>
        <v>0</v>
      </c>
    </row>
    <row r="248" spans="1:7" x14ac:dyDescent="0.25">
      <c r="A248" s="574"/>
      <c r="B248" s="4"/>
      <c r="C248" s="5"/>
      <c r="D248" s="1"/>
      <c r="E248" s="2"/>
      <c r="F248" s="1742"/>
      <c r="G248" s="577"/>
    </row>
    <row r="249" spans="1:7" ht="48" x14ac:dyDescent="0.25">
      <c r="A249" s="580"/>
      <c r="B249" s="582" t="s">
        <v>35</v>
      </c>
      <c r="C249" s="96" t="s">
        <v>1592</v>
      </c>
      <c r="D249" s="1" t="s">
        <v>235</v>
      </c>
      <c r="E249" s="2">
        <v>50</v>
      </c>
      <c r="F249" s="1742"/>
      <c r="G249" s="1569">
        <f>ROUND(E249*F249,2)</f>
        <v>0</v>
      </c>
    </row>
    <row r="250" spans="1:7" x14ac:dyDescent="0.25">
      <c r="A250" s="574"/>
      <c r="B250" s="4"/>
      <c r="C250" s="5"/>
      <c r="D250" s="1"/>
      <c r="E250" s="2"/>
      <c r="F250" s="1742"/>
      <c r="G250" s="577"/>
    </row>
    <row r="251" spans="1:7" x14ac:dyDescent="0.25">
      <c r="A251" s="580"/>
      <c r="B251" s="582" t="s">
        <v>37</v>
      </c>
      <c r="C251" s="103" t="s">
        <v>844</v>
      </c>
      <c r="D251" s="1"/>
      <c r="E251" s="2"/>
      <c r="F251" s="1742"/>
      <c r="G251" s="577"/>
    </row>
    <row r="252" spans="1:7" ht="24" x14ac:dyDescent="0.25">
      <c r="A252" s="574"/>
      <c r="B252" s="578" t="s">
        <v>97</v>
      </c>
      <c r="C252" s="4" t="s">
        <v>845</v>
      </c>
      <c r="D252" s="1" t="s">
        <v>69</v>
      </c>
      <c r="E252" s="2">
        <v>10</v>
      </c>
      <c r="F252" s="1742"/>
      <c r="G252" s="1569">
        <f>ROUND(E252*F252,2)</f>
        <v>0</v>
      </c>
    </row>
    <row r="253" spans="1:7" x14ac:dyDescent="0.25">
      <c r="A253" s="574"/>
      <c r="B253" s="578" t="s">
        <v>99</v>
      </c>
      <c r="C253" s="4" t="s">
        <v>846</v>
      </c>
      <c r="D253" s="1" t="s">
        <v>109</v>
      </c>
      <c r="E253" s="2">
        <v>120</v>
      </c>
      <c r="F253" s="1742"/>
      <c r="G253" s="1569">
        <f>ROUND(E253*F253,2)</f>
        <v>0</v>
      </c>
    </row>
    <row r="254" spans="1:7" x14ac:dyDescent="0.25">
      <c r="A254" s="574"/>
      <c r="B254" s="578" t="s">
        <v>124</v>
      </c>
      <c r="C254" s="4" t="s">
        <v>847</v>
      </c>
      <c r="D254" s="594" t="s">
        <v>109</v>
      </c>
      <c r="E254" s="595">
        <v>80</v>
      </c>
      <c r="F254" s="1924"/>
      <c r="G254" s="1569">
        <f>ROUND(E254*F254,2)</f>
        <v>0</v>
      </c>
    </row>
    <row r="255" spans="1:7" x14ac:dyDescent="0.25">
      <c r="A255" s="574"/>
      <c r="B255" s="578"/>
      <c r="C255" s="4"/>
      <c r="D255" s="594"/>
      <c r="E255" s="595"/>
      <c r="F255" s="1924"/>
      <c r="G255" s="577"/>
    </row>
    <row r="256" spans="1:7" x14ac:dyDescent="0.25">
      <c r="A256" s="580"/>
      <c r="B256" s="582" t="s">
        <v>40</v>
      </c>
      <c r="C256" s="5" t="s">
        <v>67</v>
      </c>
      <c r="D256" s="1" t="s">
        <v>1591</v>
      </c>
      <c r="E256" s="2">
        <v>1</v>
      </c>
      <c r="F256" s="1742"/>
      <c r="G256" s="1569">
        <f>ROUND(E256*F256,2)</f>
        <v>0</v>
      </c>
    </row>
    <row r="257" spans="1:7" x14ac:dyDescent="0.25">
      <c r="A257" s="574"/>
      <c r="B257" s="578"/>
      <c r="C257" s="307"/>
      <c r="D257" s="308"/>
      <c r="E257" s="577"/>
      <c r="F257" s="1922"/>
      <c r="G257" s="577"/>
    </row>
    <row r="258" spans="1:7" x14ac:dyDescent="0.25">
      <c r="A258" s="574"/>
      <c r="B258" s="308"/>
      <c r="C258" s="1574" t="s">
        <v>59</v>
      </c>
      <c r="D258" s="1591"/>
      <c r="E258" s="1592"/>
      <c r="F258" s="1923"/>
      <c r="G258" s="1592">
        <f>SUM(G247:G256)</f>
        <v>0</v>
      </c>
    </row>
    <row r="259" spans="1:7" x14ac:dyDescent="0.25">
      <c r="A259" s="574"/>
      <c r="B259" s="308"/>
      <c r="C259" s="582"/>
      <c r="D259" s="308"/>
      <c r="E259" s="577"/>
      <c r="F259" s="1922"/>
      <c r="G259" s="577"/>
    </row>
    <row r="260" spans="1:7" x14ac:dyDescent="0.25">
      <c r="A260" s="574"/>
      <c r="B260" s="575" t="s">
        <v>24</v>
      </c>
      <c r="C260" s="377" t="s">
        <v>60</v>
      </c>
      <c r="D260" s="308"/>
      <c r="E260" s="577"/>
      <c r="F260" s="1922"/>
      <c r="G260" s="577"/>
    </row>
    <row r="261" spans="1:7" x14ac:dyDescent="0.25">
      <c r="A261" s="574"/>
      <c r="B261" s="582"/>
      <c r="C261" s="377"/>
      <c r="D261" s="308"/>
      <c r="E261" s="577"/>
      <c r="F261" s="1922"/>
      <c r="G261" s="577"/>
    </row>
    <row r="262" spans="1:7" x14ac:dyDescent="0.25">
      <c r="A262" s="580"/>
      <c r="B262" s="582" t="s">
        <v>32</v>
      </c>
      <c r="C262" s="96" t="s">
        <v>128</v>
      </c>
      <c r="D262" s="1" t="s">
        <v>69</v>
      </c>
      <c r="E262" s="2">
        <v>110</v>
      </c>
      <c r="F262" s="1742"/>
      <c r="G262" s="1569">
        <f>ROUND(E262*F262,2)</f>
        <v>0</v>
      </c>
    </row>
    <row r="263" spans="1:7" x14ac:dyDescent="0.25">
      <c r="A263" s="574"/>
      <c r="B263" s="106"/>
      <c r="C263" s="96"/>
      <c r="D263" s="1"/>
      <c r="E263" s="2"/>
      <c r="F263" s="1742"/>
      <c r="G263" s="577"/>
    </row>
    <row r="264" spans="1:7" x14ac:dyDescent="0.25">
      <c r="A264" s="580"/>
      <c r="B264" s="582" t="s">
        <v>35</v>
      </c>
      <c r="C264" s="96" t="s">
        <v>129</v>
      </c>
      <c r="D264" s="1" t="s">
        <v>69</v>
      </c>
      <c r="E264" s="2">
        <v>1</v>
      </c>
      <c r="F264" s="1742"/>
      <c r="G264" s="1569">
        <f>ROUND(E264*F264,2)</f>
        <v>0</v>
      </c>
    </row>
    <row r="265" spans="1:7" x14ac:dyDescent="0.25">
      <c r="A265" s="574"/>
      <c r="B265" s="106"/>
      <c r="C265" s="523"/>
      <c r="D265" s="524"/>
      <c r="E265" s="525"/>
      <c r="F265" s="1742"/>
      <c r="G265" s="577"/>
    </row>
    <row r="266" spans="1:7" x14ac:dyDescent="0.25">
      <c r="A266" s="580"/>
      <c r="B266" s="582" t="s">
        <v>37</v>
      </c>
      <c r="C266" s="96" t="s">
        <v>815</v>
      </c>
      <c r="D266" s="1" t="s">
        <v>69</v>
      </c>
      <c r="E266" s="101">
        <v>1</v>
      </c>
      <c r="F266" s="1742"/>
      <c r="G266" s="1569">
        <f>ROUND(E266*F266,2)</f>
        <v>0</v>
      </c>
    </row>
    <row r="267" spans="1:7" x14ac:dyDescent="0.25">
      <c r="A267" s="574"/>
      <c r="B267" s="106"/>
      <c r="C267" s="96"/>
      <c r="D267" s="1"/>
      <c r="E267" s="101"/>
      <c r="F267" s="1742"/>
      <c r="G267" s="577"/>
    </row>
    <row r="268" spans="1:7" x14ac:dyDescent="0.25">
      <c r="A268" s="580"/>
      <c r="B268" s="582" t="s">
        <v>40</v>
      </c>
      <c r="C268" s="96" t="s">
        <v>816</v>
      </c>
      <c r="D268" s="1" t="s">
        <v>69</v>
      </c>
      <c r="E268" s="2">
        <v>1</v>
      </c>
      <c r="F268" s="1742"/>
      <c r="G268" s="1569">
        <f>ROUND(E268*F268,2)</f>
        <v>0</v>
      </c>
    </row>
    <row r="269" spans="1:7" x14ac:dyDescent="0.25">
      <c r="A269" s="574"/>
      <c r="B269" s="106"/>
      <c r="C269" s="96"/>
      <c r="D269" s="1"/>
      <c r="E269" s="2"/>
      <c r="F269" s="1742"/>
      <c r="G269" s="577"/>
    </row>
    <row r="270" spans="1:7" ht="24" x14ac:dyDescent="0.25">
      <c r="A270" s="580"/>
      <c r="B270" s="582" t="s">
        <v>42</v>
      </c>
      <c r="C270" s="96" t="s">
        <v>821</v>
      </c>
      <c r="D270" s="1" t="s">
        <v>69</v>
      </c>
      <c r="E270" s="2">
        <v>113</v>
      </c>
      <c r="F270" s="1742"/>
      <c r="G270" s="1569">
        <f>ROUND(E270*F270,2)</f>
        <v>0</v>
      </c>
    </row>
    <row r="271" spans="1:7" x14ac:dyDescent="0.25">
      <c r="A271" s="574"/>
      <c r="B271" s="106"/>
      <c r="C271" s="96"/>
      <c r="D271" s="1"/>
      <c r="E271" s="2"/>
      <c r="F271" s="1742"/>
      <c r="G271" s="577"/>
    </row>
    <row r="272" spans="1:7" ht="48" x14ac:dyDescent="0.25">
      <c r="A272" s="580"/>
      <c r="B272" s="582" t="s">
        <v>44</v>
      </c>
      <c r="C272" s="96" t="s">
        <v>848</v>
      </c>
      <c r="D272" s="1" t="s">
        <v>235</v>
      </c>
      <c r="E272" s="2">
        <v>8</v>
      </c>
      <c r="F272" s="1742"/>
      <c r="G272" s="1569">
        <f>ROUND(E272*F272,2)</f>
        <v>0</v>
      </c>
    </row>
    <row r="273" spans="1:7" x14ac:dyDescent="0.25">
      <c r="A273" s="574"/>
      <c r="B273" s="106"/>
      <c r="C273" s="96"/>
      <c r="D273" s="1"/>
      <c r="E273" s="2"/>
      <c r="F273" s="1742"/>
      <c r="G273" s="577"/>
    </row>
    <row r="274" spans="1:7" ht="60" x14ac:dyDescent="0.25">
      <c r="A274" s="580"/>
      <c r="B274" s="582" t="s">
        <v>46</v>
      </c>
      <c r="C274" s="4" t="s">
        <v>849</v>
      </c>
      <c r="D274" s="1" t="s">
        <v>69</v>
      </c>
      <c r="E274" s="2">
        <v>60</v>
      </c>
      <c r="F274" s="1742"/>
      <c r="G274" s="1569">
        <f>ROUND(E274*F274,2)</f>
        <v>0</v>
      </c>
    </row>
    <row r="275" spans="1:7" x14ac:dyDescent="0.25">
      <c r="A275" s="574"/>
      <c r="B275" s="106"/>
      <c r="C275" s="96"/>
      <c r="D275" s="1"/>
      <c r="E275" s="2"/>
      <c r="F275" s="1742"/>
      <c r="G275" s="577"/>
    </row>
    <row r="276" spans="1:7" ht="24" x14ac:dyDescent="0.25">
      <c r="A276" s="580"/>
      <c r="B276" s="582" t="s">
        <v>48</v>
      </c>
      <c r="C276" s="4" t="s">
        <v>850</v>
      </c>
      <c r="D276" s="1" t="s">
        <v>71</v>
      </c>
      <c r="E276" s="2">
        <v>23</v>
      </c>
      <c r="F276" s="1742"/>
      <c r="G276" s="1569">
        <f>ROUND(E276*F276,2)</f>
        <v>0</v>
      </c>
    </row>
    <row r="277" spans="1:7" x14ac:dyDescent="0.25">
      <c r="A277" s="574"/>
      <c r="B277" s="106"/>
      <c r="C277" s="96"/>
      <c r="D277" s="1"/>
      <c r="E277" s="2"/>
      <c r="F277" s="1742"/>
      <c r="G277" s="577"/>
    </row>
    <row r="278" spans="1:7" ht="36" x14ac:dyDescent="0.25">
      <c r="A278" s="580"/>
      <c r="B278" s="582" t="s">
        <v>50</v>
      </c>
      <c r="C278" s="4" t="s">
        <v>851</v>
      </c>
      <c r="D278" s="1" t="s">
        <v>69</v>
      </c>
      <c r="E278" s="2">
        <v>8</v>
      </c>
      <c r="F278" s="1742"/>
      <c r="G278" s="1569">
        <f>ROUND(E278*F278,2)</f>
        <v>0</v>
      </c>
    </row>
    <row r="279" spans="1:7" x14ac:dyDescent="0.25">
      <c r="A279" s="574"/>
      <c r="B279" s="106"/>
      <c r="C279" s="96"/>
      <c r="D279" s="1"/>
      <c r="E279" s="2"/>
      <c r="F279" s="1742"/>
      <c r="G279" s="577"/>
    </row>
    <row r="280" spans="1:7" ht="48" x14ac:dyDescent="0.25">
      <c r="A280" s="580"/>
      <c r="B280" s="582" t="s">
        <v>52</v>
      </c>
      <c r="C280" s="4" t="s">
        <v>852</v>
      </c>
      <c r="D280" s="1" t="s">
        <v>69</v>
      </c>
      <c r="E280" s="2">
        <v>8</v>
      </c>
      <c r="F280" s="1742"/>
      <c r="G280" s="1569">
        <f>ROUND(E280*F280,2)</f>
        <v>0</v>
      </c>
    </row>
    <row r="281" spans="1:7" x14ac:dyDescent="0.25">
      <c r="A281" s="574"/>
      <c r="B281" s="582"/>
      <c r="C281" s="377"/>
      <c r="D281" s="308"/>
      <c r="E281" s="577"/>
      <c r="F281" s="1922"/>
      <c r="G281" s="577"/>
    </row>
    <row r="282" spans="1:7" ht="36" x14ac:dyDescent="0.25">
      <c r="A282" s="580"/>
      <c r="B282" s="582" t="s">
        <v>54</v>
      </c>
      <c r="C282" s="96" t="s">
        <v>853</v>
      </c>
      <c r="D282" s="1" t="s">
        <v>69</v>
      </c>
      <c r="E282" s="2">
        <v>200</v>
      </c>
      <c r="F282" s="1742"/>
      <c r="G282" s="1569">
        <f>ROUND(E282*F282,2)</f>
        <v>0</v>
      </c>
    </row>
    <row r="283" spans="1:7" x14ac:dyDescent="0.25">
      <c r="A283" s="574"/>
      <c r="B283" s="308"/>
      <c r="C283" s="585"/>
      <c r="D283" s="586"/>
      <c r="E283" s="587"/>
      <c r="F283" s="1925"/>
      <c r="G283" s="587"/>
    </row>
    <row r="284" spans="1:7" x14ac:dyDescent="0.25">
      <c r="A284" s="574"/>
      <c r="B284" s="308"/>
      <c r="C284" s="3" t="s">
        <v>75</v>
      </c>
      <c r="D284" s="586"/>
      <c r="E284" s="587"/>
      <c r="F284" s="1925"/>
      <c r="G284" s="587">
        <f>SUM(G262:G282)</f>
        <v>0</v>
      </c>
    </row>
    <row r="285" spans="1:7" x14ac:dyDescent="0.25">
      <c r="A285" s="574"/>
      <c r="B285" s="308"/>
      <c r="C285" s="107"/>
      <c r="D285" s="308"/>
      <c r="E285" s="577"/>
      <c r="F285" s="1922"/>
      <c r="G285" s="596"/>
    </row>
    <row r="286" spans="1:7" x14ac:dyDescent="0.25">
      <c r="A286" s="574"/>
      <c r="B286" s="575" t="s">
        <v>61</v>
      </c>
      <c r="C286" s="377" t="s">
        <v>112</v>
      </c>
      <c r="D286" s="308"/>
      <c r="E286" s="577"/>
      <c r="F286" s="1922"/>
      <c r="G286" s="577"/>
    </row>
    <row r="287" spans="1:7" x14ac:dyDescent="0.25">
      <c r="A287" s="574"/>
      <c r="B287" s="106"/>
      <c r="C287" s="4"/>
      <c r="D287" s="1"/>
      <c r="E287" s="2"/>
      <c r="F287" s="1742"/>
      <c r="G287" s="581">
        <f>ROUND(E287*F287,2)</f>
        <v>0</v>
      </c>
    </row>
    <row r="288" spans="1:7" ht="36" x14ac:dyDescent="0.25">
      <c r="A288" s="580"/>
      <c r="B288" s="106" t="s">
        <v>32</v>
      </c>
      <c r="C288" s="4" t="s">
        <v>134</v>
      </c>
      <c r="D288" s="1" t="s">
        <v>69</v>
      </c>
      <c r="E288" s="2">
        <v>2.5</v>
      </c>
      <c r="F288" s="1742"/>
      <c r="G288" s="1569">
        <f>ROUND(E288*F288,2)</f>
        <v>0</v>
      </c>
    </row>
    <row r="289" spans="1:7" x14ac:dyDescent="0.25">
      <c r="A289" s="574"/>
      <c r="B289" s="582"/>
      <c r="C289" s="377"/>
      <c r="D289" s="308"/>
      <c r="E289" s="577"/>
      <c r="F289" s="1922"/>
      <c r="G289" s="577"/>
    </row>
    <row r="290" spans="1:7" ht="36" x14ac:dyDescent="0.25">
      <c r="A290" s="580"/>
      <c r="B290" s="106" t="s">
        <v>35</v>
      </c>
      <c r="C290" s="4" t="s">
        <v>854</v>
      </c>
      <c r="D290" s="1" t="s">
        <v>69</v>
      </c>
      <c r="E290" s="2">
        <v>7.5</v>
      </c>
      <c r="F290" s="1742"/>
      <c r="G290" s="1569">
        <f>ROUND(E290*F290,2)</f>
        <v>0</v>
      </c>
    </row>
    <row r="291" spans="1:7" x14ac:dyDescent="0.25">
      <c r="A291" s="574"/>
      <c r="B291" s="106"/>
      <c r="C291" s="4"/>
      <c r="D291" s="1"/>
      <c r="E291" s="2"/>
      <c r="F291" s="1742"/>
      <c r="G291" s="577"/>
    </row>
    <row r="292" spans="1:7" ht="36" x14ac:dyDescent="0.25">
      <c r="A292" s="580"/>
      <c r="B292" s="106" t="s">
        <v>37</v>
      </c>
      <c r="C292" s="4" t="s">
        <v>855</v>
      </c>
      <c r="D292" s="1" t="s">
        <v>69</v>
      </c>
      <c r="E292" s="2">
        <v>10.5</v>
      </c>
      <c r="F292" s="1742"/>
      <c r="G292" s="1569">
        <f>ROUND(E292*F292,2)</f>
        <v>0</v>
      </c>
    </row>
    <row r="293" spans="1:7" x14ac:dyDescent="0.25">
      <c r="A293" s="574"/>
      <c r="B293" s="106"/>
      <c r="C293" s="4"/>
      <c r="D293" s="1"/>
      <c r="E293" s="2"/>
      <c r="F293" s="1742"/>
      <c r="G293" s="577"/>
    </row>
    <row r="294" spans="1:7" ht="36" x14ac:dyDescent="0.25">
      <c r="A294" s="580"/>
      <c r="B294" s="106" t="s">
        <v>40</v>
      </c>
      <c r="C294" s="4" t="s">
        <v>140</v>
      </c>
      <c r="D294" s="1" t="s">
        <v>138</v>
      </c>
      <c r="E294" s="2">
        <v>1750</v>
      </c>
      <c r="F294" s="1742"/>
      <c r="G294" s="1569">
        <f>ROUND(E294*F294,2)</f>
        <v>0</v>
      </c>
    </row>
    <row r="295" spans="1:7" x14ac:dyDescent="0.25">
      <c r="A295" s="574"/>
      <c r="B295" s="106"/>
      <c r="C295" s="109"/>
      <c r="D295" s="1"/>
      <c r="E295" s="2"/>
      <c r="F295" s="1742"/>
      <c r="G295" s="577"/>
    </row>
    <row r="296" spans="1:7" ht="48" x14ac:dyDescent="0.25">
      <c r="A296" s="580"/>
      <c r="B296" s="106" t="s">
        <v>42</v>
      </c>
      <c r="C296" s="597" t="s">
        <v>137</v>
      </c>
      <c r="D296" s="1" t="s">
        <v>138</v>
      </c>
      <c r="E296" s="2">
        <v>1050</v>
      </c>
      <c r="F296" s="1742"/>
      <c r="G296" s="1569">
        <f>ROUND(E296*F296,2)</f>
        <v>0</v>
      </c>
    </row>
    <row r="297" spans="1:7" x14ac:dyDescent="0.25">
      <c r="A297" s="574"/>
      <c r="B297" s="308"/>
      <c r="C297" s="585"/>
      <c r="D297" s="586"/>
      <c r="E297" s="587"/>
      <c r="F297" s="1925"/>
      <c r="G297" s="587"/>
    </row>
    <row r="298" spans="1:7" x14ac:dyDescent="0.25">
      <c r="A298" s="574"/>
      <c r="B298" s="308"/>
      <c r="C298" s="3" t="s">
        <v>141</v>
      </c>
      <c r="D298" s="586"/>
      <c r="E298" s="587"/>
      <c r="F298" s="1925"/>
      <c r="G298" s="587">
        <f>SUM(G288:G296)</f>
        <v>0</v>
      </c>
    </row>
    <row r="299" spans="1:7" x14ac:dyDescent="0.25">
      <c r="A299" s="574"/>
      <c r="B299" s="308"/>
      <c r="C299" s="107"/>
      <c r="D299" s="308"/>
      <c r="E299" s="577"/>
      <c r="F299" s="1922"/>
      <c r="G299" s="596"/>
    </row>
    <row r="300" spans="1:7" x14ac:dyDescent="0.25">
      <c r="A300" s="574"/>
      <c r="B300" s="575" t="s">
        <v>93</v>
      </c>
      <c r="C300" s="377" t="s">
        <v>113</v>
      </c>
      <c r="D300" s="308"/>
      <c r="E300" s="577"/>
      <c r="F300" s="1922"/>
      <c r="G300" s="577"/>
    </row>
    <row r="301" spans="1:7" x14ac:dyDescent="0.25">
      <c r="A301" s="574"/>
      <c r="B301" s="106"/>
      <c r="C301" s="5"/>
      <c r="D301" s="1"/>
      <c r="E301" s="2"/>
      <c r="F301" s="1742"/>
      <c r="G301" s="581">
        <f>ROUND(E301*F301,2)</f>
        <v>0</v>
      </c>
    </row>
    <row r="302" spans="1:7" ht="24" x14ac:dyDescent="0.25">
      <c r="A302" s="580"/>
      <c r="B302" s="106" t="s">
        <v>32</v>
      </c>
      <c r="C302" s="4" t="s">
        <v>142</v>
      </c>
      <c r="D302" s="1" t="s">
        <v>71</v>
      </c>
      <c r="E302" s="2">
        <v>12</v>
      </c>
      <c r="F302" s="1742"/>
      <c r="G302" s="1569">
        <f>ROUND(E302*F302,2)</f>
        <v>0</v>
      </c>
    </row>
    <row r="303" spans="1:7" x14ac:dyDescent="0.25">
      <c r="A303" s="574"/>
      <c r="B303" s="582"/>
      <c r="C303" s="5"/>
      <c r="D303" s="1"/>
      <c r="E303" s="2"/>
      <c r="F303" s="1742"/>
      <c r="G303" s="577"/>
    </row>
    <row r="304" spans="1:7" ht="24" x14ac:dyDescent="0.25">
      <c r="A304" s="580"/>
      <c r="B304" s="106" t="s">
        <v>35</v>
      </c>
      <c r="C304" s="4" t="s">
        <v>817</v>
      </c>
      <c r="D304" s="1" t="s">
        <v>71</v>
      </c>
      <c r="E304" s="2">
        <v>92</v>
      </c>
      <c r="F304" s="1742"/>
      <c r="G304" s="1569">
        <f>ROUND(E304*F304,2)</f>
        <v>0</v>
      </c>
    </row>
    <row r="305" spans="1:7" x14ac:dyDescent="0.25">
      <c r="A305" s="574"/>
      <c r="B305" s="106"/>
      <c r="C305" s="5"/>
      <c r="D305" s="1"/>
      <c r="E305" s="2"/>
      <c r="F305" s="1742"/>
      <c r="G305" s="577"/>
    </row>
    <row r="306" spans="1:7" ht="24" x14ac:dyDescent="0.25">
      <c r="A306" s="580"/>
      <c r="B306" s="106" t="s">
        <v>37</v>
      </c>
      <c r="C306" s="106" t="s">
        <v>856</v>
      </c>
      <c r="D306" s="1" t="s">
        <v>235</v>
      </c>
      <c r="E306" s="2">
        <v>60</v>
      </c>
      <c r="F306" s="1742"/>
      <c r="G306" s="1569">
        <f>ROUND(E306*F306,2)</f>
        <v>0</v>
      </c>
    </row>
    <row r="307" spans="1:7" x14ac:dyDescent="0.25">
      <c r="A307" s="574"/>
      <c r="B307" s="106"/>
      <c r="C307" s="5"/>
      <c r="D307" s="1"/>
      <c r="E307" s="2"/>
      <c r="F307" s="1742"/>
      <c r="G307" s="577"/>
    </row>
    <row r="308" spans="1:7" ht="24" x14ac:dyDescent="0.25">
      <c r="A308" s="580"/>
      <c r="B308" s="106" t="s">
        <v>40</v>
      </c>
      <c r="C308" s="4" t="s">
        <v>818</v>
      </c>
      <c r="D308" s="1" t="s">
        <v>235</v>
      </c>
      <c r="E308" s="2">
        <v>2.5</v>
      </c>
      <c r="F308" s="1742"/>
      <c r="G308" s="1569">
        <f>ROUND(E308*F308,2)</f>
        <v>0</v>
      </c>
    </row>
    <row r="309" spans="1:7" x14ac:dyDescent="0.25">
      <c r="A309" s="574"/>
      <c r="B309" s="106"/>
      <c r="C309" s="5"/>
      <c r="D309" s="1"/>
      <c r="E309" s="2"/>
      <c r="F309" s="1742"/>
      <c r="G309" s="577"/>
    </row>
    <row r="310" spans="1:7" ht="36" x14ac:dyDescent="0.25">
      <c r="A310" s="580"/>
      <c r="B310" s="106" t="s">
        <v>42</v>
      </c>
      <c r="C310" s="4" t="s">
        <v>857</v>
      </c>
      <c r="D310" s="1" t="s">
        <v>71</v>
      </c>
      <c r="E310" s="2">
        <v>10</v>
      </c>
      <c r="F310" s="1742"/>
      <c r="G310" s="1569">
        <f>ROUND(E310*F310,2)</f>
        <v>0</v>
      </c>
    </row>
    <row r="311" spans="1:7" x14ac:dyDescent="0.25">
      <c r="A311" s="574"/>
      <c r="B311" s="308"/>
      <c r="C311" s="585"/>
      <c r="D311" s="586"/>
      <c r="E311" s="587"/>
      <c r="F311" s="1925"/>
      <c r="G311" s="587"/>
    </row>
    <row r="312" spans="1:7" x14ac:dyDescent="0.25">
      <c r="A312" s="574"/>
      <c r="B312" s="308"/>
      <c r="C312" s="3" t="s">
        <v>144</v>
      </c>
      <c r="D312" s="586"/>
      <c r="E312" s="587"/>
      <c r="F312" s="1925"/>
      <c r="G312" s="587">
        <f>SUM(G302:G310)</f>
        <v>0</v>
      </c>
    </row>
    <row r="313" spans="1:7" x14ac:dyDescent="0.25">
      <c r="A313" s="574"/>
      <c r="B313" s="308"/>
      <c r="C313" s="107"/>
      <c r="D313" s="308"/>
      <c r="E313" s="577"/>
      <c r="F313" s="1922"/>
      <c r="G313" s="596"/>
    </row>
    <row r="314" spans="1:7" x14ac:dyDescent="0.25">
      <c r="A314" s="574"/>
      <c r="B314" s="575" t="s">
        <v>114</v>
      </c>
      <c r="C314" s="377" t="s">
        <v>115</v>
      </c>
      <c r="D314" s="308"/>
      <c r="E314" s="577"/>
      <c r="F314" s="1922"/>
      <c r="G314" s="577"/>
    </row>
    <row r="315" spans="1:7" x14ac:dyDescent="0.25">
      <c r="A315" s="574"/>
      <c r="B315" s="106"/>
      <c r="C315" s="5"/>
      <c r="D315" s="1"/>
      <c r="E315" s="2"/>
      <c r="F315" s="1742"/>
      <c r="G315" s="581">
        <f>ROUND(E315*F315,2)</f>
        <v>0</v>
      </c>
    </row>
    <row r="316" spans="1:7" ht="24" x14ac:dyDescent="0.25">
      <c r="A316" s="580"/>
      <c r="B316" s="106" t="s">
        <v>32</v>
      </c>
      <c r="C316" s="4" t="s">
        <v>858</v>
      </c>
      <c r="D316" s="1" t="s">
        <v>39</v>
      </c>
      <c r="E316" s="2">
        <v>1</v>
      </c>
      <c r="F316" s="1742"/>
      <c r="G316" s="1569">
        <f>ROUND(E316*F316,2)</f>
        <v>0</v>
      </c>
    </row>
    <row r="317" spans="1:7" x14ac:dyDescent="0.25">
      <c r="A317" s="574"/>
      <c r="B317" s="106"/>
      <c r="C317" s="5"/>
      <c r="D317" s="1"/>
      <c r="E317" s="2"/>
      <c r="F317" s="1742"/>
      <c r="G317" s="577"/>
    </row>
    <row r="318" spans="1:7" ht="24" x14ac:dyDescent="0.25">
      <c r="A318" s="580"/>
      <c r="B318" s="106" t="s">
        <v>35</v>
      </c>
      <c r="C318" s="4" t="s">
        <v>859</v>
      </c>
      <c r="D318" s="1" t="s">
        <v>39</v>
      </c>
      <c r="E318" s="2">
        <v>1</v>
      </c>
      <c r="F318" s="1742"/>
      <c r="G318" s="1569">
        <f>ROUND(E318*F318,2)</f>
        <v>0</v>
      </c>
    </row>
    <row r="319" spans="1:7" x14ac:dyDescent="0.25">
      <c r="A319" s="574"/>
      <c r="B319" s="106"/>
      <c r="C319" s="5"/>
      <c r="D319" s="1"/>
      <c r="E319" s="2"/>
      <c r="F319" s="1742"/>
      <c r="G319" s="577"/>
    </row>
    <row r="320" spans="1:7" ht="24" x14ac:dyDescent="0.25">
      <c r="A320" s="580"/>
      <c r="B320" s="106" t="s">
        <v>37</v>
      </c>
      <c r="C320" s="4" t="s">
        <v>860</v>
      </c>
      <c r="D320" s="1" t="s">
        <v>39</v>
      </c>
      <c r="E320" s="2">
        <v>1</v>
      </c>
      <c r="F320" s="1742"/>
      <c r="G320" s="1569">
        <f>ROUND(E320*F320,2)</f>
        <v>0</v>
      </c>
    </row>
    <row r="321" spans="1:7" x14ac:dyDescent="0.25">
      <c r="A321" s="574"/>
      <c r="B321" s="106"/>
      <c r="C321" s="5"/>
      <c r="D321" s="1"/>
      <c r="E321" s="2"/>
      <c r="F321" s="1742"/>
      <c r="G321" s="577"/>
    </row>
    <row r="322" spans="1:7" ht="24" x14ac:dyDescent="0.25">
      <c r="A322" s="580"/>
      <c r="B322" s="106" t="s">
        <v>40</v>
      </c>
      <c r="C322" s="4" t="s">
        <v>861</v>
      </c>
      <c r="D322" s="1" t="s">
        <v>39</v>
      </c>
      <c r="E322" s="2">
        <v>12</v>
      </c>
      <c r="F322" s="1742"/>
      <c r="G322" s="1569">
        <f>ROUND(E322*F322,2)</f>
        <v>0</v>
      </c>
    </row>
    <row r="323" spans="1:7" x14ac:dyDescent="0.25">
      <c r="A323" s="574"/>
      <c r="B323" s="106"/>
      <c r="C323" s="5"/>
      <c r="D323" s="1"/>
      <c r="E323" s="2"/>
      <c r="F323" s="1742"/>
      <c r="G323" s="577"/>
    </row>
    <row r="324" spans="1:7" ht="36" x14ac:dyDescent="0.25">
      <c r="A324" s="580"/>
      <c r="B324" s="106" t="s">
        <v>42</v>
      </c>
      <c r="C324" s="4" t="s">
        <v>862</v>
      </c>
      <c r="D324" s="1" t="s">
        <v>65</v>
      </c>
      <c r="E324" s="2">
        <v>6</v>
      </c>
      <c r="F324" s="1742"/>
      <c r="G324" s="1569">
        <f>ROUND(E324*F324,2)</f>
        <v>0</v>
      </c>
    </row>
    <row r="325" spans="1:7" x14ac:dyDescent="0.25">
      <c r="A325" s="574"/>
      <c r="B325" s="106"/>
      <c r="C325" s="5"/>
      <c r="D325" s="1"/>
      <c r="E325" s="2"/>
      <c r="F325" s="1742"/>
      <c r="G325" s="577"/>
    </row>
    <row r="326" spans="1:7" ht="60" x14ac:dyDescent="0.25">
      <c r="A326" s="580"/>
      <c r="B326" s="106" t="s">
        <v>44</v>
      </c>
      <c r="C326" s="4" t="s">
        <v>863</v>
      </c>
      <c r="D326" s="1" t="s">
        <v>65</v>
      </c>
      <c r="E326" s="2">
        <v>6</v>
      </c>
      <c r="F326" s="1742"/>
      <c r="G326" s="1569">
        <f>ROUND(E326*F326,2)</f>
        <v>0</v>
      </c>
    </row>
    <row r="327" spans="1:7" x14ac:dyDescent="0.25">
      <c r="A327" s="574"/>
      <c r="B327" s="106"/>
      <c r="C327" s="96"/>
      <c r="D327" s="1"/>
      <c r="E327" s="2"/>
      <c r="F327" s="1742"/>
      <c r="G327" s="577"/>
    </row>
    <row r="328" spans="1:7" ht="48" x14ac:dyDescent="0.25">
      <c r="A328" s="580"/>
      <c r="B328" s="582" t="s">
        <v>46</v>
      </c>
      <c r="C328" s="4" t="s">
        <v>864</v>
      </c>
      <c r="D328" s="1" t="s">
        <v>235</v>
      </c>
      <c r="E328" s="2">
        <v>8</v>
      </c>
      <c r="F328" s="1742"/>
      <c r="G328" s="1569">
        <f>ROUND(E328*F328,2)</f>
        <v>0</v>
      </c>
    </row>
    <row r="329" spans="1:7" x14ac:dyDescent="0.25">
      <c r="A329" s="574"/>
      <c r="B329" s="106"/>
      <c r="C329" s="103"/>
      <c r="D329" s="1"/>
      <c r="E329" s="2"/>
      <c r="F329" s="1742"/>
      <c r="G329" s="577"/>
    </row>
    <row r="330" spans="1:7" ht="36" x14ac:dyDescent="0.25">
      <c r="A330" s="580"/>
      <c r="B330" s="106" t="s">
        <v>48</v>
      </c>
      <c r="C330" s="4" t="s">
        <v>865</v>
      </c>
      <c r="D330" s="1" t="s">
        <v>235</v>
      </c>
      <c r="E330" s="2">
        <v>4</v>
      </c>
      <c r="F330" s="1742"/>
      <c r="G330" s="1569">
        <f>ROUND(E330*F330,2)</f>
        <v>0</v>
      </c>
    </row>
    <row r="331" spans="1:7" x14ac:dyDescent="0.25">
      <c r="A331" s="574"/>
      <c r="B331" s="106"/>
      <c r="C331" s="103"/>
      <c r="D331" s="1"/>
      <c r="E331" s="2"/>
      <c r="F331" s="1742"/>
      <c r="G331" s="577"/>
    </row>
    <row r="332" spans="1:7" ht="24" x14ac:dyDescent="0.25">
      <c r="A332" s="580"/>
      <c r="B332" s="106" t="s">
        <v>50</v>
      </c>
      <c r="C332" s="4" t="s">
        <v>866</v>
      </c>
      <c r="D332" s="1" t="s">
        <v>39</v>
      </c>
      <c r="E332" s="2">
        <v>1</v>
      </c>
      <c r="F332" s="1742"/>
      <c r="G332" s="1569">
        <f>ROUND(E332*F332,2)</f>
        <v>0</v>
      </c>
    </row>
    <row r="333" spans="1:7" x14ac:dyDescent="0.25">
      <c r="A333" s="574"/>
      <c r="B333" s="106"/>
      <c r="C333" s="5"/>
      <c r="D333" s="1"/>
      <c r="E333" s="2"/>
      <c r="F333" s="1742"/>
      <c r="G333" s="577"/>
    </row>
    <row r="334" spans="1:7" ht="24" x14ac:dyDescent="0.25">
      <c r="A334" s="580"/>
      <c r="B334" s="106" t="s">
        <v>52</v>
      </c>
      <c r="C334" s="4" t="s">
        <v>819</v>
      </c>
      <c r="D334" s="1" t="s">
        <v>39</v>
      </c>
      <c r="E334" s="2">
        <v>5</v>
      </c>
      <c r="F334" s="1742"/>
      <c r="G334" s="1569">
        <f>ROUND(E334*F334,2)</f>
        <v>0</v>
      </c>
    </row>
    <row r="335" spans="1:7" x14ac:dyDescent="0.25">
      <c r="A335" s="574"/>
      <c r="B335" s="106"/>
      <c r="C335" s="5"/>
      <c r="D335" s="1"/>
      <c r="E335" s="2"/>
      <c r="F335" s="1742"/>
      <c r="G335" s="577"/>
    </row>
    <row r="336" spans="1:7" x14ac:dyDescent="0.25">
      <c r="A336" s="580"/>
      <c r="B336" s="106" t="s">
        <v>54</v>
      </c>
      <c r="C336" s="4" t="s">
        <v>820</v>
      </c>
      <c r="D336" s="1" t="s">
        <v>39</v>
      </c>
      <c r="E336" s="2">
        <v>10</v>
      </c>
      <c r="F336" s="1742"/>
      <c r="G336" s="1569">
        <f>ROUND(E336*F336,2)</f>
        <v>0</v>
      </c>
    </row>
    <row r="337" spans="1:7" x14ac:dyDescent="0.25">
      <c r="A337" s="574"/>
      <c r="B337" s="106"/>
      <c r="C337" s="5"/>
      <c r="D337" s="1"/>
      <c r="E337" s="2"/>
      <c r="F337" s="1742"/>
      <c r="G337" s="577"/>
    </row>
    <row r="338" spans="1:7" ht="24" x14ac:dyDescent="0.25">
      <c r="A338" s="580"/>
      <c r="B338" s="106" t="s">
        <v>56</v>
      </c>
      <c r="C338" s="4" t="s">
        <v>867</v>
      </c>
      <c r="D338" s="1" t="s">
        <v>39</v>
      </c>
      <c r="E338" s="2">
        <v>1</v>
      </c>
      <c r="F338" s="1742"/>
      <c r="G338" s="1569">
        <f>ROUND(E338*F338,2)</f>
        <v>0</v>
      </c>
    </row>
    <row r="339" spans="1:7" x14ac:dyDescent="0.25">
      <c r="A339" s="574"/>
      <c r="B339" s="308"/>
      <c r="C339" s="585"/>
      <c r="D339" s="586"/>
      <c r="E339" s="587"/>
      <c r="F339" s="1925"/>
      <c r="G339" s="587"/>
    </row>
    <row r="340" spans="1:7" x14ac:dyDescent="0.25">
      <c r="A340" s="574"/>
      <c r="B340" s="308"/>
      <c r="C340" s="3" t="s">
        <v>147</v>
      </c>
      <c r="D340" s="586"/>
      <c r="E340" s="587"/>
      <c r="F340" s="1925"/>
      <c r="G340" s="587">
        <f>SUM(G316:G338)</f>
        <v>0</v>
      </c>
    </row>
    <row r="341" spans="1:7" x14ac:dyDescent="0.25">
      <c r="A341" s="580"/>
      <c r="B341" s="308"/>
      <c r="C341" s="107"/>
      <c r="D341" s="308"/>
      <c r="E341" s="577"/>
      <c r="F341" s="1922"/>
      <c r="G341" s="596"/>
    </row>
    <row r="342" spans="1:7" x14ac:dyDescent="0.25">
      <c r="A342" s="580"/>
      <c r="B342" s="575" t="s">
        <v>116</v>
      </c>
      <c r="C342" s="579" t="s">
        <v>92</v>
      </c>
      <c r="D342" s="308"/>
      <c r="E342" s="577"/>
      <c r="F342" s="1922"/>
      <c r="G342" s="577"/>
    </row>
    <row r="343" spans="1:7" x14ac:dyDescent="0.25">
      <c r="A343" s="530"/>
      <c r="B343" s="308"/>
      <c r="C343" s="579"/>
      <c r="D343" s="308"/>
      <c r="E343" s="577"/>
      <c r="F343" s="1922"/>
      <c r="G343" s="577"/>
    </row>
    <row r="344" spans="1:7" ht="24" x14ac:dyDescent="0.25">
      <c r="A344" s="580"/>
      <c r="B344" s="106" t="s">
        <v>32</v>
      </c>
      <c r="C344" s="4" t="s">
        <v>823</v>
      </c>
      <c r="D344" s="1" t="s">
        <v>71</v>
      </c>
      <c r="E344" s="584">
        <v>250</v>
      </c>
      <c r="F344" s="1742"/>
      <c r="G344" s="1569">
        <f>ROUND(E344*F344,2)</f>
        <v>0</v>
      </c>
    </row>
    <row r="345" spans="1:7" x14ac:dyDescent="0.25">
      <c r="A345" s="580"/>
      <c r="B345" s="106"/>
      <c r="C345" s="598"/>
      <c r="D345" s="1"/>
      <c r="E345" s="101"/>
      <c r="F345" s="1742"/>
      <c r="G345" s="577"/>
    </row>
    <row r="346" spans="1:7" x14ac:dyDescent="0.25">
      <c r="A346" s="580"/>
      <c r="B346" s="106" t="s">
        <v>35</v>
      </c>
      <c r="C346" s="4" t="s">
        <v>156</v>
      </c>
      <c r="D346" s="1" t="s">
        <v>71</v>
      </c>
      <c r="E346" s="101">
        <v>250</v>
      </c>
      <c r="F346" s="1742"/>
      <c r="G346" s="1569">
        <f>ROUND(E346*F346,2)</f>
        <v>0</v>
      </c>
    </row>
    <row r="347" spans="1:7" x14ac:dyDescent="0.25">
      <c r="A347" s="580"/>
      <c r="B347" s="106"/>
      <c r="C347" s="4"/>
      <c r="D347" s="1"/>
      <c r="E347" s="101"/>
      <c r="F347" s="1742"/>
      <c r="G347" s="577"/>
    </row>
    <row r="348" spans="1:7" ht="24" x14ac:dyDescent="0.25">
      <c r="A348" s="580"/>
      <c r="B348" s="106" t="s">
        <v>37</v>
      </c>
      <c r="C348" s="4" t="s">
        <v>868</v>
      </c>
      <c r="D348" s="1" t="s">
        <v>69</v>
      </c>
      <c r="E348" s="2">
        <v>10</v>
      </c>
      <c r="F348" s="1742"/>
      <c r="G348" s="1569">
        <f>ROUND(E348*F348,2)</f>
        <v>0</v>
      </c>
    </row>
    <row r="349" spans="1:7" x14ac:dyDescent="0.25">
      <c r="A349" s="580"/>
      <c r="B349" s="106"/>
      <c r="C349" s="307"/>
      <c r="D349" s="308"/>
      <c r="E349" s="577"/>
      <c r="F349" s="1922"/>
      <c r="G349" s="577"/>
    </row>
    <row r="350" spans="1:7" ht="96" x14ac:dyDescent="0.25">
      <c r="A350" s="580"/>
      <c r="B350" s="106" t="s">
        <v>40</v>
      </c>
      <c r="C350" s="4" t="s">
        <v>869</v>
      </c>
      <c r="D350" s="1" t="s">
        <v>235</v>
      </c>
      <c r="E350" s="584">
        <v>50</v>
      </c>
      <c r="F350" s="1742"/>
      <c r="G350" s="1569">
        <f>ROUND(E350*F350,2)</f>
        <v>0</v>
      </c>
    </row>
    <row r="351" spans="1:7" x14ac:dyDescent="0.25">
      <c r="A351" s="580"/>
      <c r="B351" s="106"/>
      <c r="C351" s="307"/>
      <c r="D351" s="308"/>
      <c r="E351" s="577"/>
      <c r="F351" s="1922"/>
      <c r="G351" s="577"/>
    </row>
    <row r="352" spans="1:7" ht="48" x14ac:dyDescent="0.25">
      <c r="A352" s="580"/>
      <c r="B352" s="106" t="s">
        <v>42</v>
      </c>
      <c r="C352" s="4" t="s">
        <v>870</v>
      </c>
      <c r="D352" s="1" t="s">
        <v>39</v>
      </c>
      <c r="E352" s="584">
        <v>1</v>
      </c>
      <c r="F352" s="1742"/>
      <c r="G352" s="1569">
        <f>ROUND(E352*F352,2)</f>
        <v>0</v>
      </c>
    </row>
    <row r="353" spans="1:7" x14ac:dyDescent="0.25">
      <c r="A353" s="574"/>
      <c r="B353" s="308"/>
      <c r="C353" s="585"/>
      <c r="D353" s="586"/>
      <c r="E353" s="587"/>
      <c r="F353" s="1925"/>
      <c r="G353" s="587"/>
    </row>
    <row r="354" spans="1:7" x14ac:dyDescent="0.25">
      <c r="A354" s="574"/>
      <c r="B354" s="308"/>
      <c r="C354" s="3" t="s">
        <v>111</v>
      </c>
      <c r="D354" s="586"/>
      <c r="E354" s="587"/>
      <c r="F354" s="1925"/>
      <c r="G354" s="587">
        <f>SUM(G344:G352)</f>
        <v>0</v>
      </c>
    </row>
    <row r="355" spans="1:7" x14ac:dyDescent="0.25">
      <c r="A355" s="574"/>
      <c r="B355" s="308"/>
      <c r="C355" s="102"/>
      <c r="D355" s="308"/>
      <c r="E355" s="577"/>
      <c r="F355" s="1922"/>
      <c r="G355" s="577"/>
    </row>
    <row r="356" spans="1:7" x14ac:dyDescent="0.25">
      <c r="A356" s="526"/>
      <c r="B356" s="526"/>
      <c r="C356" s="527"/>
      <c r="D356" s="444"/>
      <c r="E356" s="528"/>
      <c r="F356" s="1910"/>
      <c r="G356" s="529"/>
    </row>
    <row r="357" spans="1:7" ht="18" x14ac:dyDescent="0.25">
      <c r="A357" s="1703" t="s">
        <v>871</v>
      </c>
      <c r="B357" s="1702"/>
      <c r="C357" s="1702"/>
      <c r="D357" s="1702"/>
      <c r="E357" s="1702"/>
      <c r="F357" s="1911"/>
      <c r="G357" s="1702"/>
    </row>
    <row r="358" spans="1:7" x14ac:dyDescent="0.25">
      <c r="A358" s="531"/>
      <c r="B358" s="532"/>
      <c r="C358" s="533"/>
      <c r="D358" s="534"/>
      <c r="E358" s="535"/>
      <c r="F358" s="1912"/>
      <c r="G358" s="532"/>
    </row>
    <row r="359" spans="1:7" x14ac:dyDescent="0.25">
      <c r="A359" s="536"/>
      <c r="B359" s="537" t="s">
        <v>20</v>
      </c>
      <c r="C359" s="538" t="s">
        <v>21</v>
      </c>
      <c r="D359" s="539"/>
      <c r="E359" s="540"/>
      <c r="F359" s="1913"/>
      <c r="G359" s="541"/>
    </row>
    <row r="360" spans="1:7" x14ac:dyDescent="0.25">
      <c r="A360" s="536"/>
      <c r="B360" s="537"/>
      <c r="C360" s="538"/>
      <c r="D360" s="539"/>
      <c r="E360" s="540"/>
      <c r="F360" s="1913"/>
      <c r="G360" s="541"/>
    </row>
    <row r="361" spans="1:7" x14ac:dyDescent="0.25">
      <c r="A361" s="536"/>
      <c r="B361" s="544" t="s">
        <v>22</v>
      </c>
      <c r="C361" s="545" t="s">
        <v>23</v>
      </c>
      <c r="D361" s="447"/>
      <c r="E361" s="546"/>
      <c r="F361" s="1914"/>
      <c r="G361" s="1588">
        <f>G417</f>
        <v>0</v>
      </c>
    </row>
    <row r="362" spans="1:7" x14ac:dyDescent="0.25">
      <c r="A362" s="536"/>
      <c r="B362" s="544" t="s">
        <v>24</v>
      </c>
      <c r="C362" s="545" t="s">
        <v>872</v>
      </c>
      <c r="D362" s="447"/>
      <c r="E362" s="546"/>
      <c r="F362" s="1914"/>
      <c r="G362" s="1588">
        <f>G441</f>
        <v>0</v>
      </c>
    </row>
    <row r="363" spans="1:7" x14ac:dyDescent="0.25">
      <c r="A363" s="536"/>
      <c r="B363" s="544" t="s">
        <v>61</v>
      </c>
      <c r="C363" s="545" t="s">
        <v>60</v>
      </c>
      <c r="D363" s="447"/>
      <c r="E363" s="546"/>
      <c r="F363" s="1914"/>
      <c r="G363" s="1588">
        <f>G457</f>
        <v>0</v>
      </c>
    </row>
    <row r="364" spans="1:7" x14ac:dyDescent="0.25">
      <c r="A364" s="536"/>
      <c r="B364" s="544" t="s">
        <v>93</v>
      </c>
      <c r="C364" s="545" t="s">
        <v>112</v>
      </c>
      <c r="D364" s="447"/>
      <c r="E364" s="546"/>
      <c r="F364" s="1914"/>
      <c r="G364" s="1588">
        <f>G465</f>
        <v>0</v>
      </c>
    </row>
    <row r="365" spans="1:7" x14ac:dyDescent="0.25">
      <c r="A365" s="536"/>
      <c r="B365" s="544" t="s">
        <v>114</v>
      </c>
      <c r="C365" s="545" t="s">
        <v>113</v>
      </c>
      <c r="D365" s="447"/>
      <c r="E365" s="546"/>
      <c r="F365" s="1914"/>
      <c r="G365" s="1588">
        <f>G471</f>
        <v>0</v>
      </c>
    </row>
    <row r="366" spans="1:7" x14ac:dyDescent="0.25">
      <c r="A366" s="536"/>
      <c r="B366" s="544" t="s">
        <v>116</v>
      </c>
      <c r="C366" s="545" t="s">
        <v>115</v>
      </c>
      <c r="D366" s="447"/>
      <c r="E366" s="546"/>
      <c r="F366" s="1914"/>
      <c r="G366" s="1588">
        <f>G503</f>
        <v>0</v>
      </c>
    </row>
    <row r="367" spans="1:7" x14ac:dyDescent="0.25">
      <c r="A367" s="536"/>
      <c r="B367" s="537"/>
      <c r="C367" s="547"/>
      <c r="D367" s="548"/>
      <c r="E367" s="549"/>
      <c r="F367" s="1915"/>
      <c r="G367" s="1589"/>
    </row>
    <row r="368" spans="1:7" ht="15.75" thickBot="1" x14ac:dyDescent="0.3">
      <c r="A368" s="550"/>
      <c r="B368" s="551"/>
      <c r="C368" s="552" t="s">
        <v>119</v>
      </c>
      <c r="D368" s="553"/>
      <c r="E368" s="554"/>
      <c r="F368" s="1916"/>
      <c r="G368" s="1590">
        <f>SUM(G361:G366)</f>
        <v>0</v>
      </c>
    </row>
    <row r="369" spans="1:7" ht="15.75" thickTop="1" x14ac:dyDescent="0.25">
      <c r="A369" s="556"/>
      <c r="B369" s="557"/>
      <c r="C369" s="558"/>
      <c r="D369" s="408"/>
      <c r="E369" s="559"/>
      <c r="F369" s="1917"/>
      <c r="G369" s="560"/>
    </row>
    <row r="370" spans="1:7" x14ac:dyDescent="0.25">
      <c r="A370" s="556"/>
      <c r="B370" s="557"/>
      <c r="C370" s="558"/>
      <c r="D370" s="408"/>
      <c r="E370" s="559"/>
      <c r="F370" s="1917"/>
      <c r="G370" s="560"/>
    </row>
    <row r="371" spans="1:7" x14ac:dyDescent="0.25">
      <c r="A371" s="536"/>
      <c r="B371" s="537" t="s">
        <v>77</v>
      </c>
      <c r="C371" s="538" t="s">
        <v>810</v>
      </c>
      <c r="D371" s="539"/>
      <c r="E371" s="540"/>
      <c r="F371" s="1913"/>
      <c r="G371" s="1593"/>
    </row>
    <row r="372" spans="1:7" x14ac:dyDescent="0.25">
      <c r="A372" s="536"/>
      <c r="B372" s="537"/>
      <c r="C372" s="538"/>
      <c r="D372" s="539"/>
      <c r="E372" s="540"/>
      <c r="F372" s="1913"/>
      <c r="G372" s="1593"/>
    </row>
    <row r="373" spans="1:7" x14ac:dyDescent="0.25">
      <c r="A373" s="536"/>
      <c r="B373" s="544" t="s">
        <v>22</v>
      </c>
      <c r="C373" s="545" t="s">
        <v>873</v>
      </c>
      <c r="D373" s="447"/>
      <c r="E373" s="546"/>
      <c r="F373" s="1914"/>
      <c r="G373" s="1588">
        <f>G532</f>
        <v>0</v>
      </c>
    </row>
    <row r="374" spans="1:7" x14ac:dyDescent="0.25">
      <c r="A374" s="536"/>
      <c r="B374" s="544" t="s">
        <v>24</v>
      </c>
      <c r="C374" s="545" t="s">
        <v>874</v>
      </c>
      <c r="D374" s="447"/>
      <c r="E374" s="546"/>
      <c r="F374" s="1914"/>
      <c r="G374" s="1588">
        <f>G544</f>
        <v>0</v>
      </c>
    </row>
    <row r="375" spans="1:7" x14ac:dyDescent="0.25">
      <c r="A375" s="536"/>
      <c r="B375" s="544" t="s">
        <v>61</v>
      </c>
      <c r="C375" s="545" t="s">
        <v>875</v>
      </c>
      <c r="D375" s="447"/>
      <c r="E375" s="546"/>
      <c r="F375" s="1914"/>
      <c r="G375" s="1588">
        <f>G562</f>
        <v>0</v>
      </c>
    </row>
    <row r="376" spans="1:7" x14ac:dyDescent="0.25">
      <c r="A376" s="536"/>
      <c r="B376" s="544" t="s">
        <v>93</v>
      </c>
      <c r="C376" s="545" t="s">
        <v>876</v>
      </c>
      <c r="D376" s="447"/>
      <c r="E376" s="546"/>
      <c r="F376" s="1914"/>
      <c r="G376" s="1588">
        <f>G576</f>
        <v>0</v>
      </c>
    </row>
    <row r="377" spans="1:7" x14ac:dyDescent="0.25">
      <c r="A377" s="536"/>
      <c r="B377" s="544" t="s">
        <v>114</v>
      </c>
      <c r="C377" s="545" t="s">
        <v>877</v>
      </c>
      <c r="D377" s="447"/>
      <c r="E377" s="546"/>
      <c r="F377" s="1914"/>
      <c r="G377" s="1588">
        <f>G586</f>
        <v>0</v>
      </c>
    </row>
    <row r="378" spans="1:7" x14ac:dyDescent="0.25">
      <c r="A378" s="536"/>
      <c r="B378" s="544" t="s">
        <v>116</v>
      </c>
      <c r="C378" s="545" t="s">
        <v>878</v>
      </c>
      <c r="D378" s="447"/>
      <c r="E378" s="546"/>
      <c r="F378" s="1914"/>
      <c r="G378" s="1588">
        <f>G598</f>
        <v>0</v>
      </c>
    </row>
    <row r="379" spans="1:7" x14ac:dyDescent="0.25">
      <c r="A379" s="536"/>
      <c r="B379" s="544" t="s">
        <v>118</v>
      </c>
      <c r="C379" s="545" t="s">
        <v>879</v>
      </c>
      <c r="D379" s="447"/>
      <c r="E379" s="546"/>
      <c r="F379" s="1914"/>
      <c r="G379" s="1588">
        <f>G629</f>
        <v>0</v>
      </c>
    </row>
    <row r="380" spans="1:7" x14ac:dyDescent="0.25">
      <c r="A380" s="536"/>
      <c r="B380" s="544" t="s">
        <v>809</v>
      </c>
      <c r="C380" s="545" t="s">
        <v>811</v>
      </c>
      <c r="D380" s="447"/>
      <c r="E380" s="546"/>
      <c r="F380" s="1914"/>
      <c r="G380" s="1588">
        <f>G637</f>
        <v>0</v>
      </c>
    </row>
    <row r="381" spans="1:7" x14ac:dyDescent="0.25">
      <c r="A381" s="588"/>
      <c r="B381" s="589"/>
      <c r="C381" s="590"/>
      <c r="D381" s="591"/>
      <c r="E381" s="592"/>
      <c r="F381" s="1926"/>
      <c r="G381" s="1362"/>
    </row>
    <row r="382" spans="1:7" ht="15.75" thickBot="1" x14ac:dyDescent="0.3">
      <c r="A382" s="550"/>
      <c r="B382" s="551"/>
      <c r="C382" s="552" t="s">
        <v>812</v>
      </c>
      <c r="D382" s="553"/>
      <c r="E382" s="554"/>
      <c r="F382" s="1916"/>
      <c r="G382" s="1590">
        <f>SUM(G373:G380)</f>
        <v>0</v>
      </c>
    </row>
    <row r="383" spans="1:7" ht="15.75" thickTop="1" x14ac:dyDescent="0.25">
      <c r="A383" s="383"/>
      <c r="B383" s="529"/>
      <c r="C383" s="530"/>
      <c r="D383" s="561"/>
      <c r="E383" s="562"/>
      <c r="F383" s="1918"/>
      <c r="G383" s="593"/>
    </row>
    <row r="384" spans="1:7" ht="15.75" thickBot="1" x14ac:dyDescent="0.3">
      <c r="A384" s="383"/>
      <c r="B384" s="529"/>
      <c r="C384" s="2047" t="s">
        <v>813</v>
      </c>
      <c r="D384" s="2048"/>
      <c r="E384" s="2048"/>
      <c r="F384" s="1927"/>
      <c r="G384" s="1594">
        <f>G368+G382</f>
        <v>0</v>
      </c>
    </row>
    <row r="385" spans="1:7" x14ac:dyDescent="0.25">
      <c r="A385" s="383"/>
      <c r="B385" s="529"/>
      <c r="C385" s="530"/>
      <c r="D385" s="561"/>
      <c r="E385" s="562"/>
      <c r="F385" s="1918"/>
      <c r="G385" s="526"/>
    </row>
    <row r="386" spans="1:7" x14ac:dyDescent="0.25">
      <c r="A386" s="383"/>
      <c r="B386" s="529"/>
      <c r="C386" s="530"/>
      <c r="D386" s="561"/>
      <c r="E386" s="562"/>
      <c r="F386" s="1918"/>
      <c r="G386" s="526"/>
    </row>
    <row r="387" spans="1:7" x14ac:dyDescent="0.25">
      <c r="A387" s="383"/>
      <c r="B387" s="529"/>
      <c r="C387" s="530"/>
      <c r="D387" s="561"/>
      <c r="E387" s="562"/>
      <c r="F387" s="1918"/>
      <c r="G387" s="526"/>
    </row>
    <row r="388" spans="1:7" x14ac:dyDescent="0.25">
      <c r="A388" s="383"/>
      <c r="B388" s="529"/>
      <c r="C388" s="530"/>
      <c r="D388" s="561"/>
      <c r="E388" s="562"/>
      <c r="F388" s="1918"/>
      <c r="G388" s="526"/>
    </row>
    <row r="389" spans="1:7" x14ac:dyDescent="0.25">
      <c r="A389" s="383"/>
      <c r="B389" s="529"/>
      <c r="C389" s="530"/>
      <c r="D389" s="561"/>
      <c r="E389" s="562"/>
      <c r="F389" s="1918"/>
      <c r="G389" s="526"/>
    </row>
    <row r="390" spans="1:7" x14ac:dyDescent="0.25">
      <c r="A390" s="383"/>
      <c r="B390" s="529"/>
      <c r="C390" s="530"/>
      <c r="D390" s="561"/>
      <c r="E390" s="562"/>
      <c r="F390" s="1918"/>
      <c r="G390" s="526"/>
    </row>
    <row r="391" spans="1:7" x14ac:dyDescent="0.25">
      <c r="A391" s="383"/>
      <c r="B391" s="529"/>
      <c r="C391" s="530"/>
      <c r="D391" s="561"/>
      <c r="E391" s="562"/>
      <c r="F391" s="1918"/>
      <c r="G391" s="526"/>
    </row>
    <row r="392" spans="1:7" x14ac:dyDescent="0.25">
      <c r="A392" s="383"/>
      <c r="B392" s="529"/>
      <c r="C392" s="530"/>
      <c r="D392" s="561"/>
      <c r="E392" s="562"/>
      <c r="F392" s="1918"/>
      <c r="G392" s="526"/>
    </row>
    <row r="393" spans="1:7" x14ac:dyDescent="0.25">
      <c r="A393" s="383"/>
      <c r="B393" s="529"/>
      <c r="C393" s="530"/>
      <c r="D393" s="561"/>
      <c r="E393" s="562"/>
      <c r="F393" s="1918"/>
      <c r="G393" s="526"/>
    </row>
    <row r="394" spans="1:7" x14ac:dyDescent="0.25">
      <c r="A394" s="383"/>
      <c r="B394" s="529"/>
      <c r="C394" s="530"/>
      <c r="D394" s="561"/>
      <c r="E394" s="562"/>
      <c r="F394" s="1918"/>
      <c r="G394" s="526"/>
    </row>
    <row r="395" spans="1:7" x14ac:dyDescent="0.25">
      <c r="A395" s="383"/>
      <c r="B395" s="529"/>
      <c r="C395" s="530"/>
      <c r="D395" s="561"/>
      <c r="E395" s="562"/>
      <c r="F395" s="1918"/>
      <c r="G395" s="526"/>
    </row>
    <row r="396" spans="1:7" x14ac:dyDescent="0.25">
      <c r="A396" s="383"/>
      <c r="B396" s="529"/>
      <c r="C396" s="530"/>
      <c r="D396" s="561"/>
      <c r="E396" s="562"/>
      <c r="F396" s="1918"/>
      <c r="G396" s="526"/>
    </row>
    <row r="397" spans="1:7" x14ac:dyDescent="0.25">
      <c r="A397" s="383"/>
      <c r="B397" s="529"/>
      <c r="C397" s="530"/>
      <c r="D397" s="561"/>
      <c r="E397" s="562"/>
      <c r="F397" s="1918"/>
      <c r="G397" s="526"/>
    </row>
    <row r="398" spans="1:7" x14ac:dyDescent="0.25">
      <c r="A398" s="383"/>
      <c r="B398" s="529"/>
      <c r="C398" s="530"/>
      <c r="D398" s="561"/>
      <c r="E398" s="562"/>
      <c r="F398" s="1918"/>
      <c r="G398" s="526"/>
    </row>
    <row r="399" spans="1:7" x14ac:dyDescent="0.25">
      <c r="A399" s="383"/>
      <c r="B399" s="529"/>
      <c r="C399" s="530"/>
      <c r="D399" s="561"/>
      <c r="E399" s="562"/>
      <c r="F399" s="1918"/>
      <c r="G399" s="526"/>
    </row>
    <row r="400" spans="1:7" x14ac:dyDescent="0.25">
      <c r="A400" s="383"/>
      <c r="B400" s="529"/>
      <c r="C400" s="530"/>
      <c r="D400" s="561"/>
      <c r="E400" s="562"/>
      <c r="F400" s="1918"/>
      <c r="G400" s="526"/>
    </row>
    <row r="401" spans="1:7" x14ac:dyDescent="0.25">
      <c r="A401" s="383"/>
      <c r="B401" s="529"/>
      <c r="C401" s="530"/>
      <c r="D401" s="561"/>
      <c r="E401" s="562"/>
      <c r="F401" s="1918"/>
      <c r="G401" s="526"/>
    </row>
    <row r="402" spans="1:7" x14ac:dyDescent="0.25">
      <c r="A402" s="383"/>
      <c r="B402" s="529"/>
      <c r="C402" s="530"/>
      <c r="D402" s="561"/>
      <c r="E402" s="562"/>
      <c r="F402" s="1918"/>
      <c r="G402" s="526"/>
    </row>
    <row r="403" spans="1:7" x14ac:dyDescent="0.25">
      <c r="A403" s="383"/>
      <c r="B403" s="529"/>
      <c r="C403" s="530"/>
      <c r="D403" s="561"/>
      <c r="E403" s="562"/>
      <c r="F403" s="1918"/>
      <c r="G403" s="526"/>
    </row>
    <row r="404" spans="1:7" x14ac:dyDescent="0.25">
      <c r="A404" s="383"/>
      <c r="B404" s="529"/>
      <c r="C404" s="530"/>
      <c r="D404" s="561"/>
      <c r="E404" s="562"/>
      <c r="F404" s="1918"/>
      <c r="G404" s="526"/>
    </row>
    <row r="405" spans="1:7" x14ac:dyDescent="0.25">
      <c r="A405" s="383"/>
      <c r="B405" s="529"/>
      <c r="C405" s="530"/>
      <c r="D405" s="561"/>
      <c r="E405" s="562"/>
      <c r="F405" s="1918"/>
      <c r="G405" s="526"/>
    </row>
    <row r="406" spans="1:7" x14ac:dyDescent="0.25">
      <c r="A406" s="563" t="s">
        <v>62</v>
      </c>
      <c r="B406" s="529"/>
      <c r="C406" s="530"/>
      <c r="D406" s="561"/>
      <c r="E406" s="562"/>
      <c r="F406" s="1918"/>
      <c r="G406" s="526"/>
    </row>
    <row r="407" spans="1:7" x14ac:dyDescent="0.25">
      <c r="A407" s="564"/>
      <c r="B407" s="565"/>
      <c r="C407" s="566" t="s">
        <v>63</v>
      </c>
      <c r="D407" s="567"/>
      <c r="E407" s="568"/>
      <c r="F407" s="1919"/>
      <c r="G407" s="565"/>
    </row>
    <row r="408" spans="1:7" x14ac:dyDescent="0.25">
      <c r="A408" s="383"/>
      <c r="B408" s="526"/>
      <c r="C408" s="563"/>
      <c r="D408" s="561"/>
      <c r="E408" s="562"/>
      <c r="F408" s="1918"/>
      <c r="G408" s="526"/>
    </row>
    <row r="409" spans="1:7" x14ac:dyDescent="0.25">
      <c r="A409" s="383"/>
      <c r="B409" s="537" t="s">
        <v>20</v>
      </c>
      <c r="C409" s="538" t="s">
        <v>21</v>
      </c>
      <c r="D409" s="561"/>
      <c r="E409" s="562"/>
      <c r="F409" s="1918"/>
      <c r="G409" s="526"/>
    </row>
    <row r="410" spans="1:7" x14ac:dyDescent="0.25">
      <c r="A410" s="383"/>
      <c r="B410" s="526"/>
      <c r="C410" s="526"/>
      <c r="D410" s="561"/>
      <c r="E410" s="562"/>
      <c r="F410" s="1918"/>
      <c r="G410" s="526"/>
    </row>
    <row r="411" spans="1:7" x14ac:dyDescent="0.25">
      <c r="A411" s="444"/>
      <c r="B411" s="569" t="s">
        <v>26</v>
      </c>
      <c r="C411" s="570" t="s">
        <v>27</v>
      </c>
      <c r="D411" s="569" t="s">
        <v>28</v>
      </c>
      <c r="E411" s="571" t="s">
        <v>29</v>
      </c>
      <c r="F411" s="1920" t="s">
        <v>30</v>
      </c>
      <c r="G411" s="572" t="s">
        <v>31</v>
      </c>
    </row>
    <row r="412" spans="1:7" x14ac:dyDescent="0.25">
      <c r="A412" s="444"/>
      <c r="B412" s="444"/>
      <c r="C412" s="573"/>
      <c r="D412" s="444"/>
      <c r="E412" s="528"/>
      <c r="F412" s="1921"/>
      <c r="G412" s="446"/>
    </row>
    <row r="413" spans="1:7" x14ac:dyDescent="0.25">
      <c r="A413" s="574"/>
      <c r="B413" s="575" t="s">
        <v>22</v>
      </c>
      <c r="C413" s="576" t="s">
        <v>23</v>
      </c>
      <c r="D413" s="308"/>
      <c r="E413" s="577"/>
      <c r="F413" s="1922"/>
      <c r="G413" s="577"/>
    </row>
    <row r="414" spans="1:7" x14ac:dyDescent="0.25">
      <c r="A414" s="530"/>
      <c r="B414" s="583"/>
      <c r="C414" s="579"/>
      <c r="D414" s="308"/>
      <c r="E414" s="577"/>
      <c r="F414" s="1922"/>
      <c r="G414" s="577"/>
    </row>
    <row r="415" spans="1:7" ht="48" x14ac:dyDescent="0.25">
      <c r="A415" s="580"/>
      <c r="B415" s="582" t="s">
        <v>32</v>
      </c>
      <c r="C415" s="307" t="s">
        <v>880</v>
      </c>
      <c r="D415" s="1" t="s">
        <v>39</v>
      </c>
      <c r="E415" s="584">
        <v>2</v>
      </c>
      <c r="F415" s="1742"/>
      <c r="G415" s="577">
        <f>ROUND(E415*F415,2)</f>
        <v>0</v>
      </c>
    </row>
    <row r="416" spans="1:7" x14ac:dyDescent="0.25">
      <c r="A416" s="574"/>
      <c r="B416" s="578"/>
      <c r="C416" s="307"/>
      <c r="D416" s="308"/>
      <c r="E416" s="577"/>
      <c r="F416" s="1922"/>
      <c r="G416" s="577"/>
    </row>
    <row r="417" spans="1:7" x14ac:dyDescent="0.25">
      <c r="A417" s="574"/>
      <c r="B417" s="308"/>
      <c r="C417" s="1574" t="s">
        <v>59</v>
      </c>
      <c r="D417" s="1591"/>
      <c r="E417" s="1592"/>
      <c r="F417" s="1923"/>
      <c r="G417" s="1592">
        <f>SUM(G415)</f>
        <v>0</v>
      </c>
    </row>
    <row r="418" spans="1:7" x14ac:dyDescent="0.25">
      <c r="A418" s="530"/>
      <c r="B418" s="583"/>
      <c r="C418" s="579"/>
      <c r="D418" s="308"/>
      <c r="E418" s="577"/>
      <c r="F418" s="1922"/>
      <c r="G418" s="577"/>
    </row>
    <row r="419" spans="1:7" x14ac:dyDescent="0.25">
      <c r="A419" s="530"/>
      <c r="B419" s="575" t="s">
        <v>24</v>
      </c>
      <c r="C419" s="377" t="s">
        <v>872</v>
      </c>
      <c r="D419" s="308"/>
      <c r="E419" s="577"/>
      <c r="F419" s="1922"/>
      <c r="G419" s="577"/>
    </row>
    <row r="420" spans="1:7" x14ac:dyDescent="0.25">
      <c r="A420" s="530"/>
      <c r="B420" s="583"/>
      <c r="C420" s="579"/>
      <c r="D420" s="308"/>
      <c r="E420" s="577"/>
      <c r="F420" s="1922"/>
      <c r="G420" s="577"/>
    </row>
    <row r="421" spans="1:7" ht="60" x14ac:dyDescent="0.25">
      <c r="A421" s="580"/>
      <c r="B421" s="582" t="s">
        <v>32</v>
      </c>
      <c r="C421" s="307" t="s">
        <v>1593</v>
      </c>
      <c r="D421" s="1" t="s">
        <v>71</v>
      </c>
      <c r="E421" s="584">
        <v>116</v>
      </c>
      <c r="F421" s="1742"/>
      <c r="G421" s="577">
        <f>ROUND(E421*F421,2)</f>
        <v>0</v>
      </c>
    </row>
    <row r="422" spans="1:7" x14ac:dyDescent="0.25">
      <c r="A422" s="530"/>
      <c r="B422" s="583"/>
      <c r="C422" s="579"/>
      <c r="D422" s="308"/>
      <c r="E422" s="577"/>
      <c r="F422" s="1922"/>
      <c r="G422" s="577"/>
    </row>
    <row r="423" spans="1:7" ht="72" x14ac:dyDescent="0.25">
      <c r="A423" s="580"/>
      <c r="B423" s="582" t="s">
        <v>35</v>
      </c>
      <c r="C423" s="307" t="s">
        <v>1594</v>
      </c>
      <c r="D423" s="1" t="s">
        <v>235</v>
      </c>
      <c r="E423" s="584">
        <v>93</v>
      </c>
      <c r="F423" s="1742"/>
      <c r="G423" s="577">
        <f>ROUND(E423*F423,2)</f>
        <v>0</v>
      </c>
    </row>
    <row r="424" spans="1:7" x14ac:dyDescent="0.25">
      <c r="A424" s="530"/>
      <c r="B424" s="583"/>
      <c r="C424" s="579"/>
      <c r="D424" s="308"/>
      <c r="E424" s="577"/>
      <c r="F424" s="1922"/>
      <c r="G424" s="577"/>
    </row>
    <row r="425" spans="1:7" ht="48" x14ac:dyDescent="0.25">
      <c r="A425" s="580"/>
      <c r="B425" s="578" t="s">
        <v>37</v>
      </c>
      <c r="C425" s="307" t="s">
        <v>1595</v>
      </c>
      <c r="D425" s="1" t="s">
        <v>39</v>
      </c>
      <c r="E425" s="584">
        <v>15</v>
      </c>
      <c r="F425" s="1742"/>
      <c r="G425" s="577">
        <f>ROUND(E425*F425,2)</f>
        <v>0</v>
      </c>
    </row>
    <row r="426" spans="1:7" x14ac:dyDescent="0.25">
      <c r="A426" s="530"/>
      <c r="B426" s="583"/>
      <c r="C426" s="579"/>
      <c r="D426" s="308"/>
      <c r="E426" s="577"/>
      <c r="F426" s="1922"/>
      <c r="G426" s="577"/>
    </row>
    <row r="427" spans="1:7" ht="72" x14ac:dyDescent="0.25">
      <c r="A427" s="580"/>
      <c r="B427" s="578" t="s">
        <v>40</v>
      </c>
      <c r="C427" s="307" t="s">
        <v>1596</v>
      </c>
      <c r="D427" s="1" t="s">
        <v>71</v>
      </c>
      <c r="E427" s="584">
        <v>54</v>
      </c>
      <c r="F427" s="1742"/>
      <c r="G427" s="577">
        <f>ROUND(E427*F427,2)</f>
        <v>0</v>
      </c>
    </row>
    <row r="428" spans="1:7" x14ac:dyDescent="0.25">
      <c r="A428" s="530"/>
      <c r="B428" s="583"/>
      <c r="C428" s="579"/>
      <c r="D428" s="308"/>
      <c r="E428" s="577"/>
      <c r="F428" s="1922"/>
      <c r="G428" s="577"/>
    </row>
    <row r="429" spans="1:7" ht="48" x14ac:dyDescent="0.25">
      <c r="A429" s="580"/>
      <c r="B429" s="578" t="s">
        <v>42</v>
      </c>
      <c r="C429" s="307" t="s">
        <v>1597</v>
      </c>
      <c r="D429" s="1" t="s">
        <v>71</v>
      </c>
      <c r="E429" s="584">
        <v>22</v>
      </c>
      <c r="F429" s="1742"/>
      <c r="G429" s="577">
        <f>ROUND(E429*F429,2)</f>
        <v>0</v>
      </c>
    </row>
    <row r="430" spans="1:7" x14ac:dyDescent="0.25">
      <c r="A430" s="530"/>
      <c r="B430" s="583"/>
      <c r="C430" s="579"/>
      <c r="D430" s="308"/>
      <c r="E430" s="577"/>
      <c r="F430" s="1922"/>
      <c r="G430" s="577"/>
    </row>
    <row r="431" spans="1:7" ht="48" x14ac:dyDescent="0.25">
      <c r="A431" s="580"/>
      <c r="B431" s="578" t="s">
        <v>44</v>
      </c>
      <c r="C431" s="307" t="s">
        <v>1598</v>
      </c>
      <c r="D431" s="1" t="s">
        <v>71</v>
      </c>
      <c r="E431" s="584">
        <v>32.5</v>
      </c>
      <c r="F431" s="1742"/>
      <c r="G431" s="577">
        <f>ROUND(E431*F431,2)</f>
        <v>0</v>
      </c>
    </row>
    <row r="432" spans="1:7" x14ac:dyDescent="0.25">
      <c r="A432" s="530"/>
      <c r="B432" s="583"/>
      <c r="C432" s="579"/>
      <c r="D432" s="308"/>
      <c r="E432" s="577"/>
      <c r="F432" s="1922"/>
      <c r="G432" s="577"/>
    </row>
    <row r="433" spans="1:7" ht="48" x14ac:dyDescent="0.25">
      <c r="A433" s="580"/>
      <c r="B433" s="578" t="s">
        <v>46</v>
      </c>
      <c r="C433" s="307" t="s">
        <v>1599</v>
      </c>
      <c r="D433" s="1" t="s">
        <v>71</v>
      </c>
      <c r="E433" s="584">
        <v>5</v>
      </c>
      <c r="F433" s="1742"/>
      <c r="G433" s="577">
        <f>ROUND(E433*F433,2)</f>
        <v>0</v>
      </c>
    </row>
    <row r="434" spans="1:7" x14ac:dyDescent="0.25">
      <c r="A434" s="530"/>
      <c r="B434" s="583"/>
      <c r="C434" s="579"/>
      <c r="D434" s="308"/>
      <c r="E434" s="577"/>
      <c r="F434" s="1922"/>
      <c r="G434" s="577"/>
    </row>
    <row r="435" spans="1:7" ht="60" x14ac:dyDescent="0.25">
      <c r="A435" s="580"/>
      <c r="B435" s="578" t="s">
        <v>48</v>
      </c>
      <c r="C435" s="307" t="s">
        <v>1600</v>
      </c>
      <c r="D435" s="1" t="s">
        <v>71</v>
      </c>
      <c r="E435" s="584">
        <v>27</v>
      </c>
      <c r="F435" s="1742"/>
      <c r="G435" s="577">
        <f>ROUND(E435*F435,2)</f>
        <v>0</v>
      </c>
    </row>
    <row r="436" spans="1:7" x14ac:dyDescent="0.25">
      <c r="A436" s="530"/>
      <c r="B436" s="583"/>
      <c r="C436" s="579"/>
      <c r="D436" s="308"/>
      <c r="E436" s="577"/>
      <c r="F436" s="1922"/>
      <c r="G436" s="577"/>
    </row>
    <row r="437" spans="1:7" ht="24" x14ac:dyDescent="0.25">
      <c r="A437" s="580"/>
      <c r="B437" s="578" t="s">
        <v>50</v>
      </c>
      <c r="C437" s="307" t="s">
        <v>881</v>
      </c>
      <c r="D437" s="1"/>
      <c r="E437" s="584"/>
      <c r="F437" s="1742"/>
      <c r="G437" s="577"/>
    </row>
    <row r="438" spans="1:7" x14ac:dyDescent="0.25">
      <c r="A438" s="580"/>
      <c r="B438" s="578" t="s">
        <v>97</v>
      </c>
      <c r="C438" s="307" t="s">
        <v>882</v>
      </c>
      <c r="D438" s="1" t="s">
        <v>109</v>
      </c>
      <c r="E438" s="584">
        <v>16</v>
      </c>
      <c r="F438" s="1742"/>
      <c r="G438" s="577">
        <f>ROUND(E438*F438,2)</f>
        <v>0</v>
      </c>
    </row>
    <row r="439" spans="1:7" x14ac:dyDescent="0.25">
      <c r="A439" s="580"/>
      <c r="B439" s="578" t="s">
        <v>99</v>
      </c>
      <c r="C439" s="307" t="s">
        <v>883</v>
      </c>
      <c r="D439" s="1" t="s">
        <v>109</v>
      </c>
      <c r="E439" s="584">
        <v>32</v>
      </c>
      <c r="F439" s="1742"/>
      <c r="G439" s="577">
        <f>ROUND(E439*F439,2)</f>
        <v>0</v>
      </c>
    </row>
    <row r="440" spans="1:7" x14ac:dyDescent="0.25">
      <c r="A440" s="574"/>
      <c r="B440" s="578"/>
      <c r="C440" s="307"/>
      <c r="D440" s="308"/>
      <c r="E440" s="577"/>
      <c r="F440" s="1922"/>
      <c r="G440" s="577"/>
    </row>
    <row r="441" spans="1:7" x14ac:dyDescent="0.25">
      <c r="A441" s="574"/>
      <c r="B441" s="308"/>
      <c r="C441" s="1574" t="s">
        <v>884</v>
      </c>
      <c r="D441" s="1591"/>
      <c r="E441" s="1592"/>
      <c r="F441" s="1923"/>
      <c r="G441" s="1592">
        <f>SUM(G421:G439)</f>
        <v>0</v>
      </c>
    </row>
    <row r="442" spans="1:7" x14ac:dyDescent="0.25">
      <c r="A442" s="530"/>
      <c r="B442" s="583"/>
      <c r="C442" s="579"/>
      <c r="D442" s="308"/>
      <c r="E442" s="577"/>
      <c r="F442" s="1922"/>
      <c r="G442" s="577"/>
    </row>
    <row r="443" spans="1:7" x14ac:dyDescent="0.25">
      <c r="A443" s="530"/>
      <c r="B443" s="575" t="s">
        <v>61</v>
      </c>
      <c r="C443" s="377" t="s">
        <v>60</v>
      </c>
      <c r="D443" s="308"/>
      <c r="E443" s="577"/>
      <c r="F443" s="1922"/>
      <c r="G443" s="577"/>
    </row>
    <row r="444" spans="1:7" x14ac:dyDescent="0.25">
      <c r="A444" s="530"/>
      <c r="B444" s="583"/>
      <c r="C444" s="579"/>
      <c r="D444" s="308"/>
      <c r="E444" s="577"/>
      <c r="F444" s="1922"/>
      <c r="G444" s="581">
        <f t="shared" ref="G444" si="0">ROUND(E444*F444,2)</f>
        <v>0</v>
      </c>
    </row>
    <row r="445" spans="1:7" ht="60" x14ac:dyDescent="0.25">
      <c r="A445" s="580"/>
      <c r="B445" s="578" t="s">
        <v>32</v>
      </c>
      <c r="C445" s="307" t="s">
        <v>1601</v>
      </c>
      <c r="D445" s="1" t="s">
        <v>69</v>
      </c>
      <c r="E445" s="584">
        <v>6</v>
      </c>
      <c r="F445" s="1742"/>
      <c r="G445" s="577">
        <f>ROUND(E445*F445,2)</f>
        <v>0</v>
      </c>
    </row>
    <row r="446" spans="1:7" x14ac:dyDescent="0.25">
      <c r="A446" s="530"/>
      <c r="B446" s="583"/>
      <c r="C446" s="579"/>
      <c r="D446" s="308"/>
      <c r="E446" s="577"/>
      <c r="F446" s="1922"/>
      <c r="G446" s="577"/>
    </row>
    <row r="447" spans="1:7" ht="24" x14ac:dyDescent="0.25">
      <c r="A447" s="580"/>
      <c r="B447" s="578" t="s">
        <v>35</v>
      </c>
      <c r="C447" s="307" t="s">
        <v>885</v>
      </c>
      <c r="D447" s="1" t="s">
        <v>71</v>
      </c>
      <c r="E447" s="584">
        <v>36</v>
      </c>
      <c r="F447" s="1742"/>
      <c r="G447" s="577">
        <f>ROUND(E447*F447,2)</f>
        <v>0</v>
      </c>
    </row>
    <row r="448" spans="1:7" x14ac:dyDescent="0.25">
      <c r="A448" s="530"/>
      <c r="B448" s="583"/>
      <c r="C448" s="579"/>
      <c r="D448" s="308"/>
      <c r="E448" s="577"/>
      <c r="F448" s="1922"/>
      <c r="G448" s="577"/>
    </row>
    <row r="449" spans="1:7" ht="36" x14ac:dyDescent="0.25">
      <c r="A449" s="580"/>
      <c r="B449" s="578" t="s">
        <v>37</v>
      </c>
      <c r="C449" s="307" t="s">
        <v>886</v>
      </c>
      <c r="D449" s="1" t="s">
        <v>69</v>
      </c>
      <c r="E449" s="584">
        <v>3.6</v>
      </c>
      <c r="F449" s="1742"/>
      <c r="G449" s="577">
        <f>ROUND(E449*F449,2)</f>
        <v>0</v>
      </c>
    </row>
    <row r="450" spans="1:7" x14ac:dyDescent="0.25">
      <c r="A450" s="530"/>
      <c r="B450" s="583"/>
      <c r="C450" s="579"/>
      <c r="D450" s="308"/>
      <c r="E450" s="577"/>
      <c r="F450" s="1922"/>
      <c r="G450" s="577"/>
    </row>
    <row r="451" spans="1:7" ht="24" x14ac:dyDescent="0.25">
      <c r="A451" s="580"/>
      <c r="B451" s="578" t="s">
        <v>40</v>
      </c>
      <c r="C451" s="307" t="s">
        <v>887</v>
      </c>
      <c r="D451" s="1" t="s">
        <v>69</v>
      </c>
      <c r="E451" s="584">
        <v>1</v>
      </c>
      <c r="F451" s="1742"/>
      <c r="G451" s="577">
        <f>ROUND(E451*F451,2)</f>
        <v>0</v>
      </c>
    </row>
    <row r="452" spans="1:7" x14ac:dyDescent="0.25">
      <c r="A452" s="530"/>
      <c r="B452" s="583"/>
      <c r="C452" s="579"/>
      <c r="D452" s="308"/>
      <c r="E452" s="577"/>
      <c r="F452" s="1922"/>
      <c r="G452" s="577"/>
    </row>
    <row r="453" spans="1:7" ht="24" x14ac:dyDescent="0.25">
      <c r="A453" s="580"/>
      <c r="B453" s="578" t="s">
        <v>42</v>
      </c>
      <c r="C453" s="307" t="s">
        <v>888</v>
      </c>
      <c r="D453" s="1" t="s">
        <v>71</v>
      </c>
      <c r="E453" s="584">
        <v>150</v>
      </c>
      <c r="F453" s="1742"/>
      <c r="G453" s="577">
        <f>ROUND(E453*F453,2)</f>
        <v>0</v>
      </c>
    </row>
    <row r="454" spans="1:7" x14ac:dyDescent="0.25">
      <c r="A454" s="530"/>
      <c r="B454" s="583"/>
      <c r="C454" s="579"/>
      <c r="D454" s="308"/>
      <c r="E454" s="577"/>
      <c r="F454" s="1922"/>
      <c r="G454" s="577"/>
    </row>
    <row r="455" spans="1:7" ht="24" x14ac:dyDescent="0.25">
      <c r="A455" s="580"/>
      <c r="B455" s="578" t="s">
        <v>44</v>
      </c>
      <c r="C455" s="307" t="s">
        <v>889</v>
      </c>
      <c r="D455" s="1" t="s">
        <v>71</v>
      </c>
      <c r="E455" s="584">
        <v>150</v>
      </c>
      <c r="F455" s="1742"/>
      <c r="G455" s="577">
        <f>ROUND(E455*F455,2)</f>
        <v>0</v>
      </c>
    </row>
    <row r="456" spans="1:7" x14ac:dyDescent="0.25">
      <c r="A456" s="574"/>
      <c r="B456" s="308"/>
      <c r="C456" s="585"/>
      <c r="D456" s="586"/>
      <c r="E456" s="587"/>
      <c r="F456" s="1925"/>
      <c r="G456" s="587"/>
    </row>
    <row r="457" spans="1:7" x14ac:dyDescent="0.25">
      <c r="A457" s="574"/>
      <c r="B457" s="308"/>
      <c r="C457" s="3" t="s">
        <v>75</v>
      </c>
      <c r="D457" s="586"/>
      <c r="E457" s="587"/>
      <c r="F457" s="1925"/>
      <c r="G457" s="587">
        <f>SUM(G445:G455)</f>
        <v>0</v>
      </c>
    </row>
    <row r="458" spans="1:7" x14ac:dyDescent="0.25">
      <c r="A458" s="530"/>
      <c r="B458" s="583"/>
      <c r="C458" s="579"/>
      <c r="D458" s="308"/>
      <c r="E458" s="577"/>
      <c r="F458" s="1922"/>
      <c r="G458" s="577"/>
    </row>
    <row r="459" spans="1:7" x14ac:dyDescent="0.25">
      <c r="A459" s="530"/>
      <c r="B459" s="575" t="s">
        <v>93</v>
      </c>
      <c r="C459" s="377" t="s">
        <v>112</v>
      </c>
      <c r="D459" s="308"/>
      <c r="E459" s="577"/>
      <c r="F459" s="1922"/>
      <c r="G459" s="577"/>
    </row>
    <row r="460" spans="1:7" x14ac:dyDescent="0.25">
      <c r="A460" s="530"/>
      <c r="B460" s="583"/>
      <c r="C460" s="579"/>
      <c r="D460" s="308"/>
      <c r="E460" s="577"/>
      <c r="F460" s="1922"/>
      <c r="G460" s="581">
        <f t="shared" ref="G460" si="1">ROUND(E460*F460,2)</f>
        <v>0</v>
      </c>
    </row>
    <row r="461" spans="1:7" ht="36" x14ac:dyDescent="0.25">
      <c r="A461" s="580"/>
      <c r="B461" s="578" t="s">
        <v>35</v>
      </c>
      <c r="C461" s="4" t="s">
        <v>140</v>
      </c>
      <c r="D461" s="1" t="s">
        <v>138</v>
      </c>
      <c r="E461" s="584">
        <v>203.4</v>
      </c>
      <c r="F461" s="1742"/>
      <c r="G461" s="577">
        <f>ROUND(E461*F461,2)</f>
        <v>0</v>
      </c>
    </row>
    <row r="462" spans="1:7" x14ac:dyDescent="0.25">
      <c r="A462" s="530"/>
      <c r="B462" s="583"/>
      <c r="C462" s="579"/>
      <c r="D462" s="308"/>
      <c r="E462" s="577"/>
      <c r="F462" s="1922"/>
      <c r="G462" s="577"/>
    </row>
    <row r="463" spans="1:7" ht="36" x14ac:dyDescent="0.25">
      <c r="A463" s="580"/>
      <c r="B463" s="578" t="s">
        <v>37</v>
      </c>
      <c r="C463" s="4" t="s">
        <v>890</v>
      </c>
      <c r="D463" s="1" t="s">
        <v>69</v>
      </c>
      <c r="E463" s="584">
        <v>2.6</v>
      </c>
      <c r="F463" s="1742"/>
      <c r="G463" s="577">
        <f>ROUND(E463*F463,2)</f>
        <v>0</v>
      </c>
    </row>
    <row r="464" spans="1:7" x14ac:dyDescent="0.25">
      <c r="A464" s="574"/>
      <c r="B464" s="308"/>
      <c r="C464" s="585"/>
      <c r="D464" s="586"/>
      <c r="E464" s="587"/>
      <c r="F464" s="1925"/>
      <c r="G464" s="587"/>
    </row>
    <row r="465" spans="1:7" x14ac:dyDescent="0.25">
      <c r="A465" s="574"/>
      <c r="B465" s="308"/>
      <c r="C465" s="3" t="s">
        <v>141</v>
      </c>
      <c r="D465" s="586"/>
      <c r="E465" s="587"/>
      <c r="F465" s="1925"/>
      <c r="G465" s="587">
        <f>SUM(G461:G463)</f>
        <v>0</v>
      </c>
    </row>
    <row r="466" spans="1:7" x14ac:dyDescent="0.25">
      <c r="A466" s="530"/>
      <c r="B466" s="583"/>
      <c r="C466" s="579"/>
      <c r="D466" s="308"/>
      <c r="E466" s="577"/>
      <c r="F466" s="1922"/>
      <c r="G466" s="577"/>
    </row>
    <row r="467" spans="1:7" x14ac:dyDescent="0.25">
      <c r="A467" s="530"/>
      <c r="B467" s="575" t="s">
        <v>114</v>
      </c>
      <c r="C467" s="377" t="s">
        <v>113</v>
      </c>
      <c r="D467" s="308"/>
      <c r="E467" s="577"/>
      <c r="F467" s="1922"/>
      <c r="G467" s="577"/>
    </row>
    <row r="468" spans="1:7" x14ac:dyDescent="0.25">
      <c r="A468" s="530"/>
      <c r="B468" s="583"/>
      <c r="C468" s="579"/>
      <c r="D468" s="308"/>
      <c r="E468" s="577"/>
      <c r="F468" s="1922"/>
      <c r="G468" s="581">
        <f>ROUND(E468*F468,2)</f>
        <v>0</v>
      </c>
    </row>
    <row r="469" spans="1:7" ht="24" x14ac:dyDescent="0.25">
      <c r="A469" s="580"/>
      <c r="B469" s="578" t="s">
        <v>32</v>
      </c>
      <c r="C469" s="307" t="s">
        <v>891</v>
      </c>
      <c r="D469" s="1" t="s">
        <v>235</v>
      </c>
      <c r="E469" s="584">
        <v>42</v>
      </c>
      <c r="F469" s="1742"/>
      <c r="G469" s="577">
        <f>ROUND(E469*F469,2)</f>
        <v>0</v>
      </c>
    </row>
    <row r="470" spans="1:7" x14ac:dyDescent="0.25">
      <c r="A470" s="574"/>
      <c r="B470" s="308"/>
      <c r="C470" s="585"/>
      <c r="D470" s="586"/>
      <c r="E470" s="587"/>
      <c r="F470" s="1925"/>
      <c r="G470" s="587"/>
    </row>
    <row r="471" spans="1:7" x14ac:dyDescent="0.25">
      <c r="A471" s="574"/>
      <c r="B471" s="308"/>
      <c r="C471" s="3" t="s">
        <v>144</v>
      </c>
      <c r="D471" s="586"/>
      <c r="E471" s="587"/>
      <c r="F471" s="1925"/>
      <c r="G471" s="587">
        <f>SUM(G469)</f>
        <v>0</v>
      </c>
    </row>
    <row r="472" spans="1:7" x14ac:dyDescent="0.25">
      <c r="A472" s="530"/>
      <c r="B472" s="583"/>
      <c r="C472" s="579"/>
      <c r="D472" s="308"/>
      <c r="E472" s="577"/>
      <c r="F472" s="1922"/>
      <c r="G472" s="577"/>
    </row>
    <row r="473" spans="1:7" x14ac:dyDescent="0.25">
      <c r="A473" s="530"/>
      <c r="B473" s="575" t="s">
        <v>116</v>
      </c>
      <c r="C473" s="377" t="s">
        <v>115</v>
      </c>
      <c r="D473" s="308"/>
      <c r="E473" s="577"/>
      <c r="F473" s="1922"/>
      <c r="G473" s="577"/>
    </row>
    <row r="474" spans="1:7" x14ac:dyDescent="0.25">
      <c r="A474" s="530"/>
      <c r="B474" s="583"/>
      <c r="C474" s="579"/>
      <c r="D474" s="308"/>
      <c r="E474" s="577"/>
      <c r="F474" s="1922"/>
      <c r="G474" s="581">
        <f>ROUND(E474*F474,2)</f>
        <v>0</v>
      </c>
    </row>
    <row r="475" spans="1:7" ht="48" x14ac:dyDescent="0.25">
      <c r="A475" s="580"/>
      <c r="B475" s="578" t="s">
        <v>32</v>
      </c>
      <c r="C475" s="307" t="s">
        <v>892</v>
      </c>
      <c r="D475" s="1" t="s">
        <v>71</v>
      </c>
      <c r="E475" s="584">
        <v>54</v>
      </c>
      <c r="F475" s="1742"/>
      <c r="G475" s="577">
        <f>ROUND(E475*F475,2)</f>
        <v>0</v>
      </c>
    </row>
    <row r="476" spans="1:7" x14ac:dyDescent="0.25">
      <c r="A476" s="530"/>
      <c r="B476" s="583"/>
      <c r="C476" s="579"/>
      <c r="D476" s="308"/>
      <c r="E476" s="577"/>
      <c r="F476" s="1922"/>
      <c r="G476" s="577"/>
    </row>
    <row r="477" spans="1:7" ht="72" x14ac:dyDescent="0.25">
      <c r="A477" s="580"/>
      <c r="B477" s="578" t="s">
        <v>35</v>
      </c>
      <c r="C477" s="307" t="s">
        <v>893</v>
      </c>
      <c r="D477" s="1" t="s">
        <v>71</v>
      </c>
      <c r="E477" s="584">
        <v>54</v>
      </c>
      <c r="F477" s="1742"/>
      <c r="G477" s="577">
        <f>ROUND(E477*F477,2)</f>
        <v>0</v>
      </c>
    </row>
    <row r="478" spans="1:7" x14ac:dyDescent="0.25">
      <c r="A478" s="530"/>
      <c r="B478" s="583"/>
      <c r="C478" s="579"/>
      <c r="D478" s="308"/>
      <c r="E478" s="577"/>
      <c r="F478" s="1922"/>
      <c r="G478" s="577"/>
    </row>
    <row r="479" spans="1:7" ht="36" x14ac:dyDescent="0.25">
      <c r="A479" s="580"/>
      <c r="B479" s="578" t="s">
        <v>37</v>
      </c>
      <c r="C479" s="307" t="s">
        <v>894</v>
      </c>
      <c r="D479" s="1" t="s">
        <v>235</v>
      </c>
      <c r="E479" s="584">
        <v>12.5</v>
      </c>
      <c r="F479" s="1742"/>
      <c r="G479" s="577">
        <f>ROUND(E479*F479,2)</f>
        <v>0</v>
      </c>
    </row>
    <row r="480" spans="1:7" x14ac:dyDescent="0.25">
      <c r="A480" s="530"/>
      <c r="B480" s="583"/>
      <c r="C480" s="579"/>
      <c r="D480" s="308"/>
      <c r="E480" s="577"/>
      <c r="F480" s="1922"/>
      <c r="G480" s="577"/>
    </row>
    <row r="481" spans="1:7" ht="36" x14ac:dyDescent="0.25">
      <c r="A481" s="580"/>
      <c r="B481" s="578" t="s">
        <v>40</v>
      </c>
      <c r="C481" s="307" t="s">
        <v>895</v>
      </c>
      <c r="D481" s="1" t="s">
        <v>235</v>
      </c>
      <c r="E481" s="584">
        <v>12.5</v>
      </c>
      <c r="F481" s="1742"/>
      <c r="G481" s="577">
        <f>ROUND(E481*F481,2)</f>
        <v>0</v>
      </c>
    </row>
    <row r="482" spans="1:7" x14ac:dyDescent="0.25">
      <c r="A482" s="530"/>
      <c r="B482" s="583"/>
      <c r="C482" s="579"/>
      <c r="D482" s="308"/>
      <c r="E482" s="577"/>
      <c r="F482" s="1922"/>
      <c r="G482" s="577"/>
    </row>
    <row r="483" spans="1:7" ht="60" x14ac:dyDescent="0.25">
      <c r="A483" s="580"/>
      <c r="B483" s="578" t="s">
        <v>42</v>
      </c>
      <c r="C483" s="307" t="s">
        <v>896</v>
      </c>
      <c r="D483" s="1" t="s">
        <v>71</v>
      </c>
      <c r="E483" s="584">
        <v>32.5</v>
      </c>
      <c r="F483" s="1742"/>
      <c r="G483" s="577">
        <f>ROUND(E483*F483,2)</f>
        <v>0</v>
      </c>
    </row>
    <row r="484" spans="1:7" x14ac:dyDescent="0.25">
      <c r="A484" s="530"/>
      <c r="B484" s="583"/>
      <c r="C484" s="579"/>
      <c r="D484" s="308"/>
      <c r="E484" s="577"/>
      <c r="F484" s="1922"/>
      <c r="G484" s="577"/>
    </row>
    <row r="485" spans="1:7" ht="60" x14ac:dyDescent="0.25">
      <c r="A485" s="580"/>
      <c r="B485" s="578" t="s">
        <v>44</v>
      </c>
      <c r="C485" s="307" t="s">
        <v>897</v>
      </c>
      <c r="D485" s="1" t="s">
        <v>71</v>
      </c>
      <c r="E485" s="584">
        <v>7</v>
      </c>
      <c r="F485" s="1742"/>
      <c r="G485" s="577">
        <f>ROUND(E485*F485,2)</f>
        <v>0</v>
      </c>
    </row>
    <row r="486" spans="1:7" x14ac:dyDescent="0.25">
      <c r="A486" s="530"/>
      <c r="B486" s="583"/>
      <c r="C486" s="579"/>
      <c r="D486" s="308"/>
      <c r="E486" s="577"/>
      <c r="F486" s="1922"/>
      <c r="G486" s="577"/>
    </row>
    <row r="487" spans="1:7" x14ac:dyDescent="0.25">
      <c r="A487" s="580"/>
      <c r="B487" s="578" t="s">
        <v>46</v>
      </c>
      <c r="C487" s="307" t="s">
        <v>898</v>
      </c>
      <c r="D487" s="1" t="s">
        <v>71</v>
      </c>
      <c r="E487" s="584">
        <v>27</v>
      </c>
      <c r="F487" s="1742"/>
      <c r="G487" s="577">
        <f>ROUND(E487*F487,2)</f>
        <v>0</v>
      </c>
    </row>
    <row r="488" spans="1:7" x14ac:dyDescent="0.25">
      <c r="A488" s="530"/>
      <c r="B488" s="583"/>
      <c r="C488" s="579"/>
      <c r="D488" s="308"/>
      <c r="E488" s="577"/>
      <c r="F488" s="1922"/>
      <c r="G488" s="577"/>
    </row>
    <row r="489" spans="1:7" ht="36" x14ac:dyDescent="0.25">
      <c r="A489" s="580"/>
      <c r="B489" s="578" t="s">
        <v>48</v>
      </c>
      <c r="C489" s="307" t="s">
        <v>899</v>
      </c>
      <c r="D489" s="1" t="s">
        <v>71</v>
      </c>
      <c r="E489" s="584">
        <v>5</v>
      </c>
      <c r="F489" s="1742"/>
      <c r="G489" s="577">
        <f>ROUND(E489*F489,2)</f>
        <v>0</v>
      </c>
    </row>
    <row r="490" spans="1:7" x14ac:dyDescent="0.25">
      <c r="A490" s="530"/>
      <c r="B490" s="583"/>
      <c r="C490" s="579"/>
      <c r="D490" s="308"/>
      <c r="E490" s="577"/>
      <c r="F490" s="1922"/>
      <c r="G490" s="577"/>
    </row>
    <row r="491" spans="1:7" ht="24" x14ac:dyDescent="0.25">
      <c r="A491" s="580"/>
      <c r="B491" s="578" t="s">
        <v>50</v>
      </c>
      <c r="C491" s="307" t="s">
        <v>900</v>
      </c>
      <c r="D491" s="1"/>
      <c r="E491" s="584"/>
      <c r="F491" s="1742"/>
      <c r="G491" s="577"/>
    </row>
    <row r="492" spans="1:7" x14ac:dyDescent="0.25">
      <c r="A492" s="580"/>
      <c r="B492" s="578" t="s">
        <v>97</v>
      </c>
      <c r="C492" s="307" t="s">
        <v>901</v>
      </c>
      <c r="D492" s="1" t="s">
        <v>235</v>
      </c>
      <c r="E492" s="584">
        <v>10</v>
      </c>
      <c r="F492" s="1742"/>
      <c r="G492" s="577">
        <f>ROUND(E492*F492,2)</f>
        <v>0</v>
      </c>
    </row>
    <row r="493" spans="1:7" x14ac:dyDescent="0.25">
      <c r="A493" s="580"/>
      <c r="B493" s="578" t="s">
        <v>99</v>
      </c>
      <c r="C493" s="307" t="s">
        <v>902</v>
      </c>
      <c r="D493" s="1" t="s">
        <v>235</v>
      </c>
      <c r="E493" s="584">
        <v>10</v>
      </c>
      <c r="F493" s="1742"/>
      <c r="G493" s="577">
        <f>ROUND(E493*F493,2)</f>
        <v>0</v>
      </c>
    </row>
    <row r="494" spans="1:7" x14ac:dyDescent="0.25">
      <c r="A494" s="530"/>
      <c r="B494" s="583"/>
      <c r="C494" s="579"/>
      <c r="D494" s="308"/>
      <c r="E494" s="577"/>
      <c r="F494" s="1922"/>
      <c r="G494" s="577"/>
    </row>
    <row r="495" spans="1:7" ht="24" x14ac:dyDescent="0.25">
      <c r="A495" s="580"/>
      <c r="B495" s="578" t="s">
        <v>52</v>
      </c>
      <c r="C495" s="307" t="s">
        <v>903</v>
      </c>
      <c r="D495" s="1" t="s">
        <v>235</v>
      </c>
      <c r="E495" s="584">
        <v>10</v>
      </c>
      <c r="F495" s="1742"/>
      <c r="G495" s="577">
        <f>ROUND(E495*F495,2)</f>
        <v>0</v>
      </c>
    </row>
    <row r="496" spans="1:7" x14ac:dyDescent="0.25">
      <c r="A496" s="530"/>
      <c r="B496" s="583"/>
      <c r="C496" s="579"/>
      <c r="D496" s="308"/>
      <c r="E496" s="577"/>
      <c r="F496" s="1922"/>
      <c r="G496" s="577"/>
    </row>
    <row r="497" spans="1:7" ht="24" x14ac:dyDescent="0.25">
      <c r="A497" s="580"/>
      <c r="B497" s="578" t="s">
        <v>54</v>
      </c>
      <c r="C497" s="307" t="s">
        <v>904</v>
      </c>
      <c r="D497" s="1" t="s">
        <v>235</v>
      </c>
      <c r="E497" s="584">
        <v>10</v>
      </c>
      <c r="F497" s="1742"/>
      <c r="G497" s="577">
        <f>ROUND(E497*F497,2)</f>
        <v>0</v>
      </c>
    </row>
    <row r="498" spans="1:7" x14ac:dyDescent="0.25">
      <c r="A498" s="530"/>
      <c r="B498" s="583"/>
      <c r="C498" s="579"/>
      <c r="D498" s="308"/>
      <c r="E498" s="577"/>
      <c r="F498" s="1922"/>
      <c r="G498" s="577"/>
    </row>
    <row r="499" spans="1:7" ht="24" x14ac:dyDescent="0.25">
      <c r="A499" s="580"/>
      <c r="B499" s="578" t="s">
        <v>56</v>
      </c>
      <c r="C499" s="307" t="s">
        <v>905</v>
      </c>
      <c r="D499" s="1" t="s">
        <v>39</v>
      </c>
      <c r="E499" s="584">
        <v>80</v>
      </c>
      <c r="F499" s="1742"/>
      <c r="G499" s="577">
        <f>ROUND(E499*F499,2)</f>
        <v>0</v>
      </c>
    </row>
    <row r="500" spans="1:7" x14ac:dyDescent="0.25">
      <c r="A500" s="530"/>
      <c r="B500" s="583"/>
      <c r="C500" s="579"/>
      <c r="D500" s="308"/>
      <c r="E500" s="577"/>
      <c r="F500" s="1922"/>
      <c r="G500" s="577"/>
    </row>
    <row r="501" spans="1:7" x14ac:dyDescent="0.25">
      <c r="A501" s="580"/>
      <c r="B501" s="578" t="s">
        <v>822</v>
      </c>
      <c r="C501" s="307" t="s">
        <v>906</v>
      </c>
      <c r="D501" s="1" t="s">
        <v>39</v>
      </c>
      <c r="E501" s="584">
        <v>5</v>
      </c>
      <c r="F501" s="1742"/>
      <c r="G501" s="577">
        <f>ROUND(E501*F501,2)</f>
        <v>0</v>
      </c>
    </row>
    <row r="502" spans="1:7" x14ac:dyDescent="0.25">
      <c r="A502" s="574"/>
      <c r="B502" s="308"/>
      <c r="C502" s="585"/>
      <c r="D502" s="586"/>
      <c r="E502" s="587"/>
      <c r="F502" s="1925"/>
      <c r="G502" s="587"/>
    </row>
    <row r="503" spans="1:7" x14ac:dyDescent="0.25">
      <c r="A503" s="574"/>
      <c r="B503" s="308"/>
      <c r="C503" s="3" t="s">
        <v>147</v>
      </c>
      <c r="D503" s="586"/>
      <c r="E503" s="587"/>
      <c r="F503" s="1925"/>
      <c r="G503" s="587">
        <f>SUM(G475:G501)</f>
        <v>0</v>
      </c>
    </row>
    <row r="504" spans="1:7" x14ac:dyDescent="0.25">
      <c r="A504" s="530"/>
      <c r="B504" s="583"/>
      <c r="C504" s="579"/>
      <c r="D504" s="308"/>
      <c r="E504" s="577"/>
      <c r="F504" s="1922"/>
      <c r="G504" s="577"/>
    </row>
    <row r="505" spans="1:7" x14ac:dyDescent="0.25">
      <c r="A505" s="574"/>
      <c r="B505" s="308"/>
      <c r="C505" s="102"/>
      <c r="D505" s="308"/>
      <c r="E505" s="577"/>
      <c r="F505" s="1922"/>
      <c r="G505" s="577"/>
    </row>
    <row r="506" spans="1:7" x14ac:dyDescent="0.25">
      <c r="A506" s="574"/>
      <c r="B506" s="308"/>
      <c r="C506" s="102"/>
      <c r="D506" s="308"/>
      <c r="E506" s="577"/>
      <c r="F506" s="1922"/>
      <c r="G506" s="577"/>
    </row>
    <row r="507" spans="1:7" x14ac:dyDescent="0.25">
      <c r="A507" s="574"/>
      <c r="B507" s="308"/>
      <c r="C507" s="102"/>
      <c r="D507" s="308"/>
      <c r="E507" s="577"/>
      <c r="F507" s="1922"/>
      <c r="G507" s="577"/>
    </row>
    <row r="508" spans="1:7" x14ac:dyDescent="0.25">
      <c r="A508" s="574"/>
      <c r="B508" s="308"/>
      <c r="C508" s="102"/>
      <c r="D508" s="308"/>
      <c r="E508" s="577"/>
      <c r="F508" s="1922"/>
      <c r="G508" s="577"/>
    </row>
    <row r="509" spans="1:7" x14ac:dyDescent="0.25">
      <c r="A509" s="574"/>
      <c r="B509" s="308"/>
      <c r="C509" s="102"/>
      <c r="D509" s="308"/>
      <c r="E509" s="577"/>
      <c r="F509" s="1922"/>
      <c r="G509" s="577"/>
    </row>
    <row r="510" spans="1:7" x14ac:dyDescent="0.25">
      <c r="A510" s="574"/>
      <c r="B510" s="308"/>
      <c r="C510" s="102"/>
      <c r="D510" s="308"/>
      <c r="E510" s="577"/>
      <c r="F510" s="1922"/>
      <c r="G510" s="577"/>
    </row>
    <row r="511" spans="1:7" x14ac:dyDescent="0.25">
      <c r="A511" s="574"/>
      <c r="B511" s="308"/>
      <c r="C511" s="102"/>
      <c r="D511" s="308"/>
      <c r="E511" s="577"/>
      <c r="F511" s="1922"/>
      <c r="G511" s="577"/>
    </row>
    <row r="512" spans="1:7" x14ac:dyDescent="0.25">
      <c r="A512" s="574"/>
      <c r="B512" s="308"/>
      <c r="C512" s="102"/>
      <c r="D512" s="308"/>
      <c r="E512" s="577"/>
      <c r="F512" s="1922"/>
      <c r="G512" s="577"/>
    </row>
    <row r="513" spans="1:7" x14ac:dyDescent="0.25">
      <c r="A513" s="574"/>
      <c r="B513" s="308"/>
      <c r="C513" s="102"/>
      <c r="D513" s="308"/>
      <c r="E513" s="577"/>
      <c r="F513" s="1922"/>
      <c r="G513" s="577"/>
    </row>
    <row r="514" spans="1:7" x14ac:dyDescent="0.25">
      <c r="A514" s="574"/>
      <c r="B514" s="308"/>
      <c r="C514" s="102"/>
      <c r="D514" s="308"/>
      <c r="E514" s="577"/>
      <c r="F514" s="1922"/>
      <c r="G514" s="577"/>
    </row>
    <row r="515" spans="1:7" x14ac:dyDescent="0.25">
      <c r="A515" s="574"/>
      <c r="B515" s="308"/>
      <c r="C515" s="102"/>
      <c r="D515" s="308"/>
      <c r="E515" s="577"/>
      <c r="F515" s="1922"/>
      <c r="G515" s="577"/>
    </row>
    <row r="516" spans="1:7" x14ac:dyDescent="0.25">
      <c r="A516" s="574"/>
      <c r="B516" s="308"/>
      <c r="C516" s="102"/>
      <c r="D516" s="308"/>
      <c r="E516" s="577"/>
      <c r="F516" s="1922"/>
      <c r="G516" s="577"/>
    </row>
    <row r="517" spans="1:7" x14ac:dyDescent="0.25">
      <c r="A517" s="574"/>
      <c r="B517" s="308"/>
      <c r="C517" s="102"/>
      <c r="D517" s="308"/>
      <c r="E517" s="577"/>
      <c r="F517" s="1922"/>
      <c r="G517" s="577"/>
    </row>
    <row r="518" spans="1:7" x14ac:dyDescent="0.25">
      <c r="A518" s="383"/>
      <c r="B518" s="537" t="s">
        <v>77</v>
      </c>
      <c r="C518" s="538" t="s">
        <v>617</v>
      </c>
      <c r="D518" s="561"/>
      <c r="E518" s="562"/>
      <c r="F518" s="1918"/>
      <c r="G518" s="526"/>
    </row>
    <row r="519" spans="1:7" x14ac:dyDescent="0.25">
      <c r="A519" s="383"/>
      <c r="B519" s="526"/>
      <c r="C519" s="526"/>
      <c r="D519" s="561"/>
      <c r="E519" s="562"/>
      <c r="F519" s="1918"/>
      <c r="G519" s="526"/>
    </row>
    <row r="520" spans="1:7" x14ac:dyDescent="0.25">
      <c r="A520" s="444"/>
      <c r="B520" s="569" t="s">
        <v>26</v>
      </c>
      <c r="C520" s="570" t="s">
        <v>27</v>
      </c>
      <c r="D520" s="569" t="s">
        <v>28</v>
      </c>
      <c r="E520" s="571" t="s">
        <v>29</v>
      </c>
      <c r="F520" s="1920" t="s">
        <v>30</v>
      </c>
      <c r="G520" s="572" t="s">
        <v>31</v>
      </c>
    </row>
    <row r="521" spans="1:7" x14ac:dyDescent="0.25">
      <c r="A521" s="444"/>
      <c r="B521" s="444"/>
      <c r="C521" s="573"/>
      <c r="D521" s="444"/>
      <c r="E521" s="528"/>
      <c r="F521" s="1921"/>
      <c r="G521" s="446"/>
    </row>
    <row r="522" spans="1:7" x14ac:dyDescent="0.25">
      <c r="A522" s="574"/>
      <c r="B522" s="575" t="s">
        <v>22</v>
      </c>
      <c r="C522" s="576" t="s">
        <v>873</v>
      </c>
      <c r="D522" s="308"/>
      <c r="E522" s="577"/>
      <c r="F522" s="1922"/>
      <c r="G522" s="577"/>
    </row>
    <row r="523" spans="1:7" x14ac:dyDescent="0.25">
      <c r="A523" s="530"/>
      <c r="B523" s="583"/>
      <c r="C523" s="579"/>
      <c r="D523" s="308"/>
      <c r="E523" s="577"/>
      <c r="F523" s="1922"/>
      <c r="G523" s="581">
        <f t="shared" ref="G523:G535" si="2">ROUND(E523*F523,2)</f>
        <v>0</v>
      </c>
    </row>
    <row r="524" spans="1:7" ht="60" x14ac:dyDescent="0.25">
      <c r="A524" s="580"/>
      <c r="B524" s="578" t="s">
        <v>32</v>
      </c>
      <c r="C524" s="307" t="s">
        <v>907</v>
      </c>
      <c r="D524" s="1" t="s">
        <v>71</v>
      </c>
      <c r="E524" s="584">
        <v>49</v>
      </c>
      <c r="F524" s="1742"/>
      <c r="G524" s="577">
        <f>ROUND(E524*F524,2)</f>
        <v>0</v>
      </c>
    </row>
    <row r="525" spans="1:7" x14ac:dyDescent="0.25">
      <c r="A525" s="530"/>
      <c r="B525" s="583"/>
      <c r="C525" s="579"/>
      <c r="D525" s="308"/>
      <c r="E525" s="577"/>
      <c r="F525" s="1922"/>
      <c r="G525" s="577"/>
    </row>
    <row r="526" spans="1:7" ht="72" x14ac:dyDescent="0.25">
      <c r="A526" s="580"/>
      <c r="B526" s="578" t="s">
        <v>35</v>
      </c>
      <c r="C526" s="307" t="s">
        <v>908</v>
      </c>
      <c r="D526" s="1" t="s">
        <v>235</v>
      </c>
      <c r="E526" s="584">
        <v>62</v>
      </c>
      <c r="F526" s="1742"/>
      <c r="G526" s="577">
        <f>ROUND(E526*F526,2)</f>
        <v>0</v>
      </c>
    </row>
    <row r="527" spans="1:7" x14ac:dyDescent="0.25">
      <c r="A527" s="530"/>
      <c r="B527" s="583"/>
      <c r="C527" s="579"/>
      <c r="D527" s="308"/>
      <c r="E527" s="577"/>
      <c r="F527" s="1922"/>
      <c r="G527" s="577"/>
    </row>
    <row r="528" spans="1:7" ht="48" x14ac:dyDescent="0.25">
      <c r="A528" s="580"/>
      <c r="B528" s="578" t="s">
        <v>37</v>
      </c>
      <c r="C528" s="307" t="s">
        <v>909</v>
      </c>
      <c r="D528" s="1" t="s">
        <v>71</v>
      </c>
      <c r="E528" s="584">
        <v>5</v>
      </c>
      <c r="F528" s="1742"/>
      <c r="G528" s="577">
        <f>ROUND(E528*F528,2)</f>
        <v>0</v>
      </c>
    </row>
    <row r="529" spans="1:7" x14ac:dyDescent="0.25">
      <c r="A529" s="530"/>
      <c r="B529" s="583"/>
      <c r="C529" s="579"/>
      <c r="D529" s="308"/>
      <c r="E529" s="577"/>
      <c r="F529" s="1922"/>
      <c r="G529" s="577"/>
    </row>
    <row r="530" spans="1:7" ht="72" x14ac:dyDescent="0.25">
      <c r="A530" s="580"/>
      <c r="B530" s="578" t="s">
        <v>40</v>
      </c>
      <c r="C530" s="307" t="s">
        <v>910</v>
      </c>
      <c r="D530" s="1" t="s">
        <v>71</v>
      </c>
      <c r="E530" s="584">
        <v>22</v>
      </c>
      <c r="F530" s="1742"/>
      <c r="G530" s="577">
        <f>ROUND(E530*F530,2)</f>
        <v>0</v>
      </c>
    </row>
    <row r="531" spans="1:7" x14ac:dyDescent="0.25">
      <c r="A531" s="574"/>
      <c r="B531" s="308"/>
      <c r="C531" s="585"/>
      <c r="D531" s="586"/>
      <c r="E531" s="587"/>
      <c r="F531" s="1925"/>
      <c r="G531" s="587"/>
    </row>
    <row r="532" spans="1:7" x14ac:dyDescent="0.25">
      <c r="A532" s="574"/>
      <c r="B532" s="308"/>
      <c r="C532" s="3" t="s">
        <v>911</v>
      </c>
      <c r="D532" s="586"/>
      <c r="E532" s="587"/>
      <c r="F532" s="1925"/>
      <c r="G532" s="587">
        <f>SUM(G524:G530)</f>
        <v>0</v>
      </c>
    </row>
    <row r="533" spans="1:7" x14ac:dyDescent="0.25">
      <c r="A533" s="530"/>
      <c r="B533" s="583"/>
      <c r="C533" s="579"/>
      <c r="D533" s="308"/>
      <c r="E533" s="577"/>
      <c r="F533" s="1922"/>
      <c r="G533" s="577"/>
    </row>
    <row r="534" spans="1:7" x14ac:dyDescent="0.25">
      <c r="A534" s="574"/>
      <c r="B534" s="575" t="s">
        <v>24</v>
      </c>
      <c r="C534" s="576" t="s">
        <v>874</v>
      </c>
      <c r="D534" s="308"/>
      <c r="E534" s="577"/>
      <c r="F534" s="1922"/>
      <c r="G534" s="577"/>
    </row>
    <row r="535" spans="1:7" x14ac:dyDescent="0.25">
      <c r="A535" s="530"/>
      <c r="B535" s="583"/>
      <c r="C535" s="579"/>
      <c r="D535" s="308"/>
      <c r="E535" s="577"/>
      <c r="F535" s="1922"/>
      <c r="G535" s="581">
        <f t="shared" si="2"/>
        <v>0</v>
      </c>
    </row>
    <row r="536" spans="1:7" ht="60" x14ac:dyDescent="0.25">
      <c r="A536" s="580"/>
      <c r="B536" s="578" t="s">
        <v>32</v>
      </c>
      <c r="C536" s="307" t="s">
        <v>912</v>
      </c>
      <c r="D536" s="1" t="s">
        <v>58</v>
      </c>
      <c r="E536" s="584">
        <v>1</v>
      </c>
      <c r="F536" s="1742"/>
      <c r="G536" s="577">
        <f>ROUND(E536*F536,2)</f>
        <v>0</v>
      </c>
    </row>
    <row r="537" spans="1:7" x14ac:dyDescent="0.25">
      <c r="A537" s="530"/>
      <c r="B537" s="583"/>
      <c r="C537" s="579"/>
      <c r="D537" s="308"/>
      <c r="E537" s="577"/>
      <c r="F537" s="1922"/>
      <c r="G537" s="577"/>
    </row>
    <row r="538" spans="1:7" ht="24" x14ac:dyDescent="0.25">
      <c r="A538" s="580"/>
      <c r="B538" s="578" t="s">
        <v>35</v>
      </c>
      <c r="C538" s="307" t="s">
        <v>913</v>
      </c>
      <c r="D538" s="1" t="s">
        <v>58</v>
      </c>
      <c r="E538" s="584">
        <v>1</v>
      </c>
      <c r="F538" s="1742"/>
      <c r="G538" s="577">
        <f>ROUND(E538*F538,2)</f>
        <v>0</v>
      </c>
    </row>
    <row r="539" spans="1:7" x14ac:dyDescent="0.25">
      <c r="A539" s="530"/>
      <c r="B539" s="583"/>
      <c r="C539" s="579"/>
      <c r="D539" s="308"/>
      <c r="E539" s="577"/>
      <c r="F539" s="1922"/>
      <c r="G539" s="577"/>
    </row>
    <row r="540" spans="1:7" ht="36" x14ac:dyDescent="0.25">
      <c r="A540" s="580"/>
      <c r="B540" s="578" t="s">
        <v>37</v>
      </c>
      <c r="C540" s="307" t="s">
        <v>914</v>
      </c>
      <c r="D540" s="1" t="s">
        <v>58</v>
      </c>
      <c r="E540" s="584">
        <v>1</v>
      </c>
      <c r="F540" s="1742"/>
      <c r="G540" s="577">
        <f>ROUND(E540*F540,2)</f>
        <v>0</v>
      </c>
    </row>
    <row r="541" spans="1:7" x14ac:dyDescent="0.25">
      <c r="A541" s="530"/>
      <c r="B541" s="583"/>
      <c r="C541" s="579"/>
      <c r="D541" s="308"/>
      <c r="E541" s="577"/>
      <c r="F541" s="1922"/>
      <c r="G541" s="577"/>
    </row>
    <row r="542" spans="1:7" ht="36" x14ac:dyDescent="0.25">
      <c r="A542" s="580"/>
      <c r="B542" s="578" t="s">
        <v>40</v>
      </c>
      <c r="C542" s="307" t="s">
        <v>915</v>
      </c>
      <c r="D542" s="1" t="s">
        <v>58</v>
      </c>
      <c r="E542" s="584">
        <v>1</v>
      </c>
      <c r="F542" s="1742"/>
      <c r="G542" s="577">
        <f>ROUND(E542*F542,2)</f>
        <v>0</v>
      </c>
    </row>
    <row r="543" spans="1:7" x14ac:dyDescent="0.25">
      <c r="A543" s="574"/>
      <c r="B543" s="308"/>
      <c r="C543" s="585"/>
      <c r="D543" s="586"/>
      <c r="E543" s="587"/>
      <c r="F543" s="1925"/>
      <c r="G543" s="587"/>
    </row>
    <row r="544" spans="1:7" x14ac:dyDescent="0.25">
      <c r="A544" s="574"/>
      <c r="B544" s="308"/>
      <c r="C544" s="3" t="s">
        <v>916</v>
      </c>
      <c r="D544" s="586"/>
      <c r="E544" s="587"/>
      <c r="F544" s="1925"/>
      <c r="G544" s="587">
        <f>SUM(G536:G542)</f>
        <v>0</v>
      </c>
    </row>
    <row r="545" spans="1:7" x14ac:dyDescent="0.25">
      <c r="A545" s="530"/>
      <c r="B545" s="583"/>
      <c r="C545" s="579"/>
      <c r="D545" s="308"/>
      <c r="E545" s="577"/>
      <c r="F545" s="1922"/>
      <c r="G545" s="577"/>
    </row>
    <row r="546" spans="1:7" x14ac:dyDescent="0.25">
      <c r="A546" s="530"/>
      <c r="B546" s="575" t="s">
        <v>61</v>
      </c>
      <c r="C546" s="377" t="s">
        <v>875</v>
      </c>
      <c r="D546" s="308"/>
      <c r="E546" s="577"/>
      <c r="F546" s="1922"/>
      <c r="G546" s="577"/>
    </row>
    <row r="547" spans="1:7" x14ac:dyDescent="0.25">
      <c r="A547" s="530"/>
      <c r="B547" s="583"/>
      <c r="C547" s="579"/>
      <c r="D547" s="308"/>
      <c r="E547" s="577"/>
      <c r="F547" s="1922"/>
      <c r="G547" s="581">
        <f t="shared" ref="G547" si="3">ROUND(E547*F547,2)</f>
        <v>0</v>
      </c>
    </row>
    <row r="548" spans="1:7" ht="48" x14ac:dyDescent="0.25">
      <c r="A548" s="580"/>
      <c r="B548" s="578" t="s">
        <v>32</v>
      </c>
      <c r="C548" s="307" t="s">
        <v>917</v>
      </c>
      <c r="D548" s="1" t="s">
        <v>71</v>
      </c>
      <c r="E548" s="584">
        <v>116</v>
      </c>
      <c r="F548" s="1742"/>
      <c r="G548" s="577">
        <f>ROUND(E548*F548,2)</f>
        <v>0</v>
      </c>
    </row>
    <row r="549" spans="1:7" x14ac:dyDescent="0.25">
      <c r="A549" s="530"/>
      <c r="B549" s="583"/>
      <c r="C549" s="579"/>
      <c r="D549" s="308"/>
      <c r="E549" s="577"/>
      <c r="F549" s="1922"/>
      <c r="G549" s="577"/>
    </row>
    <row r="550" spans="1:7" ht="36" x14ac:dyDescent="0.25">
      <c r="A550" s="580"/>
      <c r="B550" s="578" t="s">
        <v>35</v>
      </c>
      <c r="C550" s="307" t="s">
        <v>918</v>
      </c>
      <c r="D550" s="1" t="s">
        <v>71</v>
      </c>
      <c r="E550" s="584">
        <v>116</v>
      </c>
      <c r="F550" s="1742"/>
      <c r="G550" s="577">
        <f>ROUND(E550*F550,2)</f>
        <v>0</v>
      </c>
    </row>
    <row r="551" spans="1:7" x14ac:dyDescent="0.25">
      <c r="A551" s="530"/>
      <c r="B551" s="583"/>
      <c r="C551" s="579"/>
      <c r="D551" s="308"/>
      <c r="E551" s="577"/>
      <c r="F551" s="1922"/>
      <c r="G551" s="577"/>
    </row>
    <row r="552" spans="1:7" ht="36" x14ac:dyDescent="0.25">
      <c r="A552" s="580"/>
      <c r="B552" s="578" t="s">
        <v>37</v>
      </c>
      <c r="C552" s="307" t="s">
        <v>919</v>
      </c>
      <c r="D552" s="1" t="s">
        <v>71</v>
      </c>
      <c r="E552" s="584">
        <v>116</v>
      </c>
      <c r="F552" s="1742"/>
      <c r="G552" s="577">
        <f>ROUND(E552*F552,2)</f>
        <v>0</v>
      </c>
    </row>
    <row r="553" spans="1:7" x14ac:dyDescent="0.25">
      <c r="A553" s="530"/>
      <c r="B553" s="583"/>
      <c r="C553" s="579"/>
      <c r="D553" s="308"/>
      <c r="E553" s="577"/>
      <c r="F553" s="1922"/>
      <c r="G553" s="577"/>
    </row>
    <row r="554" spans="1:7" ht="48" x14ac:dyDescent="0.25">
      <c r="A554" s="580"/>
      <c r="B554" s="578" t="s">
        <v>40</v>
      </c>
      <c r="C554" s="307" t="s">
        <v>920</v>
      </c>
      <c r="D554" s="1" t="s">
        <v>71</v>
      </c>
      <c r="E554" s="584">
        <v>116</v>
      </c>
      <c r="F554" s="1742"/>
      <c r="G554" s="577">
        <f>ROUND(E554*F554,2)</f>
        <v>0</v>
      </c>
    </row>
    <row r="555" spans="1:7" x14ac:dyDescent="0.25">
      <c r="A555" s="530"/>
      <c r="B555" s="583"/>
      <c r="C555" s="579"/>
      <c r="D555" s="308"/>
      <c r="E555" s="577"/>
      <c r="F555" s="1922"/>
      <c r="G555" s="577"/>
    </row>
    <row r="556" spans="1:7" ht="48" x14ac:dyDescent="0.25">
      <c r="A556" s="580"/>
      <c r="B556" s="578" t="s">
        <v>42</v>
      </c>
      <c r="C556" s="307" t="s">
        <v>921</v>
      </c>
      <c r="D556" s="1" t="s">
        <v>235</v>
      </c>
      <c r="E556" s="584">
        <v>10.5</v>
      </c>
      <c r="F556" s="1742"/>
      <c r="G556" s="577">
        <f>ROUND(E556*F556,2)</f>
        <v>0</v>
      </c>
    </row>
    <row r="557" spans="1:7" x14ac:dyDescent="0.25">
      <c r="A557" s="530"/>
      <c r="B557" s="583"/>
      <c r="C557" s="579"/>
      <c r="D557" s="308"/>
      <c r="E557" s="577"/>
      <c r="F557" s="1922"/>
      <c r="G557" s="577"/>
    </row>
    <row r="558" spans="1:7" x14ac:dyDescent="0.25">
      <c r="A558" s="580"/>
      <c r="B558" s="578" t="s">
        <v>44</v>
      </c>
      <c r="C558" s="307" t="s">
        <v>922</v>
      </c>
      <c r="D558" s="1" t="s">
        <v>39</v>
      </c>
      <c r="E558" s="584">
        <v>14</v>
      </c>
      <c r="F558" s="1742"/>
      <c r="G558" s="577">
        <f>ROUND(E558*F558,2)</f>
        <v>0</v>
      </c>
    </row>
    <row r="559" spans="1:7" x14ac:dyDescent="0.25">
      <c r="A559" s="530"/>
      <c r="B559" s="583"/>
      <c r="C559" s="579"/>
      <c r="D559" s="308"/>
      <c r="E559" s="577"/>
      <c r="F559" s="1922"/>
      <c r="G559" s="577"/>
    </row>
    <row r="560" spans="1:7" ht="24" x14ac:dyDescent="0.25">
      <c r="A560" s="580"/>
      <c r="B560" s="578" t="s">
        <v>46</v>
      </c>
      <c r="C560" s="307" t="s">
        <v>923</v>
      </c>
      <c r="D560" s="1" t="s">
        <v>235</v>
      </c>
      <c r="E560" s="584">
        <v>21</v>
      </c>
      <c r="F560" s="1742"/>
      <c r="G560" s="577">
        <f>ROUND(E560*F560,2)</f>
        <v>0</v>
      </c>
    </row>
    <row r="561" spans="1:7" x14ac:dyDescent="0.25">
      <c r="A561" s="574"/>
      <c r="B561" s="308"/>
      <c r="C561" s="585"/>
      <c r="D561" s="586"/>
      <c r="E561" s="587"/>
      <c r="F561" s="1925"/>
      <c r="G561" s="587"/>
    </row>
    <row r="562" spans="1:7" x14ac:dyDescent="0.25">
      <c r="A562" s="574"/>
      <c r="B562" s="308"/>
      <c r="C562" s="3" t="s">
        <v>924</v>
      </c>
      <c r="D562" s="586"/>
      <c r="E562" s="587"/>
      <c r="F562" s="1925"/>
      <c r="G562" s="587">
        <f>SUM(G548:G560)</f>
        <v>0</v>
      </c>
    </row>
    <row r="563" spans="1:7" x14ac:dyDescent="0.25">
      <c r="A563" s="530"/>
      <c r="B563" s="583"/>
      <c r="C563" s="579"/>
      <c r="D563" s="308"/>
      <c r="E563" s="577"/>
      <c r="F563" s="1922"/>
      <c r="G563" s="577"/>
    </row>
    <row r="564" spans="1:7" x14ac:dyDescent="0.25">
      <c r="A564" s="530"/>
      <c r="B564" s="575" t="s">
        <v>93</v>
      </c>
      <c r="C564" s="377" t="s">
        <v>876</v>
      </c>
      <c r="D564" s="308"/>
      <c r="E564" s="577"/>
      <c r="F564" s="1922"/>
      <c r="G564" s="577"/>
    </row>
    <row r="565" spans="1:7" x14ac:dyDescent="0.25">
      <c r="A565" s="530"/>
      <c r="B565" s="583"/>
      <c r="C565" s="579"/>
      <c r="D565" s="308"/>
      <c r="E565" s="577"/>
      <c r="F565" s="1922"/>
      <c r="G565" s="581">
        <f t="shared" ref="G565" si="4">ROUND(E565*F565,2)</f>
        <v>0</v>
      </c>
    </row>
    <row r="566" spans="1:7" ht="72" x14ac:dyDescent="0.25">
      <c r="A566" s="580"/>
      <c r="B566" s="578" t="s">
        <v>32</v>
      </c>
      <c r="C566" s="307" t="s">
        <v>925</v>
      </c>
      <c r="D566" s="1" t="s">
        <v>235</v>
      </c>
      <c r="E566" s="584">
        <v>21</v>
      </c>
      <c r="F566" s="1742"/>
      <c r="G566" s="577">
        <f>ROUND(E566*F566,2)</f>
        <v>0</v>
      </c>
    </row>
    <row r="567" spans="1:7" x14ac:dyDescent="0.25">
      <c r="A567" s="530"/>
      <c r="B567" s="583"/>
      <c r="C567" s="579"/>
      <c r="D567" s="308"/>
      <c r="E567" s="577"/>
      <c r="F567" s="1922"/>
      <c r="G567" s="577"/>
    </row>
    <row r="568" spans="1:7" ht="48" x14ac:dyDescent="0.25">
      <c r="A568" s="580"/>
      <c r="B568" s="578" t="s">
        <v>35</v>
      </c>
      <c r="C568" s="307" t="s">
        <v>926</v>
      </c>
      <c r="D568" s="1" t="s">
        <v>235</v>
      </c>
      <c r="E568" s="584">
        <v>10</v>
      </c>
      <c r="F568" s="1742"/>
      <c r="G568" s="577">
        <f>ROUND(E568*F568,2)</f>
        <v>0</v>
      </c>
    </row>
    <row r="569" spans="1:7" x14ac:dyDescent="0.25">
      <c r="A569" s="530"/>
      <c r="B569" s="583"/>
      <c r="C569" s="579"/>
      <c r="D569" s="308"/>
      <c r="E569" s="577"/>
      <c r="F569" s="1922"/>
      <c r="G569" s="577"/>
    </row>
    <row r="570" spans="1:7" ht="60" x14ac:dyDescent="0.25">
      <c r="A570" s="580"/>
      <c r="B570" s="578" t="s">
        <v>37</v>
      </c>
      <c r="C570" s="307" t="s">
        <v>927</v>
      </c>
      <c r="D570" s="1" t="s">
        <v>235</v>
      </c>
      <c r="E570" s="584">
        <v>22.8</v>
      </c>
      <c r="F570" s="1742"/>
      <c r="G570" s="577">
        <f>ROUND(E570*F570,2)</f>
        <v>0</v>
      </c>
    </row>
    <row r="571" spans="1:7" x14ac:dyDescent="0.25">
      <c r="A571" s="530"/>
      <c r="B571" s="583"/>
      <c r="C571" s="579"/>
      <c r="D571" s="308"/>
      <c r="E571" s="577"/>
      <c r="F571" s="1922"/>
      <c r="G571" s="577"/>
    </row>
    <row r="572" spans="1:7" ht="60" x14ac:dyDescent="0.25">
      <c r="A572" s="580"/>
      <c r="B572" s="578" t="s">
        <v>40</v>
      </c>
      <c r="C572" s="307" t="s">
        <v>928</v>
      </c>
      <c r="D572" s="1" t="s">
        <v>235</v>
      </c>
      <c r="E572" s="584">
        <v>4</v>
      </c>
      <c r="F572" s="1742"/>
      <c r="G572" s="577">
        <f>ROUND(E572*F572,2)</f>
        <v>0</v>
      </c>
    </row>
    <row r="573" spans="1:7" x14ac:dyDescent="0.25">
      <c r="A573" s="530"/>
      <c r="B573" s="583"/>
      <c r="C573" s="579"/>
      <c r="D573" s="308"/>
      <c r="E573" s="577"/>
      <c r="F573" s="1922"/>
      <c r="G573" s="577"/>
    </row>
    <row r="574" spans="1:7" ht="72" x14ac:dyDescent="0.25">
      <c r="A574" s="580"/>
      <c r="B574" s="578" t="s">
        <v>42</v>
      </c>
      <c r="C574" s="307" t="s">
        <v>929</v>
      </c>
      <c r="D574" s="1" t="s">
        <v>235</v>
      </c>
      <c r="E574" s="584">
        <v>35</v>
      </c>
      <c r="F574" s="1742"/>
      <c r="G574" s="577">
        <f>ROUND(E574*F574,2)</f>
        <v>0</v>
      </c>
    </row>
    <row r="575" spans="1:7" x14ac:dyDescent="0.25">
      <c r="A575" s="574"/>
      <c r="B575" s="308"/>
      <c r="C575" s="585"/>
      <c r="D575" s="586"/>
      <c r="E575" s="587"/>
      <c r="F575" s="1925"/>
      <c r="G575" s="587"/>
    </row>
    <row r="576" spans="1:7" x14ac:dyDescent="0.25">
      <c r="A576" s="574"/>
      <c r="B576" s="308"/>
      <c r="C576" s="3" t="s">
        <v>930</v>
      </c>
      <c r="D576" s="586"/>
      <c r="E576" s="587"/>
      <c r="F576" s="1925"/>
      <c r="G576" s="587">
        <f>SUM(G566:G574)</f>
        <v>0</v>
      </c>
    </row>
    <row r="577" spans="1:7" x14ac:dyDescent="0.25">
      <c r="A577" s="530"/>
      <c r="B577" s="583"/>
      <c r="C577" s="579"/>
      <c r="D577" s="308"/>
      <c r="E577" s="577"/>
      <c r="F577" s="1922"/>
      <c r="G577" s="577"/>
    </row>
    <row r="578" spans="1:7" x14ac:dyDescent="0.25">
      <c r="A578" s="530"/>
      <c r="B578" s="575" t="s">
        <v>114</v>
      </c>
      <c r="C578" s="377" t="s">
        <v>877</v>
      </c>
      <c r="D578" s="308"/>
      <c r="E578" s="577"/>
      <c r="F578" s="1922"/>
      <c r="G578" s="577"/>
    </row>
    <row r="579" spans="1:7" x14ac:dyDescent="0.25">
      <c r="A579" s="530"/>
      <c r="B579" s="583"/>
      <c r="C579" s="579"/>
      <c r="D579" s="308"/>
      <c r="E579" s="577"/>
      <c r="F579" s="1922"/>
      <c r="G579" s="577"/>
    </row>
    <row r="580" spans="1:7" ht="48" x14ac:dyDescent="0.25">
      <c r="A580" s="580"/>
      <c r="B580" s="578" t="s">
        <v>32</v>
      </c>
      <c r="C580" s="307" t="s">
        <v>931</v>
      </c>
      <c r="D580" s="1" t="s">
        <v>71</v>
      </c>
      <c r="E580" s="584">
        <v>200</v>
      </c>
      <c r="F580" s="1742"/>
      <c r="G580" s="577">
        <f>ROUND(E580*F580,2)</f>
        <v>0</v>
      </c>
    </row>
    <row r="581" spans="1:7" x14ac:dyDescent="0.25">
      <c r="A581" s="530"/>
      <c r="B581" s="583"/>
      <c r="C581" s="579"/>
      <c r="D581" s="308"/>
      <c r="E581" s="577"/>
      <c r="F581" s="1922"/>
      <c r="G581" s="577"/>
    </row>
    <row r="582" spans="1:7" ht="72" x14ac:dyDescent="0.25">
      <c r="A582" s="580"/>
      <c r="B582" s="578" t="s">
        <v>35</v>
      </c>
      <c r="C582" s="307" t="s">
        <v>932</v>
      </c>
      <c r="D582" s="1" t="s">
        <v>71</v>
      </c>
      <c r="E582" s="584">
        <v>140</v>
      </c>
      <c r="F582" s="1742"/>
      <c r="G582" s="577">
        <f>ROUND(E582*F582,2)</f>
        <v>0</v>
      </c>
    </row>
    <row r="583" spans="1:7" x14ac:dyDescent="0.25">
      <c r="A583" s="530"/>
      <c r="B583" s="583"/>
      <c r="C583" s="579"/>
      <c r="D583" s="308"/>
      <c r="E583" s="577"/>
      <c r="F583" s="1922"/>
      <c r="G583" s="577"/>
    </row>
    <row r="584" spans="1:7" x14ac:dyDescent="0.25">
      <c r="A584" s="580"/>
      <c r="B584" s="578" t="s">
        <v>37</v>
      </c>
      <c r="C584" s="307" t="s">
        <v>933</v>
      </c>
      <c r="D584" s="1" t="s">
        <v>71</v>
      </c>
      <c r="E584" s="584">
        <v>27</v>
      </c>
      <c r="F584" s="1742"/>
      <c r="G584" s="577">
        <f>ROUND(E584*F584,2)</f>
        <v>0</v>
      </c>
    </row>
    <row r="585" spans="1:7" x14ac:dyDescent="0.25">
      <c r="A585" s="574"/>
      <c r="B585" s="308"/>
      <c r="C585" s="585"/>
      <c r="D585" s="586"/>
      <c r="E585" s="587"/>
      <c r="F585" s="1925"/>
      <c r="G585" s="587"/>
    </row>
    <row r="586" spans="1:7" x14ac:dyDescent="0.25">
      <c r="A586" s="574"/>
      <c r="B586" s="308"/>
      <c r="C586" s="3" t="s">
        <v>934</v>
      </c>
      <c r="D586" s="586"/>
      <c r="E586" s="587"/>
      <c r="F586" s="1925"/>
      <c r="G586" s="587">
        <f>SUM(G580:G584)</f>
        <v>0</v>
      </c>
    </row>
    <row r="587" spans="1:7" x14ac:dyDescent="0.25">
      <c r="A587" s="530"/>
      <c r="B587" s="583"/>
      <c r="C587" s="579"/>
      <c r="D587" s="308"/>
      <c r="E587" s="577"/>
      <c r="F587" s="1922"/>
      <c r="G587" s="577"/>
    </row>
    <row r="588" spans="1:7" x14ac:dyDescent="0.25">
      <c r="A588" s="530"/>
      <c r="B588" s="575" t="s">
        <v>116</v>
      </c>
      <c r="C588" s="377" t="s">
        <v>878</v>
      </c>
      <c r="D588" s="308"/>
      <c r="E588" s="577"/>
      <c r="F588" s="1922"/>
      <c r="G588" s="577"/>
    </row>
    <row r="589" spans="1:7" x14ac:dyDescent="0.25">
      <c r="A589" s="530"/>
      <c r="B589" s="583"/>
      <c r="C589" s="579"/>
      <c r="D589" s="308"/>
      <c r="E589" s="577"/>
      <c r="F589" s="1922"/>
      <c r="G589" s="581">
        <f t="shared" ref="G589" si="5">ROUND(E589*F589,2)</f>
        <v>0</v>
      </c>
    </row>
    <row r="590" spans="1:7" ht="60" x14ac:dyDescent="0.25">
      <c r="A590" s="580"/>
      <c r="B590" s="578" t="s">
        <v>32</v>
      </c>
      <c r="C590" s="307" t="s">
        <v>935</v>
      </c>
      <c r="D590" s="1" t="s">
        <v>71</v>
      </c>
      <c r="E590" s="584">
        <v>253</v>
      </c>
      <c r="F590" s="1742"/>
      <c r="G590" s="577">
        <f>ROUND(E590*F590,2)</f>
        <v>0</v>
      </c>
    </row>
    <row r="591" spans="1:7" x14ac:dyDescent="0.25">
      <c r="A591" s="530"/>
      <c r="B591" s="583"/>
      <c r="C591" s="579"/>
      <c r="D591" s="308"/>
      <c r="E591" s="577"/>
      <c r="F591" s="1922"/>
      <c r="G591" s="577"/>
    </row>
    <row r="592" spans="1:7" ht="26.25" customHeight="1" x14ac:dyDescent="0.25">
      <c r="A592" s="580"/>
      <c r="B592" s="578" t="s">
        <v>35</v>
      </c>
      <c r="C592" s="307" t="s">
        <v>936</v>
      </c>
      <c r="D592" s="1" t="s">
        <v>71</v>
      </c>
      <c r="E592" s="584">
        <v>35</v>
      </c>
      <c r="F592" s="1742"/>
      <c r="G592" s="577">
        <f>ROUND(E592*F592,2)</f>
        <v>0</v>
      </c>
    </row>
    <row r="593" spans="1:7" x14ac:dyDescent="0.25">
      <c r="A593" s="530"/>
      <c r="B593" s="583"/>
      <c r="C593" s="579"/>
      <c r="D593" s="308"/>
      <c r="E593" s="577"/>
      <c r="F593" s="1922"/>
      <c r="G593" s="577"/>
    </row>
    <row r="594" spans="1:7" x14ac:dyDescent="0.25">
      <c r="A594" s="580"/>
      <c r="B594" s="578" t="s">
        <v>37</v>
      </c>
      <c r="C594" s="307" t="s">
        <v>937</v>
      </c>
      <c r="D594" s="1" t="s">
        <v>71</v>
      </c>
      <c r="E594" s="584">
        <v>54</v>
      </c>
      <c r="F594" s="1742"/>
      <c r="G594" s="577">
        <f>ROUND(E594*F594,2)</f>
        <v>0</v>
      </c>
    </row>
    <row r="595" spans="1:7" x14ac:dyDescent="0.25">
      <c r="A595" s="530"/>
      <c r="B595" s="583"/>
      <c r="C595" s="579"/>
      <c r="D595" s="308"/>
      <c r="E595" s="577"/>
      <c r="F595" s="1922"/>
      <c r="G595" s="577"/>
    </row>
    <row r="596" spans="1:7" x14ac:dyDescent="0.25">
      <c r="A596" s="580"/>
      <c r="B596" s="578" t="s">
        <v>40</v>
      </c>
      <c r="C596" s="307" t="s">
        <v>938</v>
      </c>
      <c r="D596" s="1" t="s">
        <v>58</v>
      </c>
      <c r="E596" s="584">
        <v>1</v>
      </c>
      <c r="F596" s="1742"/>
      <c r="G596" s="577">
        <f>ROUND(E596*F596,2)</f>
        <v>0</v>
      </c>
    </row>
    <row r="597" spans="1:7" x14ac:dyDescent="0.25">
      <c r="A597" s="574"/>
      <c r="B597" s="308"/>
      <c r="C597" s="585"/>
      <c r="D597" s="586"/>
      <c r="E597" s="587"/>
      <c r="F597" s="1925"/>
      <c r="G597" s="587"/>
    </row>
    <row r="598" spans="1:7" x14ac:dyDescent="0.25">
      <c r="A598" s="574"/>
      <c r="B598" s="308"/>
      <c r="C598" s="3" t="s">
        <v>939</v>
      </c>
      <c r="D598" s="586"/>
      <c r="E598" s="587"/>
      <c r="F598" s="1925"/>
      <c r="G598" s="587">
        <f>SUM(G590:G596)</f>
        <v>0</v>
      </c>
    </row>
    <row r="599" spans="1:7" x14ac:dyDescent="0.25">
      <c r="A599" s="530"/>
      <c r="B599" s="583"/>
      <c r="C599" s="579"/>
      <c r="D599" s="308"/>
      <c r="E599" s="577"/>
      <c r="F599" s="1922"/>
      <c r="G599" s="577"/>
    </row>
    <row r="600" spans="1:7" x14ac:dyDescent="0.25">
      <c r="A600" s="530"/>
      <c r="B600" s="575" t="s">
        <v>118</v>
      </c>
      <c r="C600" s="377" t="s">
        <v>879</v>
      </c>
      <c r="D600" s="308"/>
      <c r="E600" s="577"/>
      <c r="F600" s="1922"/>
      <c r="G600" s="577"/>
    </row>
    <row r="601" spans="1:7" x14ac:dyDescent="0.25">
      <c r="A601" s="530"/>
      <c r="B601" s="583"/>
      <c r="C601" s="579"/>
      <c r="D601" s="308"/>
      <c r="E601" s="577"/>
      <c r="F601" s="1922"/>
      <c r="G601" s="581">
        <f t="shared" ref="G601" si="6">ROUND(E601*F601,2)</f>
        <v>0</v>
      </c>
    </row>
    <row r="602" spans="1:7" ht="84" x14ac:dyDescent="0.25">
      <c r="A602" s="580"/>
      <c r="B602" s="578" t="s">
        <v>32</v>
      </c>
      <c r="C602" s="307" t="s">
        <v>940</v>
      </c>
      <c r="D602" s="1" t="s">
        <v>58</v>
      </c>
      <c r="E602" s="584">
        <v>1</v>
      </c>
      <c r="F602" s="1742"/>
      <c r="G602" s="577">
        <f>ROUND(E602*F602,2)</f>
        <v>0</v>
      </c>
    </row>
    <row r="603" spans="1:7" x14ac:dyDescent="0.25">
      <c r="A603" s="530"/>
      <c r="B603" s="583"/>
      <c r="C603" s="579"/>
      <c r="D603" s="308"/>
      <c r="E603" s="577"/>
      <c r="F603" s="1922"/>
      <c r="G603" s="577"/>
    </row>
    <row r="604" spans="1:7" ht="112.5" customHeight="1" x14ac:dyDescent="0.25">
      <c r="A604" s="580"/>
      <c r="B604" s="578" t="s">
        <v>35</v>
      </c>
      <c r="C604" s="307" t="s">
        <v>941</v>
      </c>
      <c r="D604" s="1" t="s">
        <v>58</v>
      </c>
      <c r="E604" s="584">
        <v>1</v>
      </c>
      <c r="F604" s="1742"/>
      <c r="G604" s="577">
        <f>ROUND(E604*F604,2)</f>
        <v>0</v>
      </c>
    </row>
    <row r="605" spans="1:7" x14ac:dyDescent="0.25">
      <c r="A605" s="530"/>
      <c r="B605" s="583"/>
      <c r="C605" s="579"/>
      <c r="D605" s="308"/>
      <c r="E605" s="577"/>
      <c r="F605" s="1922"/>
      <c r="G605" s="577"/>
    </row>
    <row r="606" spans="1:7" ht="48" x14ac:dyDescent="0.25">
      <c r="A606" s="580"/>
      <c r="B606" s="578" t="s">
        <v>37</v>
      </c>
      <c r="C606" s="307" t="s">
        <v>942</v>
      </c>
      <c r="D606" s="1" t="s">
        <v>58</v>
      </c>
      <c r="E606" s="584">
        <v>1</v>
      </c>
      <c r="F606" s="1742"/>
      <c r="G606" s="577">
        <f>ROUND(E606*F606,2)</f>
        <v>0</v>
      </c>
    </row>
    <row r="607" spans="1:7" x14ac:dyDescent="0.25">
      <c r="A607" s="530"/>
      <c r="B607" s="583"/>
      <c r="C607" s="579"/>
      <c r="D607" s="308"/>
      <c r="E607" s="577"/>
      <c r="F607" s="1922"/>
      <c r="G607" s="577"/>
    </row>
    <row r="608" spans="1:7" ht="48" x14ac:dyDescent="0.25">
      <c r="A608" s="580"/>
      <c r="B608" s="578" t="s">
        <v>40</v>
      </c>
      <c r="C608" s="307" t="s">
        <v>943</v>
      </c>
      <c r="D608" s="1" t="s">
        <v>58</v>
      </c>
      <c r="E608" s="584">
        <v>1</v>
      </c>
      <c r="F608" s="1742"/>
      <c r="G608" s="577">
        <f>ROUND(E608*F608,2)</f>
        <v>0</v>
      </c>
    </row>
    <row r="609" spans="1:7" x14ac:dyDescent="0.25">
      <c r="A609" s="530"/>
      <c r="B609" s="583"/>
      <c r="C609" s="579"/>
      <c r="D609" s="308"/>
      <c r="E609" s="577"/>
      <c r="F609" s="1922"/>
      <c r="G609" s="577"/>
    </row>
    <row r="610" spans="1:7" ht="60" x14ac:dyDescent="0.25">
      <c r="A610" s="580"/>
      <c r="B610" s="578" t="s">
        <v>42</v>
      </c>
      <c r="C610" s="307" t="s">
        <v>944</v>
      </c>
      <c r="D610" s="1" t="s">
        <v>58</v>
      </c>
      <c r="E610" s="584">
        <v>1</v>
      </c>
      <c r="F610" s="1742"/>
      <c r="G610" s="577">
        <f>ROUND(E610*F610,2)</f>
        <v>0</v>
      </c>
    </row>
    <row r="611" spans="1:7" x14ac:dyDescent="0.25">
      <c r="A611" s="530"/>
      <c r="B611" s="583"/>
      <c r="C611" s="579"/>
      <c r="D611" s="308"/>
      <c r="E611" s="577"/>
      <c r="F611" s="1922"/>
      <c r="G611" s="577"/>
    </row>
    <row r="612" spans="1:7" ht="60" x14ac:dyDescent="0.25">
      <c r="A612" s="580"/>
      <c r="B612" s="578" t="s">
        <v>44</v>
      </c>
      <c r="C612" s="307" t="s">
        <v>945</v>
      </c>
      <c r="D612" s="1" t="s">
        <v>235</v>
      </c>
      <c r="E612" s="584">
        <v>10</v>
      </c>
      <c r="F612" s="1742"/>
      <c r="G612" s="577">
        <f>ROUND(E612*F612,2)</f>
        <v>0</v>
      </c>
    </row>
    <row r="613" spans="1:7" x14ac:dyDescent="0.25">
      <c r="A613" s="530"/>
      <c r="B613" s="583"/>
      <c r="C613" s="579"/>
      <c r="D613" s="308"/>
      <c r="E613" s="577"/>
      <c r="F613" s="1922"/>
      <c r="G613" s="577"/>
    </row>
    <row r="614" spans="1:7" ht="36" x14ac:dyDescent="0.25">
      <c r="A614" s="580"/>
      <c r="B614" s="578" t="s">
        <v>46</v>
      </c>
      <c r="C614" s="307" t="s">
        <v>946</v>
      </c>
      <c r="D614" s="1"/>
      <c r="E614" s="584"/>
      <c r="F614" s="1742"/>
      <c r="G614" s="577"/>
    </row>
    <row r="615" spans="1:7" x14ac:dyDescent="0.25">
      <c r="A615" s="580"/>
      <c r="B615" s="578" t="s">
        <v>97</v>
      </c>
      <c r="C615" s="307" t="s">
        <v>947</v>
      </c>
      <c r="D615" s="1" t="s">
        <v>235</v>
      </c>
      <c r="E615" s="584">
        <v>5</v>
      </c>
      <c r="F615" s="1742"/>
      <c r="G615" s="577">
        <f>ROUND(E615*F615,2)</f>
        <v>0</v>
      </c>
    </row>
    <row r="616" spans="1:7" x14ac:dyDescent="0.25">
      <c r="A616" s="580"/>
      <c r="B616" s="578" t="s">
        <v>99</v>
      </c>
      <c r="C616" s="307" t="s">
        <v>948</v>
      </c>
      <c r="D616" s="1" t="s">
        <v>235</v>
      </c>
      <c r="E616" s="584">
        <v>5</v>
      </c>
      <c r="F616" s="1742"/>
      <c r="G616" s="577">
        <f>ROUND(E616*F616,2)</f>
        <v>0</v>
      </c>
    </row>
    <row r="617" spans="1:7" x14ac:dyDescent="0.25">
      <c r="A617" s="580"/>
      <c r="B617" s="578" t="s">
        <v>124</v>
      </c>
      <c r="C617" s="307" t="s">
        <v>949</v>
      </c>
      <c r="D617" s="1" t="s">
        <v>235</v>
      </c>
      <c r="E617" s="584">
        <v>5</v>
      </c>
      <c r="F617" s="1742"/>
      <c r="G617" s="577">
        <f>ROUND(E617*F617,2)</f>
        <v>0</v>
      </c>
    </row>
    <row r="618" spans="1:7" x14ac:dyDescent="0.25">
      <c r="A618" s="530"/>
      <c r="B618" s="583"/>
      <c r="C618" s="579"/>
      <c r="D618" s="308"/>
      <c r="E618" s="577"/>
      <c r="F618" s="1922"/>
      <c r="G618" s="577"/>
    </row>
    <row r="619" spans="1:7" ht="24" x14ac:dyDescent="0.25">
      <c r="A619" s="580"/>
      <c r="B619" s="578" t="s">
        <v>48</v>
      </c>
      <c r="C619" s="307" t="s">
        <v>950</v>
      </c>
      <c r="D619" s="1" t="s">
        <v>58</v>
      </c>
      <c r="E619" s="584">
        <v>1</v>
      </c>
      <c r="F619" s="1742"/>
      <c r="G619" s="577">
        <f>ROUND(E619*F619,2)</f>
        <v>0</v>
      </c>
    </row>
    <row r="620" spans="1:7" x14ac:dyDescent="0.25">
      <c r="A620" s="530"/>
      <c r="B620" s="583"/>
      <c r="C620" s="599"/>
      <c r="D620" s="308"/>
      <c r="E620" s="577"/>
      <c r="F620" s="1922"/>
      <c r="G620" s="577"/>
    </row>
    <row r="621" spans="1:7" x14ac:dyDescent="0.25">
      <c r="A621" s="580"/>
      <c r="B621" s="578" t="s">
        <v>50</v>
      </c>
      <c r="C621" s="600" t="s">
        <v>951</v>
      </c>
      <c r="D621" s="1" t="s">
        <v>58</v>
      </c>
      <c r="E621" s="584">
        <v>1</v>
      </c>
      <c r="F621" s="1742"/>
      <c r="G621" s="577">
        <f>ROUND(E621*F621,2)</f>
        <v>0</v>
      </c>
    </row>
    <row r="622" spans="1:7" x14ac:dyDescent="0.25">
      <c r="A622" s="530"/>
      <c r="B622" s="583"/>
      <c r="C622" s="599"/>
      <c r="D622" s="308"/>
      <c r="E622" s="577"/>
      <c r="F622" s="1922"/>
      <c r="G622" s="577"/>
    </row>
    <row r="623" spans="1:7" ht="24" x14ac:dyDescent="0.25">
      <c r="A623" s="580"/>
      <c r="B623" s="578" t="s">
        <v>52</v>
      </c>
      <c r="C623" s="600" t="s">
        <v>952</v>
      </c>
      <c r="D623" s="1" t="s">
        <v>58</v>
      </c>
      <c r="E623" s="584">
        <v>2</v>
      </c>
      <c r="F623" s="1742"/>
      <c r="G623" s="577">
        <f>ROUND(E623*F623,2)</f>
        <v>0</v>
      </c>
    </row>
    <row r="624" spans="1:7" x14ac:dyDescent="0.25">
      <c r="A624" s="530"/>
      <c r="B624" s="583"/>
      <c r="C624" s="599"/>
      <c r="D624" s="308"/>
      <c r="E624" s="577"/>
      <c r="F624" s="1922"/>
      <c r="G624" s="577"/>
    </row>
    <row r="625" spans="1:7" ht="24" x14ac:dyDescent="0.25">
      <c r="A625" s="580"/>
      <c r="B625" s="578" t="s">
        <v>54</v>
      </c>
      <c r="C625" s="600" t="s">
        <v>953</v>
      </c>
      <c r="D625" s="1" t="s">
        <v>58</v>
      </c>
      <c r="E625" s="584">
        <v>1</v>
      </c>
      <c r="F625" s="1742"/>
      <c r="G625" s="577">
        <f>ROUND(E625*F625,2)</f>
        <v>0</v>
      </c>
    </row>
    <row r="626" spans="1:7" x14ac:dyDescent="0.25">
      <c r="A626" s="530"/>
      <c r="B626" s="583"/>
      <c r="C626" s="579"/>
      <c r="D626" s="308"/>
      <c r="E626" s="577"/>
      <c r="F626" s="1922"/>
      <c r="G626" s="577"/>
    </row>
    <row r="627" spans="1:7" x14ac:dyDescent="0.25">
      <c r="A627" s="580"/>
      <c r="B627" s="578" t="s">
        <v>56</v>
      </c>
      <c r="C627" s="307" t="s">
        <v>954</v>
      </c>
      <c r="D627" s="1" t="s">
        <v>58</v>
      </c>
      <c r="E627" s="584">
        <v>1</v>
      </c>
      <c r="F627" s="1742"/>
      <c r="G627" s="577">
        <f>ROUND(E627*F627,2)</f>
        <v>0</v>
      </c>
    </row>
    <row r="628" spans="1:7" x14ac:dyDescent="0.25">
      <c r="A628" s="574"/>
      <c r="B628" s="308"/>
      <c r="C628" s="585"/>
      <c r="D628" s="586"/>
      <c r="E628" s="587"/>
      <c r="F628" s="1925"/>
      <c r="G628" s="587"/>
    </row>
    <row r="629" spans="1:7" x14ac:dyDescent="0.25">
      <c r="A629" s="574"/>
      <c r="B629" s="308"/>
      <c r="C629" s="3" t="s">
        <v>955</v>
      </c>
      <c r="D629" s="586"/>
      <c r="E629" s="587"/>
      <c r="F629" s="1925"/>
      <c r="G629" s="587">
        <f>SUM(G602:G627)</f>
        <v>0</v>
      </c>
    </row>
    <row r="630" spans="1:7" x14ac:dyDescent="0.25">
      <c r="A630" s="530"/>
      <c r="B630" s="583"/>
      <c r="C630" s="579"/>
      <c r="D630" s="308"/>
      <c r="E630" s="577"/>
      <c r="F630" s="1922"/>
      <c r="G630" s="577"/>
    </row>
    <row r="631" spans="1:7" x14ac:dyDescent="0.25">
      <c r="A631" s="530"/>
      <c r="B631" s="575" t="s">
        <v>809</v>
      </c>
      <c r="C631" s="377" t="s">
        <v>811</v>
      </c>
      <c r="D631" s="308"/>
      <c r="E631" s="577"/>
      <c r="F631" s="1922"/>
      <c r="G631" s="577"/>
    </row>
    <row r="632" spans="1:7" x14ac:dyDescent="0.25">
      <c r="A632" s="530"/>
      <c r="B632" s="583"/>
      <c r="C632" s="579"/>
      <c r="D632" s="308"/>
      <c r="E632" s="577"/>
      <c r="F632" s="1922"/>
      <c r="G632" s="581">
        <f t="shared" ref="G632" si="7">ROUND(E632*F632,2)</f>
        <v>0</v>
      </c>
    </row>
    <row r="633" spans="1:7" ht="60" x14ac:dyDescent="0.25">
      <c r="A633" s="580"/>
      <c r="B633" s="578" t="s">
        <v>32</v>
      </c>
      <c r="C633" s="307" t="s">
        <v>956</v>
      </c>
      <c r="D633" s="1" t="s">
        <v>58</v>
      </c>
      <c r="E633" s="584">
        <v>1</v>
      </c>
      <c r="F633" s="1742"/>
      <c r="G633" s="577">
        <f>ROUND(E633*F633,2)</f>
        <v>0</v>
      </c>
    </row>
    <row r="634" spans="1:7" x14ac:dyDescent="0.25">
      <c r="A634" s="530"/>
      <c r="B634" s="583"/>
      <c r="C634" s="579"/>
      <c r="D634" s="308"/>
      <c r="E634" s="577"/>
      <c r="F634" s="1922"/>
      <c r="G634" s="577"/>
    </row>
    <row r="635" spans="1:7" ht="24" x14ac:dyDescent="0.25">
      <c r="A635" s="580"/>
      <c r="B635" s="578" t="s">
        <v>35</v>
      </c>
      <c r="C635" s="307" t="s">
        <v>957</v>
      </c>
      <c r="D635" s="1" t="s">
        <v>58</v>
      </c>
      <c r="E635" s="584">
        <v>1</v>
      </c>
      <c r="F635" s="1742"/>
      <c r="G635" s="577">
        <f>ROUND(E635*F635,2)</f>
        <v>0</v>
      </c>
    </row>
    <row r="636" spans="1:7" x14ac:dyDescent="0.25">
      <c r="A636" s="574"/>
      <c r="B636" s="308"/>
      <c r="C636" s="585"/>
      <c r="D636" s="586"/>
      <c r="E636" s="587"/>
      <c r="F636" s="1925"/>
      <c r="G636" s="587"/>
    </row>
    <row r="637" spans="1:7" x14ac:dyDescent="0.25">
      <c r="A637" s="574"/>
      <c r="B637" s="308"/>
      <c r="C637" s="3" t="s">
        <v>825</v>
      </c>
      <c r="D637" s="586"/>
      <c r="E637" s="587"/>
      <c r="F637" s="1925"/>
      <c r="G637" s="587">
        <f>SUM(G633:G635)</f>
        <v>0</v>
      </c>
    </row>
    <row r="638" spans="1:7" x14ac:dyDescent="0.25">
      <c r="A638" s="580"/>
      <c r="B638" s="308"/>
      <c r="C638" s="582"/>
      <c r="D638" s="308"/>
      <c r="E638" s="577"/>
      <c r="F638" s="1922"/>
      <c r="G638" s="577"/>
    </row>
    <row r="639" spans="1:7" x14ac:dyDescent="0.25">
      <c r="A639" s="574"/>
      <c r="B639" s="578"/>
      <c r="C639" s="579"/>
      <c r="D639" s="308"/>
      <c r="E639" s="577"/>
      <c r="F639" s="1922"/>
      <c r="G639" s="577"/>
    </row>
  </sheetData>
  <sheetProtection algorithmName="SHA-512" hashValue="cogjxjVW5ugEk8ml0w1R4+HrIFwLV1xU/e5OASW/45iRX/9ON7PqhfyP11lu5GcbgFDFELtIXYOnOaCCBzDxFg==" saltValue="Dxh0gbL+DCdcm81BwpYjuA==" spinCount="100000" sheet="1" objects="1" scenarios="1"/>
  <mergeCells count="1">
    <mergeCell ref="C384:E384"/>
  </mergeCells>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rowBreaks count="7" manualBreakCount="7">
    <brk id="52" max="16383" man="1"/>
    <brk id="107" max="16383" man="1"/>
    <brk id="159" max="16383" man="1"/>
    <brk id="186" max="16383" man="1"/>
    <brk id="239" max="16383" man="1"/>
    <brk id="355" max="16383" man="1"/>
    <brk id="4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L38"/>
  <sheetViews>
    <sheetView zoomScale="115" zoomScaleNormal="115" zoomScaleSheetLayoutView="100" workbookViewId="0"/>
  </sheetViews>
  <sheetFormatPr defaultColWidth="9.140625" defaultRowHeight="14.25" x14ac:dyDescent="0.2"/>
  <cols>
    <col min="1" max="1" width="4.85546875" style="1649" customWidth="1"/>
    <col min="2" max="2" width="6" style="1649" customWidth="1"/>
    <col min="3" max="3" width="39.28515625" style="1649" customWidth="1"/>
    <col min="4" max="4" width="5.5703125" style="1649" customWidth="1"/>
    <col min="5" max="5" width="10.5703125" style="1649" bestFit="1" customWidth="1"/>
    <col min="6" max="6" width="10.42578125" style="1649" bestFit="1" customWidth="1"/>
    <col min="7" max="7" width="14.5703125" style="1649" bestFit="1" customWidth="1"/>
    <col min="8" max="8" width="9.140625" style="1649"/>
    <col min="9" max="9" width="10.7109375" style="1649" bestFit="1" customWidth="1"/>
    <col min="10" max="10" width="9.140625" style="1649"/>
    <col min="11" max="12" width="10.7109375" style="1649" bestFit="1" customWidth="1"/>
    <col min="13" max="16384" width="9.140625" style="1649"/>
  </cols>
  <sheetData>
    <row r="1" spans="1:12" ht="18" x14ac:dyDescent="0.2">
      <c r="A1" s="184" t="s">
        <v>1445</v>
      </c>
      <c r="B1" s="185"/>
      <c r="C1" s="186"/>
      <c r="D1" s="186"/>
      <c r="E1" s="187"/>
      <c r="F1" s="185"/>
      <c r="G1" s="185"/>
    </row>
    <row r="2" spans="1:12" ht="18" x14ac:dyDescent="0.2">
      <c r="A2" s="184"/>
      <c r="B2" s="188"/>
      <c r="C2" s="186"/>
      <c r="D2" s="186"/>
      <c r="E2" s="187"/>
      <c r="F2" s="185"/>
      <c r="G2" s="185"/>
    </row>
    <row r="3" spans="1:12" ht="18" x14ac:dyDescent="0.2">
      <c r="A3" s="189" t="s">
        <v>3</v>
      </c>
      <c r="B3" s="190"/>
      <c r="C3" s="191" t="s">
        <v>330</v>
      </c>
      <c r="D3" s="186"/>
      <c r="E3" s="187"/>
      <c r="F3" s="185"/>
      <c r="G3" s="185"/>
    </row>
    <row r="4" spans="1:12" x14ac:dyDescent="0.2">
      <c r="A4" s="1650"/>
      <c r="B4" s="1650"/>
      <c r="C4" s="1651"/>
      <c r="D4" s="1652"/>
      <c r="E4" s="1653"/>
      <c r="F4" s="1654"/>
      <c r="G4" s="1654"/>
    </row>
    <row r="5" spans="1:12" ht="18.75" thickBot="1" x14ac:dyDescent="0.25">
      <c r="A5" s="1655" t="s">
        <v>76</v>
      </c>
      <c r="B5" s="1656"/>
      <c r="C5" s="1657"/>
      <c r="D5" s="1658"/>
      <c r="E5" s="1659"/>
      <c r="F5" s="1660"/>
      <c r="G5" s="1660"/>
    </row>
    <row r="6" spans="1:12" x14ac:dyDescent="0.2">
      <c r="A6" s="1661"/>
      <c r="B6" s="1662"/>
      <c r="C6" s="1663"/>
      <c r="D6" s="1664"/>
      <c r="E6" s="1665"/>
      <c r="F6" s="1662"/>
      <c r="G6" s="1662"/>
    </row>
    <row r="7" spans="1:12" ht="15" x14ac:dyDescent="0.2">
      <c r="A7" s="1661"/>
      <c r="C7" s="199" t="s">
        <v>21</v>
      </c>
      <c r="D7" s="1664"/>
      <c r="E7" s="1665"/>
      <c r="F7" s="1662"/>
      <c r="G7" s="1662"/>
    </row>
    <row r="8" spans="1:12" x14ac:dyDescent="0.2">
      <c r="A8" s="1666"/>
      <c r="B8" s="1667"/>
      <c r="C8" s="1668"/>
      <c r="D8" s="20"/>
      <c r="E8" s="1669"/>
      <c r="F8" s="1670"/>
      <c r="G8" s="1670"/>
      <c r="I8" s="1671"/>
      <c r="J8" s="1671"/>
    </row>
    <row r="9" spans="1:12" x14ac:dyDescent="0.2">
      <c r="A9" s="17"/>
      <c r="B9" s="17" t="s">
        <v>14</v>
      </c>
      <c r="C9" s="19" t="s">
        <v>17</v>
      </c>
      <c r="D9" s="20"/>
      <c r="E9" s="21"/>
      <c r="F9" s="20"/>
      <c r="G9" s="1318">
        <f>'3.1.1'!G8</f>
        <v>0</v>
      </c>
      <c r="I9" s="1672"/>
      <c r="J9" s="1671"/>
    </row>
    <row r="10" spans="1:12" x14ac:dyDescent="0.2">
      <c r="A10" s="1673"/>
      <c r="B10" s="1673"/>
      <c r="C10" s="1674"/>
      <c r="D10" s="20"/>
      <c r="E10" s="1669"/>
      <c r="F10" s="1675"/>
      <c r="G10" s="1322"/>
      <c r="I10" s="1671"/>
      <c r="J10" s="1671"/>
    </row>
    <row r="11" spans="1:12" x14ac:dyDescent="0.2">
      <c r="A11" s="17"/>
      <c r="B11" s="17" t="s">
        <v>15</v>
      </c>
      <c r="C11" s="19" t="s">
        <v>18</v>
      </c>
      <c r="D11" s="20"/>
      <c r="E11" s="21"/>
      <c r="F11" s="20"/>
      <c r="G11" s="1318">
        <f>ROUND(SUM(G12:G17),2)</f>
        <v>0</v>
      </c>
      <c r="I11" s="1672"/>
      <c r="J11" s="1671"/>
      <c r="L11" s="1676"/>
    </row>
    <row r="12" spans="1:12" ht="38.25" x14ac:dyDescent="0.2">
      <c r="A12" s="17"/>
      <c r="B12" s="17" t="s">
        <v>20</v>
      </c>
      <c r="C12" s="203" t="s">
        <v>78</v>
      </c>
      <c r="D12" s="204"/>
      <c r="E12" s="31"/>
      <c r="F12" s="204"/>
      <c r="G12" s="1319">
        <f>'3.1.2'!G10</f>
        <v>0</v>
      </c>
      <c r="I12" s="1671"/>
      <c r="J12" s="1671"/>
    </row>
    <row r="13" spans="1:12" ht="25.5" x14ac:dyDescent="0.2">
      <c r="A13" s="17"/>
      <c r="B13" s="17" t="s">
        <v>77</v>
      </c>
      <c r="C13" s="203" t="s">
        <v>79</v>
      </c>
      <c r="D13" s="204"/>
      <c r="E13" s="31"/>
      <c r="F13" s="204"/>
      <c r="G13" s="1319">
        <f>'3.1.2'!G108</f>
        <v>0</v>
      </c>
      <c r="I13" s="1671"/>
      <c r="J13" s="1671"/>
    </row>
    <row r="14" spans="1:12" ht="25.5" x14ac:dyDescent="0.2">
      <c r="A14" s="17"/>
      <c r="B14" s="17" t="s">
        <v>84</v>
      </c>
      <c r="C14" s="203" t="s">
        <v>80</v>
      </c>
      <c r="D14" s="204"/>
      <c r="E14" s="31"/>
      <c r="F14" s="204"/>
      <c r="G14" s="1319">
        <f>'3.1.2'!G201</f>
        <v>0</v>
      </c>
      <c r="I14" s="1671"/>
      <c r="J14" s="1671"/>
    </row>
    <row r="15" spans="1:12" ht="25.5" x14ac:dyDescent="0.2">
      <c r="A15" s="17"/>
      <c r="B15" s="17" t="s">
        <v>86</v>
      </c>
      <c r="C15" s="203" t="s">
        <v>81</v>
      </c>
      <c r="D15" s="204"/>
      <c r="E15" s="31"/>
      <c r="F15" s="204"/>
      <c r="G15" s="1319">
        <f>'3.1.2'!G297</f>
        <v>0</v>
      </c>
      <c r="I15" s="1671"/>
      <c r="J15" s="1671"/>
    </row>
    <row r="16" spans="1:12" ht="25.5" x14ac:dyDescent="0.2">
      <c r="A16" s="17"/>
      <c r="B16" s="17" t="s">
        <v>88</v>
      </c>
      <c r="C16" s="203" t="s">
        <v>82</v>
      </c>
      <c r="D16" s="204"/>
      <c r="E16" s="31"/>
      <c r="F16" s="204"/>
      <c r="G16" s="1319">
        <f>'3.1.2'!G445</f>
        <v>0</v>
      </c>
      <c r="I16" s="1671"/>
      <c r="J16" s="1671"/>
    </row>
    <row r="17" spans="1:12" ht="25.5" x14ac:dyDescent="0.2">
      <c r="A17" s="17"/>
      <c r="B17" s="17" t="s">
        <v>87</v>
      </c>
      <c r="C17" s="203" t="s">
        <v>83</v>
      </c>
      <c r="D17" s="204"/>
      <c r="E17" s="31"/>
      <c r="F17" s="204"/>
      <c r="G17" s="1319">
        <f>'3.1.2'!G622</f>
        <v>0</v>
      </c>
      <c r="I17" s="1671"/>
      <c r="J17" s="1671"/>
    </row>
    <row r="18" spans="1:12" x14ac:dyDescent="0.2">
      <c r="A18" s="17"/>
      <c r="B18" s="17"/>
      <c r="C18" s="19"/>
      <c r="D18" s="20"/>
      <c r="E18" s="21"/>
      <c r="F18" s="20"/>
      <c r="G18" s="1318"/>
      <c r="I18" s="1671"/>
      <c r="J18" s="1671"/>
    </row>
    <row r="19" spans="1:12" x14ac:dyDescent="0.2">
      <c r="A19" s="17"/>
      <c r="B19" s="17" t="s">
        <v>16</v>
      </c>
      <c r="C19" s="19" t="s">
        <v>19</v>
      </c>
      <c r="D19" s="20"/>
      <c r="E19" s="21"/>
      <c r="F19" s="20"/>
      <c r="G19" s="1318">
        <f>'3.1.3'!G8</f>
        <v>0</v>
      </c>
      <c r="I19" s="1672"/>
      <c r="J19" s="1671"/>
    </row>
    <row r="20" spans="1:12" x14ac:dyDescent="0.2">
      <c r="A20" s="17"/>
      <c r="B20" s="1675"/>
      <c r="C20" s="1677"/>
      <c r="D20" s="1678"/>
      <c r="E20" s="1679"/>
      <c r="F20" s="1680"/>
      <c r="G20" s="1681"/>
    </row>
    <row r="21" spans="1:12" ht="15.75" customHeight="1" thickBot="1" x14ac:dyDescent="0.25">
      <c r="A21" s="30"/>
      <c r="B21" s="18"/>
      <c r="C21" s="1682" t="s">
        <v>85</v>
      </c>
      <c r="D21" s="1683"/>
      <c r="E21" s="1684"/>
      <c r="F21" s="1685"/>
      <c r="G21" s="1320">
        <f>ROUND(SUM(G9,G11,G19),2)</f>
        <v>0</v>
      </c>
      <c r="K21" s="1676"/>
      <c r="L21" s="1671"/>
    </row>
    <row r="22" spans="1:12" ht="15" thickTop="1" x14ac:dyDescent="0.2">
      <c r="A22" s="30"/>
      <c r="B22" s="18"/>
      <c r="C22" s="1686"/>
      <c r="D22" s="1687"/>
      <c r="E22" s="21"/>
      <c r="F22" s="20"/>
      <c r="G22" s="22"/>
      <c r="K22" s="1676"/>
      <c r="L22" s="1671"/>
    </row>
    <row r="23" spans="1:12" x14ac:dyDescent="0.2">
      <c r="A23" s="27"/>
      <c r="B23" s="1654"/>
      <c r="D23" s="1688"/>
      <c r="E23" s="1689"/>
      <c r="F23" s="1650"/>
      <c r="G23" s="1650"/>
    </row>
    <row r="24" spans="1:12" x14ac:dyDescent="0.2">
      <c r="A24" s="27"/>
      <c r="B24" s="1654"/>
      <c r="D24" s="1688"/>
      <c r="E24" s="1689"/>
      <c r="F24" s="1650"/>
      <c r="G24" s="1650"/>
    </row>
    <row r="25" spans="1:12" x14ac:dyDescent="0.2">
      <c r="A25" s="27"/>
      <c r="B25" s="1654"/>
      <c r="D25" s="1688"/>
      <c r="E25" s="1689"/>
      <c r="F25" s="1650"/>
      <c r="G25" s="1650"/>
    </row>
    <row r="26" spans="1:12" x14ac:dyDescent="0.2">
      <c r="A26" s="27"/>
      <c r="B26" s="1654"/>
      <c r="D26" s="1688"/>
      <c r="E26" s="1689"/>
      <c r="F26" s="1650"/>
      <c r="G26" s="1650"/>
    </row>
    <row r="27" spans="1:12" x14ac:dyDescent="0.2">
      <c r="A27" s="27"/>
      <c r="B27" s="1654"/>
      <c r="D27" s="1688"/>
      <c r="E27" s="1689"/>
      <c r="F27" s="1650"/>
      <c r="G27" s="1650"/>
    </row>
    <row r="28" spans="1:12" x14ac:dyDescent="0.2">
      <c r="A28" s="27"/>
      <c r="B28" s="1654"/>
      <c r="D28" s="1688"/>
      <c r="E28" s="1689"/>
      <c r="F28" s="1650"/>
      <c r="G28" s="1650"/>
    </row>
    <row r="30" spans="1:12" ht="30" customHeight="1" x14ac:dyDescent="0.2"/>
    <row r="32" spans="1:12" ht="41.25" customHeight="1" x14ac:dyDescent="0.2"/>
    <row r="34" spans="2:7" ht="41.25" customHeight="1" x14ac:dyDescent="0.2"/>
    <row r="38" spans="2:7" x14ac:dyDescent="0.2">
      <c r="B38" s="1675"/>
      <c r="C38" s="1674"/>
      <c r="D38" s="20"/>
      <c r="E38" s="1669"/>
      <c r="F38" s="1675"/>
      <c r="G38" s="48"/>
    </row>
  </sheetData>
  <sheetProtection algorithmName="SHA-512" hashValue="zBUMQEOoidfM999zsofpp7P5FxtJlicvN0Ph2Cx7ahMAE76Bg6z50BCmXWbQitnHO7TyVo5aqx5/nPg/h8MmeQ==" saltValue="eh4OXi2qiZxgUbW/O66gJA==" spinCount="100000" sheet="1" objects="1" scenarios="1"/>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L320"/>
  <sheetViews>
    <sheetView view="pageBreakPreview" zoomScale="110" zoomScaleNormal="55" zoomScaleSheetLayoutView="110" workbookViewId="0"/>
  </sheetViews>
  <sheetFormatPr defaultColWidth="9.140625" defaultRowHeight="15" x14ac:dyDescent="0.25"/>
  <cols>
    <col min="1" max="1" width="4.85546875" customWidth="1"/>
    <col min="2" max="2" width="4.5703125" bestFit="1" customWidth="1"/>
    <col min="3" max="3" width="39.28515625" customWidth="1"/>
    <col min="4" max="4" width="5.5703125" customWidth="1"/>
    <col min="5" max="5" width="10.5703125" bestFit="1" customWidth="1"/>
    <col min="6" max="6" width="10.42578125" style="1741" bestFit="1" customWidth="1"/>
    <col min="7" max="7" width="14.5703125" bestFit="1" customWidth="1"/>
    <col min="9" max="9" width="10.7109375" bestFit="1" customWidth="1"/>
    <col min="11" max="12" width="10.7109375" bestFit="1" customWidth="1"/>
  </cols>
  <sheetData>
    <row r="1" spans="1:12" s="530" customFormat="1" x14ac:dyDescent="0.25">
      <c r="A1" s="526"/>
      <c r="B1" s="526"/>
      <c r="C1" s="527"/>
      <c r="D1" s="444"/>
      <c r="E1" s="528"/>
      <c r="F1" s="1910"/>
      <c r="G1" s="529"/>
    </row>
    <row r="2" spans="1:12" s="530" customFormat="1" ht="18" x14ac:dyDescent="0.25">
      <c r="A2" s="1703" t="s">
        <v>1634</v>
      </c>
      <c r="B2" s="1702"/>
      <c r="C2" s="1702"/>
      <c r="D2" s="1702"/>
      <c r="E2" s="1702"/>
      <c r="F2" s="1911"/>
      <c r="G2" s="1702"/>
    </row>
    <row r="3" spans="1:12" s="530" customFormat="1" ht="18" x14ac:dyDescent="0.25">
      <c r="A3" s="1703" t="s">
        <v>1633</v>
      </c>
      <c r="B3" s="1702"/>
      <c r="C3" s="1702"/>
      <c r="D3" s="1702"/>
      <c r="E3" s="1702"/>
      <c r="F3" s="1911"/>
      <c r="G3" s="1702"/>
    </row>
    <row r="4" spans="1:12" s="530" customFormat="1" x14ac:dyDescent="0.25">
      <c r="A4" s="531"/>
      <c r="B4" s="532"/>
      <c r="C4" s="533"/>
      <c r="D4" s="534"/>
      <c r="E4" s="535"/>
      <c r="F4" s="1912"/>
      <c r="G4" s="532"/>
    </row>
    <row r="5" spans="1:12" s="530" customFormat="1" x14ac:dyDescent="0.25">
      <c r="A5" s="536"/>
      <c r="B5" s="537" t="s">
        <v>20</v>
      </c>
      <c r="C5" s="538" t="s">
        <v>21</v>
      </c>
      <c r="D5" s="539"/>
      <c r="E5" s="540"/>
      <c r="F5" s="1913"/>
      <c r="G5" s="541"/>
      <c r="I5" s="542"/>
      <c r="J5" s="543"/>
    </row>
    <row r="6" spans="1:12" s="530" customFormat="1" x14ac:dyDescent="0.25">
      <c r="A6" s="536"/>
      <c r="B6" s="537"/>
      <c r="C6" s="538"/>
      <c r="D6" s="539"/>
      <c r="E6" s="540"/>
      <c r="F6" s="1913"/>
      <c r="G6" s="541"/>
      <c r="I6" s="542"/>
      <c r="J6" s="543"/>
    </row>
    <row r="7" spans="1:12" s="530" customFormat="1" x14ac:dyDescent="0.25">
      <c r="A7" s="536"/>
      <c r="B7" s="544" t="s">
        <v>22</v>
      </c>
      <c r="C7" s="545" t="s">
        <v>23</v>
      </c>
      <c r="D7" s="447"/>
      <c r="E7" s="546"/>
      <c r="F7" s="1914"/>
      <c r="G7" s="1359">
        <f>G79</f>
        <v>0</v>
      </c>
      <c r="I7" s="543"/>
      <c r="J7" s="543"/>
    </row>
    <row r="8" spans="1:12" s="530" customFormat="1" x14ac:dyDescent="0.25">
      <c r="A8" s="536"/>
      <c r="B8" s="544" t="s">
        <v>24</v>
      </c>
      <c r="C8" s="545" t="s">
        <v>60</v>
      </c>
      <c r="D8" s="447"/>
      <c r="E8" s="546"/>
      <c r="F8" s="1914"/>
      <c r="G8" s="1359">
        <f>G93</f>
        <v>0</v>
      </c>
      <c r="I8" s="543"/>
      <c r="J8" s="543"/>
    </row>
    <row r="9" spans="1:12" s="530" customFormat="1" x14ac:dyDescent="0.25">
      <c r="A9" s="536"/>
      <c r="B9" s="544" t="s">
        <v>61</v>
      </c>
      <c r="C9" s="545" t="s">
        <v>961</v>
      </c>
      <c r="D9" s="447"/>
      <c r="E9" s="546"/>
      <c r="F9" s="1914"/>
      <c r="G9" s="1359">
        <f>G101</f>
        <v>0</v>
      </c>
      <c r="I9" s="543"/>
      <c r="J9" s="543"/>
    </row>
    <row r="10" spans="1:12" s="530" customFormat="1" x14ac:dyDescent="0.25">
      <c r="A10" s="536"/>
      <c r="B10" s="544" t="s">
        <v>93</v>
      </c>
      <c r="C10" s="545" t="s">
        <v>92</v>
      </c>
      <c r="D10" s="447"/>
      <c r="E10" s="546"/>
      <c r="F10" s="1914"/>
      <c r="G10" s="1359">
        <f>G112</f>
        <v>0</v>
      </c>
      <c r="I10" s="543"/>
      <c r="J10" s="543"/>
    </row>
    <row r="11" spans="1:12" s="530" customFormat="1" x14ac:dyDescent="0.25">
      <c r="A11" s="536"/>
      <c r="B11" s="537"/>
      <c r="C11" s="547"/>
      <c r="D11" s="548"/>
      <c r="E11" s="549"/>
      <c r="F11" s="1915"/>
      <c r="G11" s="1360"/>
      <c r="I11" s="543"/>
      <c r="J11" s="543"/>
    </row>
    <row r="12" spans="1:12" s="530" customFormat="1" ht="15.75" customHeight="1" thickBot="1" x14ac:dyDescent="0.3">
      <c r="A12" s="550"/>
      <c r="B12" s="551"/>
      <c r="C12" s="552" t="s">
        <v>25</v>
      </c>
      <c r="D12" s="553"/>
      <c r="E12" s="554"/>
      <c r="F12" s="1916"/>
      <c r="G12" s="1361">
        <f>ROUND(SUM(G7:G10),2)</f>
        <v>0</v>
      </c>
      <c r="K12" s="555"/>
      <c r="L12" s="543"/>
    </row>
    <row r="13" spans="1:12" s="530" customFormat="1" ht="15.75" thickTop="1" x14ac:dyDescent="0.25">
      <c r="A13" s="556"/>
      <c r="B13" s="557"/>
      <c r="C13" s="558"/>
      <c r="D13" s="408"/>
      <c r="E13" s="559"/>
      <c r="F13" s="1917"/>
      <c r="G13" s="560"/>
      <c r="I13" s="543"/>
      <c r="J13" s="543"/>
    </row>
    <row r="14" spans="1:12" s="530" customFormat="1" x14ac:dyDescent="0.25">
      <c r="A14" s="556"/>
      <c r="B14" s="557"/>
      <c r="C14" s="558"/>
      <c r="D14" s="408"/>
      <c r="E14" s="559"/>
      <c r="F14" s="1917"/>
      <c r="G14" s="560"/>
      <c r="I14" s="543"/>
      <c r="J14" s="543"/>
    </row>
    <row r="15" spans="1:12" s="530" customFormat="1" x14ac:dyDescent="0.25">
      <c r="A15" s="383"/>
      <c r="B15" s="529"/>
      <c r="D15" s="561"/>
      <c r="E15" s="562"/>
      <c r="F15" s="1918"/>
      <c r="G15" s="526"/>
    </row>
    <row r="16" spans="1:12" s="530" customFormat="1" x14ac:dyDescent="0.25">
      <c r="A16" s="383"/>
      <c r="B16" s="529"/>
      <c r="D16" s="561"/>
      <c r="E16" s="562"/>
      <c r="F16" s="1918"/>
      <c r="G16" s="526"/>
    </row>
    <row r="17" spans="1:7" s="530" customFormat="1" x14ac:dyDescent="0.25">
      <c r="A17" s="383"/>
      <c r="B17" s="529"/>
      <c r="D17" s="561"/>
      <c r="E17" s="562"/>
      <c r="F17" s="1918"/>
      <c r="G17" s="526"/>
    </row>
    <row r="18" spans="1:7" s="530" customFormat="1" x14ac:dyDescent="0.25">
      <c r="A18" s="383"/>
      <c r="B18" s="529"/>
      <c r="D18" s="561"/>
      <c r="E18" s="562"/>
      <c r="F18" s="1918"/>
      <c r="G18" s="526"/>
    </row>
    <row r="19" spans="1:7" s="530" customFormat="1" x14ac:dyDescent="0.25">
      <c r="A19" s="383"/>
      <c r="B19" s="529"/>
      <c r="D19" s="561"/>
      <c r="E19" s="562"/>
      <c r="F19" s="1918"/>
      <c r="G19" s="526"/>
    </row>
    <row r="20" spans="1:7" s="530" customFormat="1" x14ac:dyDescent="0.25">
      <c r="A20" s="383"/>
      <c r="B20" s="529"/>
      <c r="D20" s="561"/>
      <c r="E20" s="562"/>
      <c r="F20" s="1918"/>
      <c r="G20" s="526"/>
    </row>
    <row r="21" spans="1:7" s="530" customFormat="1" x14ac:dyDescent="0.25">
      <c r="A21" s="383"/>
      <c r="B21" s="529"/>
      <c r="D21" s="561"/>
      <c r="E21" s="562"/>
      <c r="F21" s="1918"/>
      <c r="G21" s="526"/>
    </row>
    <row r="22" spans="1:7" s="530" customFormat="1" x14ac:dyDescent="0.25">
      <c r="A22" s="383"/>
      <c r="B22" s="529"/>
      <c r="D22" s="561"/>
      <c r="E22" s="562"/>
      <c r="F22" s="1918"/>
      <c r="G22" s="526"/>
    </row>
    <row r="23" spans="1:7" s="530" customFormat="1" x14ac:dyDescent="0.25">
      <c r="A23" s="383"/>
      <c r="B23" s="529"/>
      <c r="D23" s="561"/>
      <c r="E23" s="562"/>
      <c r="F23" s="1918"/>
      <c r="G23" s="526"/>
    </row>
    <row r="24" spans="1:7" s="530" customFormat="1" x14ac:dyDescent="0.25">
      <c r="A24" s="383"/>
      <c r="B24" s="529"/>
      <c r="D24" s="561"/>
      <c r="E24" s="562"/>
      <c r="F24" s="1918"/>
      <c r="G24" s="526"/>
    </row>
    <row r="25" spans="1:7" s="530" customFormat="1" x14ac:dyDescent="0.25">
      <c r="A25" s="383"/>
      <c r="B25" s="529"/>
      <c r="D25" s="561"/>
      <c r="E25" s="562"/>
      <c r="F25" s="1918"/>
      <c r="G25" s="526"/>
    </row>
    <row r="26" spans="1:7" s="530" customFormat="1" x14ac:dyDescent="0.25">
      <c r="A26" s="383"/>
      <c r="B26" s="529"/>
      <c r="D26" s="561"/>
      <c r="E26" s="562"/>
      <c r="F26" s="1918"/>
      <c r="G26" s="526"/>
    </row>
    <row r="27" spans="1:7" s="530" customFormat="1" x14ac:dyDescent="0.25">
      <c r="A27" s="383"/>
      <c r="B27" s="529"/>
      <c r="D27" s="561"/>
      <c r="E27" s="562"/>
      <c r="F27" s="1918"/>
      <c r="G27" s="526"/>
    </row>
    <row r="28" spans="1:7" s="530" customFormat="1" x14ac:dyDescent="0.25">
      <c r="A28" s="383"/>
      <c r="B28" s="529"/>
      <c r="D28" s="561"/>
      <c r="E28" s="562"/>
      <c r="F28" s="1918"/>
      <c r="G28" s="526"/>
    </row>
    <row r="29" spans="1:7" s="530" customFormat="1" x14ac:dyDescent="0.25">
      <c r="A29" s="383"/>
      <c r="B29" s="529"/>
      <c r="D29" s="561"/>
      <c r="E29" s="562"/>
      <c r="F29" s="1918"/>
      <c r="G29" s="526"/>
    </row>
    <row r="30" spans="1:7" s="530" customFormat="1" x14ac:dyDescent="0.25">
      <c r="A30" s="383"/>
      <c r="B30" s="529"/>
      <c r="D30" s="561"/>
      <c r="E30" s="562"/>
      <c r="F30" s="1918"/>
      <c r="G30" s="526"/>
    </row>
    <row r="31" spans="1:7" s="530" customFormat="1" x14ac:dyDescent="0.25">
      <c r="A31" s="383"/>
      <c r="B31" s="529"/>
      <c r="D31" s="561"/>
      <c r="E31" s="562"/>
      <c r="F31" s="1918"/>
      <c r="G31" s="526"/>
    </row>
    <row r="32" spans="1:7" s="530" customFormat="1" x14ac:dyDescent="0.25">
      <c r="A32" s="383"/>
      <c r="B32" s="529"/>
      <c r="D32" s="561"/>
      <c r="E32" s="562"/>
      <c r="F32" s="1918"/>
      <c r="G32" s="526"/>
    </row>
    <row r="33" spans="1:7" s="530" customFormat="1" x14ac:dyDescent="0.25">
      <c r="A33" s="383"/>
      <c r="B33" s="529"/>
      <c r="D33" s="561"/>
      <c r="E33" s="562"/>
      <c r="F33" s="1918"/>
      <c r="G33" s="526"/>
    </row>
    <row r="34" spans="1:7" s="530" customFormat="1" x14ac:dyDescent="0.25">
      <c r="A34" s="383"/>
      <c r="B34" s="529"/>
      <c r="D34" s="561"/>
      <c r="E34" s="562"/>
      <c r="F34" s="1918"/>
      <c r="G34" s="526"/>
    </row>
    <row r="35" spans="1:7" s="530" customFormat="1" x14ac:dyDescent="0.25">
      <c r="A35" s="383"/>
      <c r="B35" s="529"/>
      <c r="D35" s="561"/>
      <c r="E35" s="562"/>
      <c r="F35" s="1918"/>
      <c r="G35" s="526"/>
    </row>
    <row r="36" spans="1:7" s="530" customFormat="1" x14ac:dyDescent="0.25">
      <c r="A36" s="383"/>
      <c r="B36" s="529"/>
      <c r="D36" s="561"/>
      <c r="E36" s="562"/>
      <c r="F36" s="1918"/>
      <c r="G36" s="526"/>
    </row>
    <row r="37" spans="1:7" s="530" customFormat="1" x14ac:dyDescent="0.25">
      <c r="A37" s="383"/>
      <c r="B37" s="529"/>
      <c r="D37" s="561"/>
      <c r="E37" s="562"/>
      <c r="F37" s="1918"/>
      <c r="G37" s="526"/>
    </row>
    <row r="38" spans="1:7" s="530" customFormat="1" x14ac:dyDescent="0.25">
      <c r="A38" s="383"/>
      <c r="B38" s="529"/>
      <c r="D38" s="561"/>
      <c r="E38" s="562"/>
      <c r="F38" s="1918"/>
      <c r="G38" s="526"/>
    </row>
    <row r="39" spans="1:7" s="530" customFormat="1" x14ac:dyDescent="0.25">
      <c r="A39" s="383"/>
      <c r="B39" s="529"/>
      <c r="D39" s="561"/>
      <c r="E39" s="562"/>
      <c r="F39" s="1918"/>
      <c r="G39" s="526"/>
    </row>
    <row r="40" spans="1:7" s="530" customFormat="1" x14ac:dyDescent="0.25">
      <c r="A40" s="383"/>
      <c r="B40" s="529"/>
      <c r="D40" s="561"/>
      <c r="E40" s="562"/>
      <c r="F40" s="1918"/>
      <c r="G40" s="526"/>
    </row>
    <row r="41" spans="1:7" s="530" customFormat="1" x14ac:dyDescent="0.25">
      <c r="A41" s="383"/>
      <c r="B41" s="529"/>
      <c r="D41" s="561"/>
      <c r="E41" s="562"/>
      <c r="F41" s="1918"/>
      <c r="G41" s="526"/>
    </row>
    <row r="42" spans="1:7" s="530" customFormat="1" x14ac:dyDescent="0.25">
      <c r="A42" s="383"/>
      <c r="B42" s="529"/>
      <c r="D42" s="561"/>
      <c r="E42" s="562"/>
      <c r="F42" s="1918"/>
      <c r="G42" s="526"/>
    </row>
    <row r="43" spans="1:7" s="530" customFormat="1" x14ac:dyDescent="0.25">
      <c r="A43" s="383"/>
      <c r="B43" s="529"/>
      <c r="D43" s="561"/>
      <c r="E43" s="562"/>
      <c r="F43" s="1918"/>
      <c r="G43" s="526"/>
    </row>
    <row r="44" spans="1:7" s="530" customFormat="1" x14ac:dyDescent="0.25">
      <c r="A44" s="383"/>
      <c r="B44" s="529"/>
      <c r="D44" s="561"/>
      <c r="E44" s="562"/>
      <c r="F44" s="1918"/>
      <c r="G44" s="526"/>
    </row>
    <row r="45" spans="1:7" s="530" customFormat="1" x14ac:dyDescent="0.25">
      <c r="A45" s="383"/>
      <c r="B45" s="529"/>
      <c r="D45" s="561"/>
      <c r="E45" s="562"/>
      <c r="F45" s="1918"/>
      <c r="G45" s="526"/>
    </row>
    <row r="46" spans="1:7" s="530" customFormat="1" x14ac:dyDescent="0.25">
      <c r="A46" s="383"/>
      <c r="B46" s="529"/>
      <c r="D46" s="561"/>
      <c r="E46" s="562"/>
      <c r="F46" s="1918"/>
      <c r="G46" s="526"/>
    </row>
    <row r="47" spans="1:7" s="530" customFormat="1" x14ac:dyDescent="0.25">
      <c r="A47" s="383"/>
      <c r="B47" s="529"/>
      <c r="D47" s="561"/>
      <c r="E47" s="562"/>
      <c r="F47" s="1918"/>
      <c r="G47" s="526"/>
    </row>
    <row r="48" spans="1:7" s="530" customFormat="1" x14ac:dyDescent="0.25">
      <c r="A48" s="383"/>
      <c r="B48" s="529"/>
      <c r="D48" s="561"/>
      <c r="E48" s="562"/>
      <c r="F48" s="1918"/>
      <c r="G48" s="526"/>
    </row>
    <row r="49" spans="1:7" s="530" customFormat="1" x14ac:dyDescent="0.25">
      <c r="A49" s="383"/>
      <c r="B49" s="529"/>
      <c r="D49" s="561"/>
      <c r="E49" s="562"/>
      <c r="F49" s="1918"/>
      <c r="G49" s="526"/>
    </row>
    <row r="50" spans="1:7" s="530" customFormat="1" x14ac:dyDescent="0.25">
      <c r="A50" s="383"/>
      <c r="B50" s="529"/>
      <c r="D50" s="561"/>
      <c r="E50" s="562"/>
      <c r="F50" s="1918"/>
      <c r="G50" s="526"/>
    </row>
    <row r="51" spans="1:7" s="530" customFormat="1" x14ac:dyDescent="0.25">
      <c r="A51" s="383"/>
      <c r="B51" s="529"/>
      <c r="D51" s="561"/>
      <c r="E51" s="562"/>
      <c r="F51" s="1918"/>
      <c r="G51" s="526"/>
    </row>
    <row r="52" spans="1:7" s="530" customFormat="1" x14ac:dyDescent="0.25">
      <c r="A52" s="383"/>
      <c r="B52" s="529"/>
      <c r="D52" s="561"/>
      <c r="E52" s="562"/>
      <c r="F52" s="1918"/>
      <c r="G52" s="526"/>
    </row>
    <row r="53" spans="1:7" s="530" customFormat="1" x14ac:dyDescent="0.25">
      <c r="A53" s="563" t="s">
        <v>62</v>
      </c>
      <c r="B53" s="529"/>
      <c r="D53" s="561"/>
      <c r="E53" s="562"/>
      <c r="F53" s="1918"/>
      <c r="G53" s="526"/>
    </row>
    <row r="54" spans="1:7" s="530" customFormat="1" x14ac:dyDescent="0.25">
      <c r="A54" s="564"/>
      <c r="B54" s="565"/>
      <c r="C54" s="566" t="s">
        <v>63</v>
      </c>
      <c r="D54" s="567"/>
      <c r="E54" s="568"/>
      <c r="F54" s="1919"/>
      <c r="G54" s="565"/>
    </row>
    <row r="55" spans="1:7" s="530" customFormat="1" x14ac:dyDescent="0.25">
      <c r="A55" s="383"/>
      <c r="B55" s="526"/>
      <c r="C55" s="563"/>
      <c r="D55" s="561"/>
      <c r="E55" s="562"/>
      <c r="F55" s="1918"/>
      <c r="G55" s="526"/>
    </row>
    <row r="56" spans="1:7" s="530" customFormat="1" x14ac:dyDescent="0.25">
      <c r="A56" s="383"/>
      <c r="B56" s="537" t="s">
        <v>20</v>
      </c>
      <c r="C56" s="538" t="s">
        <v>21</v>
      </c>
      <c r="D56" s="561"/>
      <c r="E56" s="562"/>
      <c r="F56" s="1918"/>
      <c r="G56" s="526"/>
    </row>
    <row r="57" spans="1:7" s="530" customFormat="1" x14ac:dyDescent="0.25">
      <c r="A57" s="383"/>
      <c r="B57" s="526"/>
      <c r="C57" s="526"/>
      <c r="D57" s="561"/>
      <c r="E57" s="562"/>
      <c r="F57" s="1918"/>
      <c r="G57" s="526"/>
    </row>
    <row r="58" spans="1:7" s="530" customFormat="1" x14ac:dyDescent="0.25">
      <c r="A58" s="444"/>
      <c r="B58" s="569" t="s">
        <v>26</v>
      </c>
      <c r="C58" s="570" t="s">
        <v>27</v>
      </c>
      <c r="D58" s="569" t="s">
        <v>28</v>
      </c>
      <c r="E58" s="571" t="s">
        <v>29</v>
      </c>
      <c r="F58" s="1920" t="s">
        <v>30</v>
      </c>
      <c r="G58" s="572" t="s">
        <v>31</v>
      </c>
    </row>
    <row r="59" spans="1:7" s="530" customFormat="1" x14ac:dyDescent="0.25">
      <c r="A59" s="444"/>
      <c r="B59" s="444"/>
      <c r="C59" s="573"/>
      <c r="D59" s="444"/>
      <c r="E59" s="528"/>
      <c r="F59" s="1921"/>
      <c r="G59" s="446"/>
    </row>
    <row r="60" spans="1:7" s="530" customFormat="1" x14ac:dyDescent="0.25">
      <c r="A60" s="574"/>
      <c r="B60" s="575" t="s">
        <v>22</v>
      </c>
      <c r="C60" s="576" t="s">
        <v>23</v>
      </c>
      <c r="D60" s="308"/>
      <c r="E60" s="577"/>
      <c r="F60" s="1922"/>
      <c r="G60" s="577"/>
    </row>
    <row r="61" spans="1:7" s="530" customFormat="1" ht="8.1" customHeight="1" x14ac:dyDescent="0.25">
      <c r="A61" s="574"/>
      <c r="B61" s="578"/>
      <c r="C61" s="579"/>
      <c r="D61" s="308"/>
      <c r="E61" s="577"/>
      <c r="F61" s="1922"/>
      <c r="G61" s="577"/>
    </row>
    <row r="62" spans="1:7" s="530" customFormat="1" ht="28.5" customHeight="1" x14ac:dyDescent="0.25">
      <c r="A62" s="580"/>
      <c r="B62" s="4" t="s">
        <v>32</v>
      </c>
      <c r="C62" s="4" t="s">
        <v>962</v>
      </c>
      <c r="D62" s="308" t="s">
        <v>71</v>
      </c>
      <c r="E62" s="584">
        <v>5000</v>
      </c>
      <c r="F62" s="1929"/>
      <c r="G62" s="577">
        <f>ROUND(E62*F62,2)</f>
        <v>0</v>
      </c>
    </row>
    <row r="63" spans="1:7" s="530" customFormat="1" ht="8.1" customHeight="1" x14ac:dyDescent="0.25">
      <c r="A63" s="574"/>
      <c r="B63" s="578"/>
      <c r="C63" s="579"/>
      <c r="D63" s="308"/>
      <c r="E63" s="577"/>
      <c r="F63" s="1922"/>
      <c r="G63" s="577"/>
    </row>
    <row r="64" spans="1:7" s="530" customFormat="1" ht="15.95" customHeight="1" x14ac:dyDescent="0.25">
      <c r="A64" s="593"/>
      <c r="B64" s="578" t="s">
        <v>35</v>
      </c>
      <c r="C64" s="4" t="s">
        <v>963</v>
      </c>
      <c r="D64" s="594"/>
      <c r="E64" s="577"/>
      <c r="F64" s="1922"/>
      <c r="G64" s="577"/>
    </row>
    <row r="65" spans="1:7" s="530" customFormat="1" ht="14.25" customHeight="1" x14ac:dyDescent="0.25">
      <c r="A65" s="574"/>
      <c r="B65" s="578" t="s">
        <v>97</v>
      </c>
      <c r="C65" s="4" t="s">
        <v>964</v>
      </c>
      <c r="D65" s="99" t="s">
        <v>69</v>
      </c>
      <c r="E65" s="2">
        <v>50</v>
      </c>
      <c r="F65" s="1742"/>
      <c r="G65" s="1363">
        <f>ROUND(E65*F65,2)</f>
        <v>0</v>
      </c>
    </row>
    <row r="66" spans="1:7" s="530" customFormat="1" ht="15.95" customHeight="1" x14ac:dyDescent="0.25">
      <c r="A66" s="574"/>
      <c r="B66" s="578" t="s">
        <v>99</v>
      </c>
      <c r="C66" s="4" t="s">
        <v>965</v>
      </c>
      <c r="D66" s="308" t="s">
        <v>109</v>
      </c>
      <c r="E66" s="577">
        <v>40</v>
      </c>
      <c r="F66" s="1922"/>
      <c r="G66" s="577">
        <f>ROUND(E66*F66,2)</f>
        <v>0</v>
      </c>
    </row>
    <row r="67" spans="1:7" s="530" customFormat="1" ht="15.95" customHeight="1" x14ac:dyDescent="0.25">
      <c r="A67" s="574"/>
      <c r="B67" s="578" t="s">
        <v>124</v>
      </c>
      <c r="C67" s="102" t="s">
        <v>814</v>
      </c>
      <c r="D67" s="308" t="s">
        <v>109</v>
      </c>
      <c r="E67" s="577">
        <v>80</v>
      </c>
      <c r="F67" s="1922"/>
      <c r="G67" s="577">
        <f>ROUND(E67*F67,2)</f>
        <v>0</v>
      </c>
    </row>
    <row r="68" spans="1:7" s="530" customFormat="1" ht="8.1" customHeight="1" x14ac:dyDescent="0.25">
      <c r="A68" s="580"/>
      <c r="B68" s="4"/>
      <c r="C68" s="109"/>
      <c r="D68" s="308"/>
      <c r="E68" s="577"/>
      <c r="F68" s="1922"/>
      <c r="G68" s="577"/>
    </row>
    <row r="69" spans="1:7" s="530" customFormat="1" x14ac:dyDescent="0.25">
      <c r="A69" s="580"/>
      <c r="B69" s="578" t="s">
        <v>37</v>
      </c>
      <c r="C69" s="307" t="s">
        <v>966</v>
      </c>
      <c r="D69" s="308" t="s">
        <v>235</v>
      </c>
      <c r="E69" s="577">
        <v>85</v>
      </c>
      <c r="F69" s="1922"/>
      <c r="G69" s="577">
        <f>ROUND(E69*F69,2)</f>
        <v>0</v>
      </c>
    </row>
    <row r="70" spans="1:7" s="530" customFormat="1" ht="8.1" customHeight="1" x14ac:dyDescent="0.25">
      <c r="A70" s="574"/>
      <c r="B70" s="4"/>
      <c r="C70" s="5"/>
      <c r="D70" s="1"/>
      <c r="E70" s="2"/>
      <c r="F70" s="1742"/>
      <c r="G70" s="577"/>
    </row>
    <row r="71" spans="1:7" s="530" customFormat="1" ht="26.25" customHeight="1" x14ac:dyDescent="0.25">
      <c r="A71" s="574"/>
      <c r="B71" s="578" t="s">
        <v>40</v>
      </c>
      <c r="C71" s="601" t="s">
        <v>967</v>
      </c>
      <c r="D71" s="594" t="s">
        <v>39</v>
      </c>
      <c r="E71" s="577">
        <v>11</v>
      </c>
      <c r="F71" s="1922"/>
      <c r="G71" s="577">
        <f>ROUND(E71*F71,2)</f>
        <v>0</v>
      </c>
    </row>
    <row r="72" spans="1:7" s="530" customFormat="1" ht="8.1" customHeight="1" x14ac:dyDescent="0.25">
      <c r="A72" s="574"/>
      <c r="B72" s="578"/>
      <c r="C72" s="579"/>
      <c r="D72" s="308"/>
      <c r="E72" s="577"/>
      <c r="F72" s="1922"/>
      <c r="G72" s="577"/>
    </row>
    <row r="73" spans="1:7" s="530" customFormat="1" ht="26.25" customHeight="1" x14ac:dyDescent="0.25">
      <c r="A73" s="593"/>
      <c r="B73" s="578" t="s">
        <v>42</v>
      </c>
      <c r="C73" s="4" t="s">
        <v>968</v>
      </c>
      <c r="D73" s="594"/>
      <c r="E73" s="577"/>
      <c r="F73" s="1922"/>
      <c r="G73" s="577"/>
    </row>
    <row r="74" spans="1:7" s="530" customFormat="1" ht="39" customHeight="1" x14ac:dyDescent="0.25">
      <c r="A74" s="574"/>
      <c r="B74" s="578" t="s">
        <v>97</v>
      </c>
      <c r="C74" s="4" t="s">
        <v>969</v>
      </c>
      <c r="D74" s="99" t="s">
        <v>39</v>
      </c>
      <c r="E74" s="2">
        <v>50</v>
      </c>
      <c r="F74" s="1742"/>
      <c r="G74" s="1363">
        <f>ROUND(E74*F74,2)</f>
        <v>0</v>
      </c>
    </row>
    <row r="75" spans="1:7" s="530" customFormat="1" ht="27" customHeight="1" x14ac:dyDescent="0.25">
      <c r="A75" s="574"/>
      <c r="B75" s="578" t="s">
        <v>99</v>
      </c>
      <c r="C75" s="4" t="s">
        <v>970</v>
      </c>
      <c r="D75" s="99" t="s">
        <v>39</v>
      </c>
      <c r="E75" s="2">
        <v>25</v>
      </c>
      <c r="F75" s="1742"/>
      <c r="G75" s="1363">
        <f>ROUND(E75*F75,2)</f>
        <v>0</v>
      </c>
    </row>
    <row r="76" spans="1:7" s="530" customFormat="1" ht="15.95" customHeight="1" x14ac:dyDescent="0.25">
      <c r="A76" s="574"/>
      <c r="B76" s="578" t="s">
        <v>124</v>
      </c>
      <c r="C76" s="4" t="s">
        <v>971</v>
      </c>
      <c r="D76" s="308" t="s">
        <v>109</v>
      </c>
      <c r="E76" s="577">
        <v>8</v>
      </c>
      <c r="F76" s="1922"/>
      <c r="G76" s="577">
        <f>ROUND(E76*F76,2)</f>
        <v>0</v>
      </c>
    </row>
    <row r="77" spans="1:7" s="530" customFormat="1" ht="15.95" customHeight="1" x14ac:dyDescent="0.25">
      <c r="A77" s="574"/>
      <c r="B77" s="578" t="s">
        <v>126</v>
      </c>
      <c r="C77" s="102" t="s">
        <v>814</v>
      </c>
      <c r="D77" s="308" t="s">
        <v>109</v>
      </c>
      <c r="E77" s="577">
        <v>16</v>
      </c>
      <c r="F77" s="1922"/>
      <c r="G77" s="577">
        <f>ROUND(E77*F77,2)</f>
        <v>0</v>
      </c>
    </row>
    <row r="78" spans="1:7" s="530" customFormat="1" ht="8.1" customHeight="1" x14ac:dyDescent="0.25">
      <c r="A78" s="574"/>
      <c r="B78" s="578"/>
      <c r="C78" s="307"/>
      <c r="D78" s="308"/>
      <c r="E78" s="577"/>
      <c r="F78" s="1922"/>
      <c r="G78" s="577"/>
    </row>
    <row r="79" spans="1:7" s="530" customFormat="1" x14ac:dyDescent="0.25">
      <c r="A79" s="574"/>
      <c r="B79" s="308"/>
      <c r="C79" s="1182" t="s">
        <v>59</v>
      </c>
      <c r="D79" s="1314"/>
      <c r="E79" s="1315"/>
      <c r="F79" s="1930"/>
      <c r="G79" s="1315">
        <f>ROUND(SUM(G62:G77),2)</f>
        <v>0</v>
      </c>
    </row>
    <row r="80" spans="1:7" s="530" customFormat="1" x14ac:dyDescent="0.25">
      <c r="A80" s="574"/>
      <c r="B80" s="308"/>
      <c r="C80" s="582"/>
      <c r="D80" s="308"/>
      <c r="E80" s="577"/>
      <c r="F80" s="1922"/>
      <c r="G80" s="577"/>
    </row>
    <row r="81" spans="1:7" s="530" customFormat="1" x14ac:dyDescent="0.25">
      <c r="A81" s="574"/>
      <c r="B81" s="575" t="s">
        <v>24</v>
      </c>
      <c r="C81" s="377" t="s">
        <v>60</v>
      </c>
      <c r="D81" s="308"/>
      <c r="E81" s="577"/>
      <c r="F81" s="1922"/>
      <c r="G81" s="577"/>
    </row>
    <row r="82" spans="1:7" s="530" customFormat="1" ht="8.1" customHeight="1" x14ac:dyDescent="0.25">
      <c r="A82" s="580"/>
      <c r="B82" s="578"/>
      <c r="C82" s="307"/>
      <c r="D82" s="308"/>
      <c r="E82" s="577"/>
      <c r="F82" s="1922"/>
      <c r="G82" s="577"/>
    </row>
    <row r="83" spans="1:7" s="530" customFormat="1" x14ac:dyDescent="0.25">
      <c r="A83" s="990"/>
      <c r="B83" s="991" t="s">
        <v>32</v>
      </c>
      <c r="C83" s="991" t="s">
        <v>972</v>
      </c>
      <c r="D83" s="992"/>
      <c r="E83" s="993"/>
      <c r="F83" s="1931"/>
      <c r="G83" s="993"/>
    </row>
    <row r="84" spans="1:7" s="530" customFormat="1" ht="8.1" customHeight="1" x14ac:dyDescent="0.25">
      <c r="A84" s="574"/>
      <c r="B84" s="4"/>
      <c r="C84" s="523"/>
      <c r="D84" s="524"/>
      <c r="E84" s="525"/>
      <c r="F84" s="1742"/>
      <c r="G84" s="577"/>
    </row>
    <row r="85" spans="1:7" s="530" customFormat="1" x14ac:dyDescent="0.25">
      <c r="A85" s="574"/>
      <c r="B85" s="4" t="s">
        <v>97</v>
      </c>
      <c r="C85" s="96" t="s">
        <v>973</v>
      </c>
      <c r="D85" s="99" t="s">
        <v>69</v>
      </c>
      <c r="E85" s="101">
        <v>120</v>
      </c>
      <c r="F85" s="1742"/>
      <c r="G85" s="577">
        <f>ROUND(E85*F85,2)</f>
        <v>0</v>
      </c>
    </row>
    <row r="86" spans="1:7" s="530" customFormat="1" ht="8.1" customHeight="1" x14ac:dyDescent="0.25">
      <c r="A86" s="574"/>
      <c r="B86" s="4"/>
      <c r="C86" s="523"/>
      <c r="D86" s="524"/>
      <c r="E86" s="525"/>
      <c r="F86" s="1742"/>
      <c r="G86" s="577"/>
    </row>
    <row r="87" spans="1:7" s="530" customFormat="1" ht="24" x14ac:dyDescent="0.25">
      <c r="A87" s="574"/>
      <c r="B87" s="578" t="s">
        <v>99</v>
      </c>
      <c r="C87" s="96" t="s">
        <v>974</v>
      </c>
      <c r="D87" s="99" t="s">
        <v>69</v>
      </c>
      <c r="E87" s="101">
        <v>60</v>
      </c>
      <c r="F87" s="1742"/>
      <c r="G87" s="577">
        <f>ROUND(E87*F87,2)</f>
        <v>0</v>
      </c>
    </row>
    <row r="88" spans="1:7" s="530" customFormat="1" ht="8.1" customHeight="1" x14ac:dyDescent="0.25">
      <c r="A88" s="574"/>
      <c r="B88" s="4"/>
      <c r="C88" s="96"/>
      <c r="D88" s="1"/>
      <c r="E88" s="2"/>
      <c r="F88" s="1742"/>
      <c r="G88" s="577"/>
    </row>
    <row r="89" spans="1:7" s="530" customFormat="1" ht="37.5" customHeight="1" x14ac:dyDescent="0.25">
      <c r="A89" s="574"/>
      <c r="B89" s="578" t="s">
        <v>124</v>
      </c>
      <c r="C89" s="96" t="s">
        <v>975</v>
      </c>
      <c r="D89" s="99" t="s">
        <v>69</v>
      </c>
      <c r="E89" s="2">
        <v>120</v>
      </c>
      <c r="F89" s="1742"/>
      <c r="G89" s="577">
        <f>ROUND(E89*F89,2)</f>
        <v>0</v>
      </c>
    </row>
    <row r="90" spans="1:7" s="530" customFormat="1" ht="8.1" customHeight="1" x14ac:dyDescent="0.25">
      <c r="A90" s="574"/>
      <c r="B90" s="4"/>
      <c r="C90" s="96"/>
      <c r="D90" s="1"/>
      <c r="E90" s="2"/>
      <c r="F90" s="1742"/>
      <c r="G90" s="577"/>
    </row>
    <row r="91" spans="1:7" s="530" customFormat="1" ht="37.5" customHeight="1" x14ac:dyDescent="0.25">
      <c r="A91" s="574"/>
      <c r="B91" s="578" t="s">
        <v>126</v>
      </c>
      <c r="C91" s="96" t="s">
        <v>976</v>
      </c>
      <c r="D91" s="99" t="s">
        <v>69</v>
      </c>
      <c r="E91" s="2">
        <v>120</v>
      </c>
      <c r="F91" s="1742"/>
      <c r="G91" s="577">
        <f>ROUND(E91*F91,2)</f>
        <v>0</v>
      </c>
    </row>
    <row r="92" spans="1:7" s="530" customFormat="1" ht="8.1" customHeight="1" x14ac:dyDescent="0.25">
      <c r="A92" s="574"/>
      <c r="B92" s="578"/>
      <c r="C92" s="307"/>
      <c r="D92" s="308"/>
      <c r="E92" s="577"/>
      <c r="F92" s="1922"/>
      <c r="G92" s="577"/>
    </row>
    <row r="93" spans="1:7" s="530" customFormat="1" x14ac:dyDescent="0.25">
      <c r="A93" s="574"/>
      <c r="B93" s="308"/>
      <c r="C93" s="1182" t="s">
        <v>75</v>
      </c>
      <c r="D93" s="1314"/>
      <c r="E93" s="1315"/>
      <c r="F93" s="1930"/>
      <c r="G93" s="1315">
        <f>ROUND(SUM(G85:G91),2)</f>
        <v>0</v>
      </c>
    </row>
    <row r="94" spans="1:7" s="530" customFormat="1" x14ac:dyDescent="0.25">
      <c r="B94" s="583"/>
      <c r="C94" s="579"/>
      <c r="D94" s="308"/>
      <c r="E94" s="577"/>
      <c r="F94" s="1922"/>
      <c r="G94" s="577"/>
    </row>
    <row r="95" spans="1:7" s="530" customFormat="1" x14ac:dyDescent="0.25">
      <c r="A95" s="580"/>
      <c r="B95" s="575" t="s">
        <v>61</v>
      </c>
      <c r="C95" s="579" t="s">
        <v>961</v>
      </c>
      <c r="D95" s="308"/>
      <c r="E95" s="577"/>
      <c r="F95" s="1922"/>
      <c r="G95" s="577"/>
    </row>
    <row r="96" spans="1:7" s="530" customFormat="1" ht="8.1" customHeight="1" x14ac:dyDescent="0.25">
      <c r="A96" s="580"/>
      <c r="B96" s="4"/>
      <c r="C96" s="109"/>
      <c r="D96" s="308"/>
      <c r="E96" s="577"/>
      <c r="F96" s="1922"/>
      <c r="G96" s="577"/>
    </row>
    <row r="97" spans="1:7" s="530" customFormat="1" ht="26.25" customHeight="1" x14ac:dyDescent="0.25">
      <c r="A97" s="580"/>
      <c r="B97" s="106" t="s">
        <v>32</v>
      </c>
      <c r="C97" s="307" t="s">
        <v>806</v>
      </c>
      <c r="D97" s="308" t="s">
        <v>58</v>
      </c>
      <c r="E97" s="577">
        <v>1</v>
      </c>
      <c r="F97" s="1922"/>
      <c r="G97" s="577">
        <f>ROUND(E97*F97,2)</f>
        <v>0</v>
      </c>
    </row>
    <row r="98" spans="1:7" s="530" customFormat="1" ht="8.1" customHeight="1" x14ac:dyDescent="0.25">
      <c r="A98" s="580"/>
      <c r="B98" s="4"/>
      <c r="C98" s="109"/>
      <c r="D98" s="308"/>
      <c r="E98" s="577"/>
      <c r="F98" s="1922"/>
      <c r="G98" s="577"/>
    </row>
    <row r="99" spans="1:7" s="530" customFormat="1" ht="71.45" customHeight="1" x14ac:dyDescent="0.25">
      <c r="A99" s="580"/>
      <c r="B99" s="106" t="s">
        <v>35</v>
      </c>
      <c r="C99" s="307" t="s">
        <v>977</v>
      </c>
      <c r="D99" s="308" t="s">
        <v>58</v>
      </c>
      <c r="E99" s="577">
        <v>1</v>
      </c>
      <c r="F99" s="1922"/>
      <c r="G99" s="577">
        <f>ROUND(E99*F99,2)</f>
        <v>0</v>
      </c>
    </row>
    <row r="100" spans="1:7" s="530" customFormat="1" ht="8.1" customHeight="1" x14ac:dyDescent="0.25">
      <c r="A100" s="580"/>
      <c r="B100" s="4"/>
      <c r="C100" s="109"/>
      <c r="D100" s="308"/>
      <c r="E100" s="577"/>
      <c r="F100" s="1922"/>
      <c r="G100" s="577"/>
    </row>
    <row r="101" spans="1:7" s="530" customFormat="1" x14ac:dyDescent="0.25">
      <c r="A101" s="574"/>
      <c r="B101" s="308"/>
      <c r="C101" s="1182" t="s">
        <v>978</v>
      </c>
      <c r="D101" s="1314"/>
      <c r="E101" s="1315"/>
      <c r="F101" s="1930"/>
      <c r="G101" s="1315">
        <f>ROUND(SUM(G97:G100),2)</f>
        <v>0</v>
      </c>
    </row>
    <row r="102" spans="1:7" s="530" customFormat="1" x14ac:dyDescent="0.25">
      <c r="B102" s="583"/>
      <c r="C102" s="579"/>
      <c r="D102" s="308"/>
      <c r="E102" s="577"/>
      <c r="F102" s="1922"/>
      <c r="G102" s="577"/>
    </row>
    <row r="103" spans="1:7" s="530" customFormat="1" x14ac:dyDescent="0.25">
      <c r="A103" s="580"/>
      <c r="B103" s="575" t="s">
        <v>93</v>
      </c>
      <c r="C103" s="579" t="s">
        <v>92</v>
      </c>
      <c r="D103" s="308"/>
      <c r="E103" s="577"/>
      <c r="F103" s="1922"/>
      <c r="G103" s="577"/>
    </row>
    <row r="104" spans="1:7" s="530" customFormat="1" ht="8.1" customHeight="1" x14ac:dyDescent="0.25">
      <c r="A104" s="574"/>
      <c r="B104" s="4"/>
      <c r="C104" s="5"/>
      <c r="D104" s="1"/>
      <c r="E104" s="2"/>
      <c r="F104" s="1742"/>
      <c r="G104" s="577"/>
    </row>
    <row r="105" spans="1:7" s="530" customFormat="1" x14ac:dyDescent="0.25">
      <c r="B105" s="583" t="s">
        <v>32</v>
      </c>
      <c r="C105" s="582" t="s">
        <v>979</v>
      </c>
      <c r="D105" s="308" t="s">
        <v>58</v>
      </c>
      <c r="E105" s="577">
        <v>1</v>
      </c>
      <c r="F105" s="1922"/>
      <c r="G105" s="577">
        <f>ROUND(E105*F105,2)</f>
        <v>0</v>
      </c>
    </row>
    <row r="106" spans="1:7" s="530" customFormat="1" ht="8.1" customHeight="1" x14ac:dyDescent="0.25">
      <c r="A106" s="580"/>
      <c r="B106" s="4"/>
      <c r="C106" s="4"/>
      <c r="D106" s="1"/>
      <c r="E106" s="101"/>
      <c r="F106" s="1742"/>
      <c r="G106" s="577"/>
    </row>
    <row r="107" spans="1:7" s="530" customFormat="1" ht="27.75" customHeight="1" x14ac:dyDescent="0.25">
      <c r="A107" s="580"/>
      <c r="B107" s="4" t="s">
        <v>35</v>
      </c>
      <c r="C107" s="4" t="s">
        <v>980</v>
      </c>
      <c r="D107" s="1"/>
      <c r="E107" s="2"/>
      <c r="F107" s="1742"/>
      <c r="G107" s="577"/>
    </row>
    <row r="108" spans="1:7" s="530" customFormat="1" ht="24" x14ac:dyDescent="0.25">
      <c r="B108" s="4" t="s">
        <v>97</v>
      </c>
      <c r="C108" s="4" t="s">
        <v>824</v>
      </c>
      <c r="D108" s="99" t="s">
        <v>69</v>
      </c>
      <c r="E108" s="2">
        <v>50</v>
      </c>
      <c r="F108" s="1742"/>
      <c r="G108" s="577">
        <f>ROUND(E108*F108,2)</f>
        <v>0</v>
      </c>
    </row>
    <row r="109" spans="1:7" s="530" customFormat="1" x14ac:dyDescent="0.25">
      <c r="A109" s="580"/>
      <c r="B109" s="4" t="s">
        <v>99</v>
      </c>
      <c r="C109" s="4" t="s">
        <v>965</v>
      </c>
      <c r="D109" s="308" t="s">
        <v>109</v>
      </c>
      <c r="E109" s="577">
        <v>8</v>
      </c>
      <c r="F109" s="1922"/>
      <c r="G109" s="577">
        <f>ROUND(E109*F109,2)</f>
        <v>0</v>
      </c>
    </row>
    <row r="110" spans="1:7" s="530" customFormat="1" x14ac:dyDescent="0.25">
      <c r="A110" s="580"/>
      <c r="B110" s="4" t="s">
        <v>124</v>
      </c>
      <c r="C110" s="102" t="s">
        <v>814</v>
      </c>
      <c r="D110" s="308" t="s">
        <v>109</v>
      </c>
      <c r="E110" s="577">
        <v>16</v>
      </c>
      <c r="F110" s="1922"/>
      <c r="G110" s="577">
        <f>ROUND(E110*F110,2)</f>
        <v>0</v>
      </c>
    </row>
    <row r="111" spans="1:7" s="530" customFormat="1" ht="8.1" customHeight="1" x14ac:dyDescent="0.25">
      <c r="A111" s="580"/>
      <c r="B111" s="4"/>
      <c r="C111" s="109"/>
      <c r="D111" s="308"/>
      <c r="E111" s="577"/>
      <c r="F111" s="1922"/>
      <c r="G111" s="577"/>
    </row>
    <row r="112" spans="1:7" s="530" customFormat="1" x14ac:dyDescent="0.25">
      <c r="A112" s="574"/>
      <c r="B112" s="308"/>
      <c r="C112" s="1182" t="s">
        <v>111</v>
      </c>
      <c r="D112" s="1314"/>
      <c r="E112" s="1315"/>
      <c r="F112" s="1930"/>
      <c r="G112" s="1315">
        <f>ROUND(SUM(G105:G110),2)</f>
        <v>0</v>
      </c>
    </row>
    <row r="113" spans="7:7" x14ac:dyDescent="0.25">
      <c r="G113" s="1722"/>
    </row>
    <row r="114" spans="7:7" x14ac:dyDescent="0.25">
      <c r="G114" s="1722"/>
    </row>
    <row r="115" spans="7:7" ht="14.25" customHeight="1" x14ac:dyDescent="0.25">
      <c r="G115" s="1722"/>
    </row>
    <row r="116" spans="7:7" ht="8.1" customHeight="1" x14ac:dyDescent="0.25">
      <c r="G116" s="1722"/>
    </row>
    <row r="117" spans="7:7" x14ac:dyDescent="0.25">
      <c r="G117" s="1722"/>
    </row>
    <row r="118" spans="7:7" ht="8.1" customHeight="1" x14ac:dyDescent="0.25">
      <c r="G118" s="1722"/>
    </row>
    <row r="119" spans="7:7" ht="60" customHeight="1" x14ac:dyDescent="0.25">
      <c r="G119" s="1722"/>
    </row>
    <row r="120" spans="7:7" ht="8.1" customHeight="1" x14ac:dyDescent="0.25">
      <c r="G120" s="1722"/>
    </row>
    <row r="121" spans="7:7" x14ac:dyDescent="0.25">
      <c r="G121" s="1722"/>
    </row>
    <row r="122" spans="7:7" ht="8.1" customHeight="1" x14ac:dyDescent="0.25">
      <c r="G122" s="1722"/>
    </row>
    <row r="123" spans="7:7" x14ac:dyDescent="0.25">
      <c r="G123" s="1722"/>
    </row>
    <row r="124" spans="7:7" ht="8.1" customHeight="1" x14ac:dyDescent="0.25">
      <c r="G124" s="1722"/>
    </row>
    <row r="125" spans="7:7" x14ac:dyDescent="0.25">
      <c r="G125" s="1722"/>
    </row>
    <row r="126" spans="7:7" ht="8.1" customHeight="1" x14ac:dyDescent="0.25">
      <c r="G126" s="1722"/>
    </row>
    <row r="127" spans="7:7" ht="51" customHeight="1" x14ac:dyDescent="0.25">
      <c r="G127" s="1722"/>
    </row>
    <row r="128" spans="7:7" ht="8.1" customHeight="1" x14ac:dyDescent="0.25"/>
    <row r="130" ht="8.1" customHeight="1" x14ac:dyDescent="0.25"/>
    <row r="132" ht="8.1" customHeight="1" x14ac:dyDescent="0.25"/>
    <row r="136" ht="8.1" customHeight="1" x14ac:dyDescent="0.25"/>
    <row r="138" ht="8.1" customHeight="1" x14ac:dyDescent="0.25"/>
    <row r="140" ht="8.1" customHeight="1" x14ac:dyDescent="0.25"/>
    <row r="141" ht="26.25" customHeight="1" x14ac:dyDescent="0.25"/>
    <row r="142" ht="8.1" customHeight="1" x14ac:dyDescent="0.25"/>
    <row r="144" ht="8.1" customHeight="1" x14ac:dyDescent="0.25"/>
    <row r="148" ht="8.1" customHeight="1" x14ac:dyDescent="0.25"/>
    <row r="150" ht="8.1" customHeight="1" x14ac:dyDescent="0.25"/>
    <row r="186" ht="8.1" customHeight="1" x14ac:dyDescent="0.25"/>
    <row r="187" ht="63.75" customHeight="1" x14ac:dyDescent="0.25"/>
    <row r="188" ht="8.1" customHeight="1" x14ac:dyDescent="0.25"/>
    <row r="189" ht="61.5" customHeight="1" x14ac:dyDescent="0.25"/>
    <row r="190" ht="8.1" customHeight="1" x14ac:dyDescent="0.25"/>
    <row r="192" ht="8.1" customHeight="1" x14ac:dyDescent="0.25"/>
    <row r="193" ht="75.75" customHeight="1" x14ac:dyDescent="0.25"/>
    <row r="194" ht="8.1" customHeight="1" x14ac:dyDescent="0.25"/>
    <row r="198" ht="8.1" customHeight="1" x14ac:dyDescent="0.25"/>
    <row r="200" ht="8.1" customHeight="1" x14ac:dyDescent="0.25"/>
    <row r="201" ht="25.5" customHeight="1" x14ac:dyDescent="0.25"/>
    <row r="202" ht="8.1" customHeight="1" x14ac:dyDescent="0.25"/>
    <row r="204" ht="8.1" customHeight="1" x14ac:dyDescent="0.25"/>
    <row r="205" ht="29.25" customHeight="1" x14ac:dyDescent="0.25"/>
    <row r="206" ht="8.1" customHeight="1" x14ac:dyDescent="0.25"/>
    <row r="209" ht="14.25" customHeight="1" x14ac:dyDescent="0.25"/>
    <row r="210" ht="8.1" customHeight="1" x14ac:dyDescent="0.25"/>
    <row r="211" ht="47.25" customHeight="1" x14ac:dyDescent="0.25"/>
    <row r="212" ht="8.1" customHeight="1" x14ac:dyDescent="0.25"/>
    <row r="213" ht="24" customHeight="1" x14ac:dyDescent="0.25"/>
    <row r="214" ht="8.1" customHeight="1" x14ac:dyDescent="0.25"/>
    <row r="215" ht="25.5" customHeight="1" x14ac:dyDescent="0.25"/>
    <row r="216" ht="8.1" customHeight="1" x14ac:dyDescent="0.25"/>
    <row r="217" ht="50.25" customHeight="1" x14ac:dyDescent="0.25"/>
    <row r="218" ht="8.1" customHeight="1" x14ac:dyDescent="0.25"/>
    <row r="219" ht="36.75" customHeight="1" x14ac:dyDescent="0.25"/>
    <row r="220" ht="8.1" customHeight="1" x14ac:dyDescent="0.25"/>
    <row r="222" ht="8.1" customHeight="1" x14ac:dyDescent="0.25"/>
    <row r="224" ht="8.1" customHeight="1" x14ac:dyDescent="0.25"/>
    <row r="227" ht="14.25" customHeight="1" x14ac:dyDescent="0.25"/>
    <row r="228" ht="8.1" customHeight="1" x14ac:dyDescent="0.25"/>
    <row r="230" ht="8.1" customHeight="1" x14ac:dyDescent="0.25"/>
    <row r="232" ht="8.1" customHeight="1" x14ac:dyDescent="0.25"/>
    <row r="233" ht="48" customHeight="1" x14ac:dyDescent="0.25"/>
    <row r="234" ht="8.1" customHeight="1" x14ac:dyDescent="0.25"/>
    <row r="236" ht="8.1" customHeight="1" x14ac:dyDescent="0.25"/>
    <row r="237" ht="60" customHeight="1" x14ac:dyDescent="0.25"/>
    <row r="238" ht="8.1" customHeight="1" x14ac:dyDescent="0.25"/>
    <row r="241" ht="14.25" customHeight="1" x14ac:dyDescent="0.25"/>
    <row r="242" ht="8.1" customHeight="1" x14ac:dyDescent="0.25"/>
    <row r="243" ht="39.75" customHeight="1" x14ac:dyDescent="0.25"/>
    <row r="244" ht="8.1" customHeight="1" x14ac:dyDescent="0.25"/>
    <row r="246" ht="8.1" customHeight="1" x14ac:dyDescent="0.25"/>
    <row r="248" ht="8.1" customHeight="1" x14ac:dyDescent="0.25"/>
    <row r="251" ht="14.25" customHeight="1" x14ac:dyDescent="0.25"/>
    <row r="252" ht="8.1" customHeight="1" x14ac:dyDescent="0.25"/>
    <row r="254" ht="8.1" customHeight="1" x14ac:dyDescent="0.25"/>
    <row r="255" ht="29.25" customHeight="1" x14ac:dyDescent="0.25"/>
    <row r="256" ht="8.1" customHeight="1" x14ac:dyDescent="0.25"/>
    <row r="258" ht="8.1" customHeight="1" x14ac:dyDescent="0.25"/>
    <row r="260" ht="8.1" customHeight="1" x14ac:dyDescent="0.25"/>
    <row r="263" ht="14.25" customHeight="1" x14ac:dyDescent="0.25"/>
    <row r="264" ht="8.1" customHeight="1" x14ac:dyDescent="0.25"/>
    <row r="265" ht="87.75" customHeight="1" x14ac:dyDescent="0.25"/>
    <row r="266" ht="8.1" customHeight="1" x14ac:dyDescent="0.25"/>
    <row r="267" ht="109.5" customHeight="1" x14ac:dyDescent="0.25"/>
    <row r="268" ht="8.1" customHeight="1" x14ac:dyDescent="0.25"/>
    <row r="269" ht="50.25" customHeight="1" x14ac:dyDescent="0.25"/>
    <row r="270" ht="8.1" customHeight="1" x14ac:dyDescent="0.25"/>
    <row r="272" ht="8.1" customHeight="1" x14ac:dyDescent="0.25"/>
    <row r="274" ht="8.1" customHeight="1" x14ac:dyDescent="0.25"/>
    <row r="275" ht="49.5" customHeight="1" x14ac:dyDescent="0.25"/>
    <row r="276" ht="8.1" customHeight="1" x14ac:dyDescent="0.25"/>
    <row r="281" ht="8.1" customHeight="1" x14ac:dyDescent="0.25"/>
    <row r="283" ht="8.1" customHeight="1" x14ac:dyDescent="0.25"/>
    <row r="285" ht="8.1" customHeight="1" x14ac:dyDescent="0.25"/>
    <row r="286" ht="24.75" customHeight="1" x14ac:dyDescent="0.25"/>
    <row r="287" ht="8.1" customHeight="1" x14ac:dyDescent="0.25"/>
    <row r="288" ht="27" customHeight="1" x14ac:dyDescent="0.25"/>
    <row r="289" ht="8.1" customHeight="1" x14ac:dyDescent="0.25"/>
    <row r="291" ht="8.1" customHeight="1" x14ac:dyDescent="0.25"/>
    <row r="294" ht="14.25" customHeight="1" x14ac:dyDescent="0.25"/>
    <row r="295" ht="8.1" customHeight="1" x14ac:dyDescent="0.25"/>
    <row r="296" ht="50.25" customHeight="1" x14ac:dyDescent="0.25"/>
    <row r="297" ht="8.1" customHeight="1" x14ac:dyDescent="0.25"/>
    <row r="299" ht="8.1" customHeight="1" x14ac:dyDescent="0.25"/>
    <row r="303" ht="8.1" customHeight="1" x14ac:dyDescent="0.25"/>
    <row r="305" ht="8.1" customHeight="1" x14ac:dyDescent="0.25"/>
    <row r="307" ht="8.1" customHeight="1" x14ac:dyDescent="0.25"/>
    <row r="308" ht="8.1" customHeight="1" x14ac:dyDescent="0.25"/>
    <row r="314" ht="18" customHeight="1" x14ac:dyDescent="0.25"/>
    <row r="316" ht="30" customHeight="1" x14ac:dyDescent="0.25"/>
    <row r="318" ht="41.25" customHeight="1" x14ac:dyDescent="0.25"/>
    <row r="320" ht="41.25" customHeight="1" x14ac:dyDescent="0.25"/>
  </sheetData>
  <sheetProtection algorithmName="SHA-512" hashValue="j4FYqTMQMAVzXhNOuyBYqWWaQIBfNQpw6ofcQVJ+C8UkYWul9tUpWQb1jpMlPiKTYhC2qZMAB7vjHq+aZ7H8UQ==" saltValue="vL1P2RALfO1v1RHkoBG4kQ==" spinCount="100000" sheet="1" objects="1" scenarios="1"/>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rowBreaks count="1" manualBreakCount="1">
    <brk id="292"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L320"/>
  <sheetViews>
    <sheetView view="pageBreakPreview" zoomScale="110" zoomScaleNormal="55" zoomScaleSheetLayoutView="110" workbookViewId="0"/>
  </sheetViews>
  <sheetFormatPr defaultColWidth="9.140625" defaultRowHeight="15" x14ac:dyDescent="0.25"/>
  <cols>
    <col min="1" max="1" width="4.85546875" customWidth="1"/>
    <col min="2" max="2" width="4.5703125" bestFit="1" customWidth="1"/>
    <col min="3" max="3" width="39.28515625" customWidth="1"/>
    <col min="4" max="4" width="5.5703125" customWidth="1"/>
    <col min="5" max="5" width="10.5703125" bestFit="1" customWidth="1"/>
    <col min="6" max="6" width="10.42578125" style="1741" bestFit="1" customWidth="1"/>
    <col min="7" max="7" width="14.5703125" style="1722" bestFit="1" customWidth="1"/>
    <col min="9" max="9" width="10.7109375" bestFit="1" customWidth="1"/>
    <col min="11" max="12" width="10.7109375" bestFit="1" customWidth="1"/>
  </cols>
  <sheetData>
    <row r="1" spans="1:12" s="530" customFormat="1" x14ac:dyDescent="0.25">
      <c r="A1" s="526"/>
      <c r="B1" s="526"/>
      <c r="C1" s="527"/>
      <c r="D1" s="444"/>
      <c r="E1" s="528"/>
      <c r="F1" s="1910"/>
      <c r="G1" s="529"/>
    </row>
    <row r="2" spans="1:12" s="530" customFormat="1" ht="18" x14ac:dyDescent="0.25">
      <c r="A2" s="1703" t="s">
        <v>1636</v>
      </c>
      <c r="B2" s="1702"/>
      <c r="C2" s="1702"/>
      <c r="D2" s="1702"/>
      <c r="E2" s="1702"/>
      <c r="F2" s="1911"/>
      <c r="G2" s="1702"/>
    </row>
    <row r="3" spans="1:12" s="530" customFormat="1" ht="18" x14ac:dyDescent="0.25">
      <c r="A3" s="1703" t="s">
        <v>1635</v>
      </c>
      <c r="B3" s="1702"/>
      <c r="C3" s="1702"/>
      <c r="D3" s="1702"/>
      <c r="E3" s="1702"/>
      <c r="F3" s="1911"/>
      <c r="G3" s="1702"/>
    </row>
    <row r="4" spans="1:12" s="530" customFormat="1" x14ac:dyDescent="0.25">
      <c r="A4" s="531"/>
      <c r="B4" s="532"/>
      <c r="C4" s="533"/>
      <c r="D4" s="534"/>
      <c r="E4" s="535"/>
      <c r="F4" s="1912"/>
      <c r="G4" s="532"/>
    </row>
    <row r="5" spans="1:12" s="530" customFormat="1" x14ac:dyDescent="0.25">
      <c r="A5" s="536"/>
      <c r="B5" s="537" t="s">
        <v>20</v>
      </c>
      <c r="C5" s="538" t="s">
        <v>21</v>
      </c>
      <c r="D5" s="539"/>
      <c r="E5" s="540"/>
      <c r="F5" s="1913"/>
      <c r="G5" s="541"/>
      <c r="I5" s="542"/>
      <c r="J5" s="543"/>
    </row>
    <row r="6" spans="1:12" s="530" customFormat="1" x14ac:dyDescent="0.25">
      <c r="A6" s="536"/>
      <c r="B6" s="537"/>
      <c r="C6" s="538"/>
      <c r="D6" s="539"/>
      <c r="E6" s="540"/>
      <c r="F6" s="1913"/>
      <c r="G6" s="541"/>
      <c r="I6" s="542"/>
      <c r="J6" s="543"/>
    </row>
    <row r="7" spans="1:12" s="530" customFormat="1" x14ac:dyDescent="0.25">
      <c r="A7" s="536"/>
      <c r="B7" s="544" t="s">
        <v>22</v>
      </c>
      <c r="C7" s="545" t="s">
        <v>23</v>
      </c>
      <c r="D7" s="447"/>
      <c r="E7" s="546"/>
      <c r="F7" s="1914"/>
      <c r="G7" s="1359">
        <f>G69</f>
        <v>0</v>
      </c>
      <c r="I7" s="543"/>
      <c r="J7" s="543"/>
    </row>
    <row r="8" spans="1:12" s="530" customFormat="1" x14ac:dyDescent="0.25">
      <c r="A8" s="536"/>
      <c r="B8" s="544" t="s">
        <v>24</v>
      </c>
      <c r="C8" s="545" t="s">
        <v>981</v>
      </c>
      <c r="D8" s="447"/>
      <c r="E8" s="546"/>
      <c r="F8" s="1914"/>
      <c r="G8" s="1359">
        <f>G79</f>
        <v>0</v>
      </c>
      <c r="I8" s="543"/>
      <c r="J8" s="543"/>
    </row>
    <row r="9" spans="1:12" s="530" customFormat="1" x14ac:dyDescent="0.25">
      <c r="A9" s="536"/>
      <c r="B9" s="544" t="s">
        <v>93</v>
      </c>
      <c r="C9" s="545" t="s">
        <v>92</v>
      </c>
      <c r="D9" s="447"/>
      <c r="E9" s="546"/>
      <c r="F9" s="1914"/>
      <c r="G9" s="1359">
        <f>G87</f>
        <v>0</v>
      </c>
      <c r="I9" s="543"/>
      <c r="J9" s="543"/>
    </row>
    <row r="10" spans="1:12" s="530" customFormat="1" x14ac:dyDescent="0.25">
      <c r="A10" s="536"/>
      <c r="B10" s="537"/>
      <c r="C10" s="547"/>
      <c r="D10" s="548"/>
      <c r="E10" s="549"/>
      <c r="F10" s="1915"/>
      <c r="G10" s="1360"/>
      <c r="I10" s="543"/>
      <c r="J10" s="543"/>
    </row>
    <row r="11" spans="1:12" s="530" customFormat="1" ht="15.75" customHeight="1" thickBot="1" x14ac:dyDescent="0.3">
      <c r="A11" s="550"/>
      <c r="B11" s="551"/>
      <c r="C11" s="552" t="s">
        <v>25</v>
      </c>
      <c r="D11" s="553"/>
      <c r="E11" s="554"/>
      <c r="F11" s="1916"/>
      <c r="G11" s="1361">
        <f>ROUND(SUM(G7:G9),2)</f>
        <v>0</v>
      </c>
      <c r="K11" s="555"/>
      <c r="L11" s="543"/>
    </row>
    <row r="12" spans="1:12" s="530" customFormat="1" ht="15.75" thickTop="1" x14ac:dyDescent="0.25">
      <c r="A12" s="556"/>
      <c r="B12" s="557"/>
      <c r="C12" s="558"/>
      <c r="D12" s="408"/>
      <c r="E12" s="559"/>
      <c r="F12" s="1917"/>
      <c r="G12" s="560"/>
      <c r="I12" s="543"/>
      <c r="J12" s="543"/>
    </row>
    <row r="13" spans="1:12" s="530" customFormat="1" x14ac:dyDescent="0.25">
      <c r="A13" s="556"/>
      <c r="B13" s="557"/>
      <c r="C13" s="558"/>
      <c r="D13" s="408"/>
      <c r="E13" s="559"/>
      <c r="F13" s="1917"/>
      <c r="G13" s="560"/>
      <c r="I13" s="543"/>
      <c r="J13" s="543"/>
    </row>
    <row r="14" spans="1:12" s="530" customFormat="1" x14ac:dyDescent="0.25">
      <c r="A14" s="383"/>
      <c r="B14" s="529"/>
      <c r="D14" s="561"/>
      <c r="E14" s="562"/>
      <c r="F14" s="1918"/>
      <c r="G14" s="526"/>
    </row>
    <row r="15" spans="1:12" s="530" customFormat="1" x14ac:dyDescent="0.25">
      <c r="A15" s="383"/>
      <c r="B15" s="529"/>
      <c r="D15" s="561"/>
      <c r="E15" s="562"/>
      <c r="F15" s="1918"/>
      <c r="G15" s="526"/>
    </row>
    <row r="16" spans="1:12" s="530" customFormat="1" x14ac:dyDescent="0.25">
      <c r="A16" s="383"/>
      <c r="B16" s="529"/>
      <c r="D16" s="561"/>
      <c r="E16" s="562"/>
      <c r="F16" s="1918"/>
      <c r="G16" s="526"/>
    </row>
    <row r="17" spans="1:7" s="530" customFormat="1" x14ac:dyDescent="0.25">
      <c r="A17" s="383"/>
      <c r="B17" s="529"/>
      <c r="D17" s="561"/>
      <c r="E17" s="562"/>
      <c r="F17" s="1918"/>
      <c r="G17" s="526"/>
    </row>
    <row r="18" spans="1:7" s="530" customFormat="1" x14ac:dyDescent="0.25">
      <c r="A18" s="383"/>
      <c r="B18" s="529"/>
      <c r="D18" s="561"/>
      <c r="E18" s="562"/>
      <c r="F18" s="1918"/>
      <c r="G18" s="526"/>
    </row>
    <row r="19" spans="1:7" s="530" customFormat="1" x14ac:dyDescent="0.25">
      <c r="A19" s="383"/>
      <c r="B19" s="529"/>
      <c r="D19" s="561"/>
      <c r="E19" s="562"/>
      <c r="F19" s="1918"/>
      <c r="G19" s="526"/>
    </row>
    <row r="20" spans="1:7" s="530" customFormat="1" x14ac:dyDescent="0.25">
      <c r="A20" s="383"/>
      <c r="B20" s="529"/>
      <c r="D20" s="561"/>
      <c r="E20" s="562"/>
      <c r="F20" s="1918"/>
      <c r="G20" s="526"/>
    </row>
    <row r="21" spans="1:7" s="530" customFormat="1" x14ac:dyDescent="0.25">
      <c r="A21" s="383"/>
      <c r="B21" s="529"/>
      <c r="D21" s="561"/>
      <c r="E21" s="562"/>
      <c r="F21" s="1918"/>
      <c r="G21" s="526"/>
    </row>
    <row r="22" spans="1:7" s="530" customFormat="1" x14ac:dyDescent="0.25">
      <c r="A22" s="383"/>
      <c r="B22" s="529"/>
      <c r="D22" s="561"/>
      <c r="E22" s="562"/>
      <c r="F22" s="1918"/>
      <c r="G22" s="526"/>
    </row>
    <row r="23" spans="1:7" s="530" customFormat="1" x14ac:dyDescent="0.25">
      <c r="A23" s="383"/>
      <c r="B23" s="529"/>
      <c r="D23" s="561"/>
      <c r="E23" s="562"/>
      <c r="F23" s="1918"/>
      <c r="G23" s="526"/>
    </row>
    <row r="24" spans="1:7" s="530" customFormat="1" x14ac:dyDescent="0.25">
      <c r="A24" s="383"/>
      <c r="B24" s="529"/>
      <c r="D24" s="561"/>
      <c r="E24" s="562"/>
      <c r="F24" s="1918"/>
      <c r="G24" s="526"/>
    </row>
    <row r="25" spans="1:7" s="530" customFormat="1" x14ac:dyDescent="0.25">
      <c r="A25" s="383"/>
      <c r="B25" s="529"/>
      <c r="D25" s="561"/>
      <c r="E25" s="562"/>
      <c r="F25" s="1918"/>
      <c r="G25" s="526"/>
    </row>
    <row r="26" spans="1:7" s="530" customFormat="1" x14ac:dyDescent="0.25">
      <c r="A26" s="383"/>
      <c r="B26" s="529"/>
      <c r="D26" s="561"/>
      <c r="E26" s="562"/>
      <c r="F26" s="1918"/>
      <c r="G26" s="526"/>
    </row>
    <row r="27" spans="1:7" s="530" customFormat="1" x14ac:dyDescent="0.25">
      <c r="A27" s="383"/>
      <c r="B27" s="529"/>
      <c r="D27" s="561"/>
      <c r="E27" s="562"/>
      <c r="F27" s="1918"/>
      <c r="G27" s="526"/>
    </row>
    <row r="28" spans="1:7" s="530" customFormat="1" x14ac:dyDescent="0.25">
      <c r="A28" s="383"/>
      <c r="B28" s="529"/>
      <c r="D28" s="561"/>
      <c r="E28" s="562"/>
      <c r="F28" s="1918"/>
      <c r="G28" s="526"/>
    </row>
    <row r="29" spans="1:7" s="530" customFormat="1" x14ac:dyDescent="0.25">
      <c r="A29" s="383"/>
      <c r="B29" s="529"/>
      <c r="D29" s="561"/>
      <c r="E29" s="562"/>
      <c r="F29" s="1918"/>
      <c r="G29" s="526"/>
    </row>
    <row r="30" spans="1:7" s="530" customFormat="1" x14ac:dyDescent="0.25">
      <c r="A30" s="383"/>
      <c r="B30" s="529"/>
      <c r="D30" s="561"/>
      <c r="E30" s="562"/>
      <c r="F30" s="1918"/>
      <c r="G30" s="526"/>
    </row>
    <row r="31" spans="1:7" s="530" customFormat="1" x14ac:dyDescent="0.25">
      <c r="A31" s="383"/>
      <c r="B31" s="529"/>
      <c r="D31" s="561"/>
      <c r="E31" s="562"/>
      <c r="F31" s="1918"/>
      <c r="G31" s="526"/>
    </row>
    <row r="32" spans="1:7" s="530" customFormat="1" x14ac:dyDescent="0.25">
      <c r="A32" s="383"/>
      <c r="B32" s="529"/>
      <c r="D32" s="561"/>
      <c r="E32" s="562"/>
      <c r="F32" s="1918"/>
      <c r="G32" s="526"/>
    </row>
    <row r="33" spans="1:7" s="530" customFormat="1" x14ac:dyDescent="0.25">
      <c r="A33" s="383"/>
      <c r="B33" s="529"/>
      <c r="D33" s="561"/>
      <c r="E33" s="562"/>
      <c r="F33" s="1918"/>
      <c r="G33" s="526"/>
    </row>
    <row r="34" spans="1:7" s="530" customFormat="1" x14ac:dyDescent="0.25">
      <c r="A34" s="383"/>
      <c r="B34" s="529"/>
      <c r="D34" s="561"/>
      <c r="E34" s="562"/>
      <c r="F34" s="1918"/>
      <c r="G34" s="526"/>
    </row>
    <row r="35" spans="1:7" s="530" customFormat="1" x14ac:dyDescent="0.25">
      <c r="A35" s="383"/>
      <c r="B35" s="529"/>
      <c r="D35" s="561"/>
      <c r="E35" s="562"/>
      <c r="F35" s="1918"/>
      <c r="G35" s="526"/>
    </row>
    <row r="36" spans="1:7" s="530" customFormat="1" x14ac:dyDescent="0.25">
      <c r="A36" s="383"/>
      <c r="B36" s="529"/>
      <c r="D36" s="561"/>
      <c r="E36" s="562"/>
      <c r="F36" s="1918"/>
      <c r="G36" s="526"/>
    </row>
    <row r="37" spans="1:7" s="530" customFormat="1" x14ac:dyDescent="0.25">
      <c r="A37" s="383"/>
      <c r="B37" s="529"/>
      <c r="D37" s="561"/>
      <c r="E37" s="562"/>
      <c r="F37" s="1918"/>
      <c r="G37" s="526"/>
    </row>
    <row r="38" spans="1:7" s="530" customFormat="1" x14ac:dyDescent="0.25">
      <c r="A38" s="383"/>
      <c r="B38" s="529"/>
      <c r="D38" s="561"/>
      <c r="E38" s="562"/>
      <c r="F38" s="1918"/>
      <c r="G38" s="526"/>
    </row>
    <row r="39" spans="1:7" s="530" customFormat="1" x14ac:dyDescent="0.25">
      <c r="A39" s="383"/>
      <c r="B39" s="529"/>
      <c r="D39" s="561"/>
      <c r="E39" s="562"/>
      <c r="F39" s="1918"/>
      <c r="G39" s="526"/>
    </row>
    <row r="40" spans="1:7" s="530" customFormat="1" x14ac:dyDescent="0.25">
      <c r="A40" s="383"/>
      <c r="B40" s="529"/>
      <c r="D40" s="561"/>
      <c r="E40" s="562"/>
      <c r="F40" s="1918"/>
      <c r="G40" s="526"/>
    </row>
    <row r="41" spans="1:7" s="530" customFormat="1" x14ac:dyDescent="0.25">
      <c r="A41" s="383"/>
      <c r="B41" s="529"/>
      <c r="D41" s="561"/>
      <c r="E41" s="562"/>
      <c r="F41" s="1918"/>
      <c r="G41" s="526"/>
    </row>
    <row r="42" spans="1:7" s="530" customFormat="1" x14ac:dyDescent="0.25">
      <c r="A42" s="383"/>
      <c r="B42" s="529"/>
      <c r="D42" s="561"/>
      <c r="E42" s="562"/>
      <c r="F42" s="1918"/>
      <c r="G42" s="526"/>
    </row>
    <row r="43" spans="1:7" s="530" customFormat="1" x14ac:dyDescent="0.25">
      <c r="A43" s="383"/>
      <c r="B43" s="529"/>
      <c r="D43" s="561"/>
      <c r="E43" s="562"/>
      <c r="F43" s="1918"/>
      <c r="G43" s="526"/>
    </row>
    <row r="44" spans="1:7" s="530" customFormat="1" x14ac:dyDescent="0.25">
      <c r="A44" s="383"/>
      <c r="B44" s="529"/>
      <c r="D44" s="561"/>
      <c r="E44" s="562"/>
      <c r="F44" s="1918"/>
      <c r="G44" s="526"/>
    </row>
    <row r="45" spans="1:7" s="530" customFormat="1" x14ac:dyDescent="0.25">
      <c r="A45" s="383"/>
      <c r="B45" s="529"/>
      <c r="D45" s="561"/>
      <c r="E45" s="562"/>
      <c r="F45" s="1918"/>
      <c r="G45" s="526"/>
    </row>
    <row r="46" spans="1:7" s="530" customFormat="1" x14ac:dyDescent="0.25">
      <c r="A46" s="383"/>
      <c r="B46" s="529"/>
      <c r="D46" s="561"/>
      <c r="E46" s="562"/>
      <c r="F46" s="1918"/>
      <c r="G46" s="526"/>
    </row>
    <row r="47" spans="1:7" s="530" customFormat="1" x14ac:dyDescent="0.25">
      <c r="A47" s="383"/>
      <c r="B47" s="529"/>
      <c r="D47" s="561"/>
      <c r="E47" s="562"/>
      <c r="F47" s="1918"/>
      <c r="G47" s="526"/>
    </row>
    <row r="48" spans="1:7" s="530" customFormat="1" x14ac:dyDescent="0.25">
      <c r="A48" s="383"/>
      <c r="B48" s="529"/>
      <c r="D48" s="561"/>
      <c r="E48" s="562"/>
      <c r="F48" s="1918"/>
      <c r="G48" s="526"/>
    </row>
    <row r="49" spans="1:7" s="530" customFormat="1" x14ac:dyDescent="0.25">
      <c r="A49" s="383"/>
      <c r="B49" s="529"/>
      <c r="D49" s="561"/>
      <c r="E49" s="562"/>
      <c r="F49" s="1918"/>
      <c r="G49" s="526"/>
    </row>
    <row r="50" spans="1:7" s="530" customFormat="1" x14ac:dyDescent="0.25">
      <c r="A50" s="383"/>
      <c r="B50" s="529"/>
      <c r="D50" s="561"/>
      <c r="E50" s="562"/>
      <c r="F50" s="1918"/>
      <c r="G50" s="526"/>
    </row>
    <row r="51" spans="1:7" s="530" customFormat="1" x14ac:dyDescent="0.25">
      <c r="A51" s="383"/>
      <c r="B51" s="529"/>
      <c r="D51" s="561"/>
      <c r="E51" s="562"/>
      <c r="F51" s="1918"/>
      <c r="G51" s="526"/>
    </row>
    <row r="52" spans="1:7" s="530" customFormat="1" x14ac:dyDescent="0.25">
      <c r="A52" s="383"/>
      <c r="B52" s="529"/>
      <c r="D52" s="561"/>
      <c r="E52" s="562"/>
      <c r="F52" s="1918"/>
      <c r="G52" s="526"/>
    </row>
    <row r="53" spans="1:7" s="530" customFormat="1" x14ac:dyDescent="0.25">
      <c r="A53" s="563" t="s">
        <v>62</v>
      </c>
      <c r="B53" s="529"/>
      <c r="D53" s="561"/>
      <c r="E53" s="562"/>
      <c r="F53" s="1918"/>
      <c r="G53" s="526"/>
    </row>
    <row r="54" spans="1:7" s="530" customFormat="1" x14ac:dyDescent="0.25">
      <c r="A54" s="564"/>
      <c r="B54" s="565"/>
      <c r="C54" s="566" t="s">
        <v>63</v>
      </c>
      <c r="D54" s="567"/>
      <c r="E54" s="568"/>
      <c r="F54" s="1919"/>
      <c r="G54" s="565"/>
    </row>
    <row r="55" spans="1:7" s="530" customFormat="1" x14ac:dyDescent="0.25">
      <c r="A55" s="383"/>
      <c r="B55" s="526"/>
      <c r="C55" s="563"/>
      <c r="D55" s="561"/>
      <c r="E55" s="562"/>
      <c r="F55" s="1918"/>
      <c r="G55" s="526"/>
    </row>
    <row r="56" spans="1:7" s="530" customFormat="1" x14ac:dyDescent="0.25">
      <c r="A56" s="383"/>
      <c r="B56" s="537" t="s">
        <v>20</v>
      </c>
      <c r="C56" s="538" t="s">
        <v>21</v>
      </c>
      <c r="D56" s="561"/>
      <c r="E56" s="562"/>
      <c r="F56" s="1918"/>
      <c r="G56" s="526"/>
    </row>
    <row r="57" spans="1:7" s="530" customFormat="1" x14ac:dyDescent="0.25">
      <c r="A57" s="383"/>
      <c r="B57" s="526"/>
      <c r="C57" s="526"/>
      <c r="D57" s="561"/>
      <c r="E57" s="562"/>
      <c r="F57" s="1918"/>
      <c r="G57" s="526"/>
    </row>
    <row r="58" spans="1:7" s="530" customFormat="1" x14ac:dyDescent="0.25">
      <c r="A58" s="444"/>
      <c r="B58" s="569" t="s">
        <v>26</v>
      </c>
      <c r="C58" s="570" t="s">
        <v>27</v>
      </c>
      <c r="D58" s="569" t="s">
        <v>28</v>
      </c>
      <c r="E58" s="571" t="s">
        <v>29</v>
      </c>
      <c r="F58" s="1920" t="s">
        <v>30</v>
      </c>
      <c r="G58" s="572" t="s">
        <v>31</v>
      </c>
    </row>
    <row r="59" spans="1:7" s="530" customFormat="1" x14ac:dyDescent="0.25">
      <c r="A59" s="444"/>
      <c r="B59" s="444"/>
      <c r="C59" s="573"/>
      <c r="D59" s="444"/>
      <c r="E59" s="528"/>
      <c r="F59" s="1921"/>
      <c r="G59" s="446"/>
    </row>
    <row r="60" spans="1:7" s="530" customFormat="1" x14ac:dyDescent="0.25">
      <c r="A60" s="574"/>
      <c r="B60" s="575" t="s">
        <v>22</v>
      </c>
      <c r="C60" s="576" t="s">
        <v>23</v>
      </c>
      <c r="D60" s="308"/>
      <c r="E60" s="577"/>
      <c r="F60" s="1922"/>
      <c r="G60" s="577"/>
    </row>
    <row r="61" spans="1:7" s="530" customFormat="1" ht="8.1" customHeight="1" x14ac:dyDescent="0.25">
      <c r="A61" s="574"/>
      <c r="B61" s="578"/>
      <c r="C61" s="579"/>
      <c r="D61" s="308"/>
      <c r="E61" s="577"/>
      <c r="F61" s="1922"/>
      <c r="G61" s="577"/>
    </row>
    <row r="62" spans="1:7" s="530" customFormat="1" x14ac:dyDescent="0.25">
      <c r="A62" s="580"/>
      <c r="B62" s="4" t="s">
        <v>32</v>
      </c>
      <c r="C62" s="4" t="s">
        <v>982</v>
      </c>
      <c r="D62" s="308" t="s">
        <v>235</v>
      </c>
      <c r="E62" s="577">
        <v>10767</v>
      </c>
      <c r="F62" s="1922"/>
      <c r="G62" s="1363">
        <f>ROUND(E62*F62,2)</f>
        <v>0</v>
      </c>
    </row>
    <row r="63" spans="1:7" s="530" customFormat="1" ht="8.1" customHeight="1" x14ac:dyDescent="0.25">
      <c r="A63" s="574"/>
      <c r="B63" s="578"/>
      <c r="C63" s="579"/>
      <c r="D63" s="308"/>
      <c r="E63" s="577"/>
      <c r="F63" s="1922"/>
      <c r="G63" s="577"/>
    </row>
    <row r="64" spans="1:7" s="530" customFormat="1" ht="15.95" customHeight="1" x14ac:dyDescent="0.25">
      <c r="A64" s="593"/>
      <c r="B64" s="578" t="s">
        <v>35</v>
      </c>
      <c r="C64" s="4" t="s">
        <v>983</v>
      </c>
      <c r="D64" s="308" t="s">
        <v>109</v>
      </c>
      <c r="E64" s="577">
        <v>80</v>
      </c>
      <c r="F64" s="1922"/>
      <c r="G64" s="1363">
        <f>ROUND(E64*F64,2)</f>
        <v>0</v>
      </c>
    </row>
    <row r="65" spans="1:7" s="530" customFormat="1" ht="25.5" customHeight="1" x14ac:dyDescent="0.25">
      <c r="A65" s="574"/>
      <c r="B65" s="578" t="s">
        <v>97</v>
      </c>
      <c r="C65" s="4" t="s">
        <v>984</v>
      </c>
      <c r="D65" s="99" t="s">
        <v>69</v>
      </c>
      <c r="E65" s="2">
        <v>2400</v>
      </c>
      <c r="F65" s="1742"/>
      <c r="G65" s="1363">
        <f>ROUND(E65*F65,2)</f>
        <v>0</v>
      </c>
    </row>
    <row r="66" spans="1:7" s="530" customFormat="1" ht="15.95" customHeight="1" x14ac:dyDescent="0.25">
      <c r="A66" s="574"/>
      <c r="B66" s="578" t="s">
        <v>99</v>
      </c>
      <c r="C66" s="4" t="s">
        <v>985</v>
      </c>
      <c r="D66" s="308" t="s">
        <v>109</v>
      </c>
      <c r="E66" s="577">
        <v>80</v>
      </c>
      <c r="F66" s="1922"/>
      <c r="G66" s="1363">
        <f>ROUND(E66*F66,2)</f>
        <v>0</v>
      </c>
    </row>
    <row r="67" spans="1:7" s="530" customFormat="1" ht="15.95" customHeight="1" x14ac:dyDescent="0.25">
      <c r="A67" s="574"/>
      <c r="B67" s="578" t="s">
        <v>124</v>
      </c>
      <c r="C67" s="102" t="s">
        <v>814</v>
      </c>
      <c r="D67" s="308" t="s">
        <v>109</v>
      </c>
      <c r="E67" s="577">
        <v>160</v>
      </c>
      <c r="F67" s="1922"/>
      <c r="G67" s="1363">
        <f>ROUND(E67*F67,2)</f>
        <v>0</v>
      </c>
    </row>
    <row r="68" spans="1:7" s="530" customFormat="1" ht="8.1" customHeight="1" x14ac:dyDescent="0.25">
      <c r="A68" s="574"/>
      <c r="B68" s="578"/>
      <c r="C68" s="307"/>
      <c r="D68" s="308"/>
      <c r="E68" s="577"/>
      <c r="F68" s="1922"/>
      <c r="G68" s="577"/>
    </row>
    <row r="69" spans="1:7" s="530" customFormat="1" x14ac:dyDescent="0.25">
      <c r="A69" s="574"/>
      <c r="B69" s="308"/>
      <c r="C69" s="1182" t="s">
        <v>59</v>
      </c>
      <c r="D69" s="1314"/>
      <c r="E69" s="1315"/>
      <c r="F69" s="1930"/>
      <c r="G69" s="1315">
        <f>ROUND(SUM(G62:G67),2)</f>
        <v>0</v>
      </c>
    </row>
    <row r="70" spans="1:7" s="530" customFormat="1" x14ac:dyDescent="0.25">
      <c r="A70" s="574"/>
      <c r="B70" s="308"/>
      <c r="C70" s="582"/>
      <c r="D70" s="308"/>
      <c r="E70" s="577"/>
      <c r="F70" s="1922"/>
      <c r="G70" s="577"/>
    </row>
    <row r="71" spans="1:7" s="530" customFormat="1" x14ac:dyDescent="0.25">
      <c r="A71" s="574"/>
      <c r="B71" s="575" t="s">
        <v>24</v>
      </c>
      <c r="C71" s="377" t="s">
        <v>981</v>
      </c>
      <c r="D71" s="308"/>
      <c r="E71" s="577"/>
      <c r="F71" s="1922"/>
      <c r="G71" s="577"/>
    </row>
    <row r="72" spans="1:7" s="530" customFormat="1" ht="8.1" customHeight="1" x14ac:dyDescent="0.25">
      <c r="A72" s="580"/>
      <c r="B72" s="578"/>
      <c r="C72" s="307"/>
      <c r="D72" s="308"/>
      <c r="E72" s="577"/>
      <c r="F72" s="1922"/>
      <c r="G72" s="577"/>
    </row>
    <row r="73" spans="1:7" s="530" customFormat="1" ht="51" customHeight="1" x14ac:dyDescent="0.25">
      <c r="A73" s="593"/>
      <c r="B73" s="4" t="s">
        <v>32</v>
      </c>
      <c r="C73" s="307" t="s">
        <v>986</v>
      </c>
      <c r="D73" s="308" t="s">
        <v>71</v>
      </c>
      <c r="E73" s="577">
        <v>250000</v>
      </c>
      <c r="F73" s="1922"/>
      <c r="G73" s="1363">
        <f>ROUND(E73*F73,2)</f>
        <v>0</v>
      </c>
    </row>
    <row r="74" spans="1:7" s="530" customFormat="1" ht="8.1" customHeight="1" x14ac:dyDescent="0.25">
      <c r="A74" s="593"/>
      <c r="B74" s="578"/>
      <c r="C74" s="307"/>
      <c r="D74" s="308"/>
      <c r="E74" s="577"/>
      <c r="F74" s="1922"/>
      <c r="G74" s="577"/>
    </row>
    <row r="75" spans="1:7" s="530" customFormat="1" ht="52.5" customHeight="1" x14ac:dyDescent="0.25">
      <c r="A75" s="593"/>
      <c r="B75" s="578" t="s">
        <v>35</v>
      </c>
      <c r="C75" s="307" t="s">
        <v>987</v>
      </c>
      <c r="D75" s="308" t="s">
        <v>39</v>
      </c>
      <c r="E75" s="577">
        <v>2500</v>
      </c>
      <c r="F75" s="1922"/>
      <c r="G75" s="1363">
        <f>ROUND(E75*F75,2)</f>
        <v>0</v>
      </c>
    </row>
    <row r="76" spans="1:7" s="530" customFormat="1" ht="8.1" customHeight="1" x14ac:dyDescent="0.25">
      <c r="A76" s="593"/>
      <c r="B76" s="578"/>
      <c r="C76" s="307"/>
      <c r="D76" s="308"/>
      <c r="E76" s="577"/>
      <c r="F76" s="1922"/>
      <c r="G76" s="577"/>
    </row>
    <row r="77" spans="1:7" s="530" customFormat="1" ht="51" customHeight="1" x14ac:dyDescent="0.25">
      <c r="A77" s="593"/>
      <c r="B77" s="578" t="s">
        <v>37</v>
      </c>
      <c r="C77" s="307" t="s">
        <v>988</v>
      </c>
      <c r="D77" s="308" t="s">
        <v>39</v>
      </c>
      <c r="E77" s="577">
        <v>12500</v>
      </c>
      <c r="F77" s="1922"/>
      <c r="G77" s="1363">
        <f>ROUND(E77*F77,2)</f>
        <v>0</v>
      </c>
    </row>
    <row r="78" spans="1:7" s="530" customFormat="1" ht="8.1" customHeight="1" x14ac:dyDescent="0.25">
      <c r="A78" s="574"/>
      <c r="B78" s="578"/>
      <c r="C78" s="307"/>
      <c r="D78" s="308"/>
      <c r="E78" s="577"/>
      <c r="F78" s="1922"/>
      <c r="G78" s="577"/>
    </row>
    <row r="79" spans="1:7" s="530" customFormat="1" x14ac:dyDescent="0.25">
      <c r="A79" s="574"/>
      <c r="B79" s="308"/>
      <c r="C79" s="1182" t="s">
        <v>989</v>
      </c>
      <c r="D79" s="1314"/>
      <c r="E79" s="1315"/>
      <c r="F79" s="1930"/>
      <c r="G79" s="1315">
        <f>ROUND(SUM(G73:G77),2)</f>
        <v>0</v>
      </c>
    </row>
    <row r="80" spans="1:7" s="530" customFormat="1" x14ac:dyDescent="0.25">
      <c r="B80" s="583"/>
      <c r="C80" s="579"/>
      <c r="D80" s="308"/>
      <c r="E80" s="577"/>
      <c r="F80" s="1922"/>
      <c r="G80" s="577"/>
    </row>
    <row r="81" spans="1:7" s="530" customFormat="1" x14ac:dyDescent="0.25">
      <c r="A81" s="580"/>
      <c r="B81" s="575" t="s">
        <v>93</v>
      </c>
      <c r="C81" s="576" t="s">
        <v>92</v>
      </c>
      <c r="D81" s="308"/>
      <c r="E81" s="577"/>
      <c r="F81" s="1922"/>
      <c r="G81" s="577"/>
    </row>
    <row r="82" spans="1:7" s="530" customFormat="1" ht="8.1" customHeight="1" x14ac:dyDescent="0.25">
      <c r="A82" s="580"/>
      <c r="B82" s="4"/>
      <c r="C82" s="4"/>
      <c r="D82" s="1"/>
      <c r="E82" s="101"/>
      <c r="F82" s="1742"/>
      <c r="G82" s="577"/>
    </row>
    <row r="83" spans="1:7" s="530" customFormat="1" x14ac:dyDescent="0.25">
      <c r="A83" s="580"/>
      <c r="B83" s="4" t="s">
        <v>32</v>
      </c>
      <c r="C83" s="4" t="s">
        <v>990</v>
      </c>
      <c r="D83" s="1"/>
      <c r="E83" s="2"/>
      <c r="F83" s="1742"/>
      <c r="G83" s="577"/>
    </row>
    <row r="84" spans="1:7" s="530" customFormat="1" x14ac:dyDescent="0.25">
      <c r="B84" s="4" t="s">
        <v>97</v>
      </c>
      <c r="C84" s="4" t="s">
        <v>985</v>
      </c>
      <c r="D84" s="308" t="s">
        <v>109</v>
      </c>
      <c r="E84" s="577">
        <v>40</v>
      </c>
      <c r="F84" s="1922"/>
      <c r="G84" s="577">
        <f>ROUND(E84*F84,2)</f>
        <v>0</v>
      </c>
    </row>
    <row r="85" spans="1:7" s="530" customFormat="1" x14ac:dyDescent="0.25">
      <c r="A85" s="580"/>
      <c r="B85" s="4" t="s">
        <v>99</v>
      </c>
      <c r="C85" s="102" t="s">
        <v>814</v>
      </c>
      <c r="D85" s="308" t="s">
        <v>109</v>
      </c>
      <c r="E85" s="577">
        <v>80</v>
      </c>
      <c r="F85" s="1922"/>
      <c r="G85" s="577">
        <f>ROUND(E85*F85,2)</f>
        <v>0</v>
      </c>
    </row>
    <row r="86" spans="1:7" s="530" customFormat="1" ht="8.1" customHeight="1" x14ac:dyDescent="0.25">
      <c r="A86" s="580"/>
      <c r="B86" s="4"/>
      <c r="C86" s="109"/>
      <c r="D86" s="308"/>
      <c r="E86" s="577"/>
      <c r="F86" s="1922"/>
      <c r="G86" s="577"/>
    </row>
    <row r="87" spans="1:7" s="530" customFormat="1" x14ac:dyDescent="0.25">
      <c r="A87" s="574"/>
      <c r="B87" s="308"/>
      <c r="C87" s="1182" t="s">
        <v>111</v>
      </c>
      <c r="D87" s="1314"/>
      <c r="E87" s="1315"/>
      <c r="F87" s="1930"/>
      <c r="G87" s="1315">
        <f>ROUND(SUM(G84:G85),2)</f>
        <v>0</v>
      </c>
    </row>
    <row r="88" spans="1:7" ht="8.1" customHeight="1" x14ac:dyDescent="0.25"/>
    <row r="90" spans="1:7" ht="8.1" customHeight="1" x14ac:dyDescent="0.25"/>
    <row r="92" spans="1:7" ht="8.1" customHeight="1" x14ac:dyDescent="0.25"/>
    <row r="93" spans="1:7" ht="25.5" customHeight="1" x14ac:dyDescent="0.25"/>
    <row r="94" spans="1:7" ht="8.1" customHeight="1" x14ac:dyDescent="0.25"/>
    <row r="96" spans="1:7" ht="8.1" customHeight="1" x14ac:dyDescent="0.25"/>
    <row r="98" ht="8.1" customHeight="1" x14ac:dyDescent="0.25"/>
    <row r="101" ht="14.25" customHeight="1" x14ac:dyDescent="0.25"/>
    <row r="102" ht="8.1" customHeight="1" x14ac:dyDescent="0.25"/>
    <row r="104" ht="8.1" customHeight="1" x14ac:dyDescent="0.25"/>
    <row r="106" ht="8.1" customHeight="1" x14ac:dyDescent="0.25"/>
    <row r="109" ht="14.25" customHeight="1" x14ac:dyDescent="0.25"/>
    <row r="110" ht="8.1" customHeight="1" x14ac:dyDescent="0.25"/>
    <row r="111" ht="26.25" customHeight="1" x14ac:dyDescent="0.25"/>
    <row r="112" ht="8.1" customHeight="1" x14ac:dyDescent="0.25"/>
    <row r="115" ht="14.25" customHeight="1" x14ac:dyDescent="0.25"/>
    <row r="116" ht="8.1" customHeight="1" x14ac:dyDescent="0.25"/>
    <row r="118" ht="8.1" customHeight="1" x14ac:dyDescent="0.25"/>
    <row r="119" ht="60" customHeight="1" x14ac:dyDescent="0.25"/>
    <row r="120" ht="8.1" customHeight="1" x14ac:dyDescent="0.25"/>
    <row r="122" ht="8.1" customHeight="1" x14ac:dyDescent="0.25"/>
    <row r="124" ht="8.1" customHeight="1" x14ac:dyDescent="0.25"/>
    <row r="126" ht="8.1" customHeight="1" x14ac:dyDescent="0.25"/>
    <row r="127" ht="51" customHeight="1" x14ac:dyDescent="0.25"/>
    <row r="128" ht="8.1" customHeight="1" x14ac:dyDescent="0.25"/>
    <row r="130" ht="8.1" customHeight="1" x14ac:dyDescent="0.25"/>
    <row r="132" ht="8.1" customHeight="1" x14ac:dyDescent="0.25"/>
    <row r="136" ht="8.1" customHeight="1" x14ac:dyDescent="0.25"/>
    <row r="138" ht="8.1" customHeight="1" x14ac:dyDescent="0.25"/>
    <row r="140" ht="8.1" customHeight="1" x14ac:dyDescent="0.25"/>
    <row r="141" ht="26.25" customHeight="1" x14ac:dyDescent="0.25"/>
    <row r="142" ht="8.1" customHeight="1" x14ac:dyDescent="0.25"/>
    <row r="144" ht="8.1" customHeight="1" x14ac:dyDescent="0.25"/>
    <row r="148" ht="8.1" customHeight="1" x14ac:dyDescent="0.25"/>
    <row r="150" ht="8.1" customHeight="1" x14ac:dyDescent="0.25"/>
    <row r="186" ht="8.1" customHeight="1" x14ac:dyDescent="0.25"/>
    <row r="187" ht="63.75" customHeight="1" x14ac:dyDescent="0.25"/>
    <row r="188" ht="8.1" customHeight="1" x14ac:dyDescent="0.25"/>
    <row r="189" ht="61.5" customHeight="1" x14ac:dyDescent="0.25"/>
    <row r="190" ht="8.1" customHeight="1" x14ac:dyDescent="0.25"/>
    <row r="192" ht="8.1" customHeight="1" x14ac:dyDescent="0.25"/>
    <row r="193" ht="75.75" customHeight="1" x14ac:dyDescent="0.25"/>
    <row r="194" ht="8.1" customHeight="1" x14ac:dyDescent="0.25"/>
    <row r="198" ht="8.1" customHeight="1" x14ac:dyDescent="0.25"/>
    <row r="200" ht="8.1" customHeight="1" x14ac:dyDescent="0.25"/>
    <row r="201" ht="25.5" customHeight="1" x14ac:dyDescent="0.25"/>
    <row r="202" ht="8.1" customHeight="1" x14ac:dyDescent="0.25"/>
    <row r="204" ht="8.1" customHeight="1" x14ac:dyDescent="0.25"/>
    <row r="205" ht="29.25" customHeight="1" x14ac:dyDescent="0.25"/>
    <row r="206" ht="8.1" customHeight="1" x14ac:dyDescent="0.25"/>
    <row r="209" ht="14.25" customHeight="1" x14ac:dyDescent="0.25"/>
    <row r="210" ht="8.1" customHeight="1" x14ac:dyDescent="0.25"/>
    <row r="211" ht="47.25" customHeight="1" x14ac:dyDescent="0.25"/>
    <row r="212" ht="8.1" customHeight="1" x14ac:dyDescent="0.25"/>
    <row r="213" ht="24" customHeight="1" x14ac:dyDescent="0.25"/>
    <row r="214" ht="8.1" customHeight="1" x14ac:dyDescent="0.25"/>
    <row r="215" ht="25.5" customHeight="1" x14ac:dyDescent="0.25"/>
    <row r="216" ht="8.1" customHeight="1" x14ac:dyDescent="0.25"/>
    <row r="217" ht="50.25" customHeight="1" x14ac:dyDescent="0.25"/>
    <row r="218" ht="8.1" customHeight="1" x14ac:dyDescent="0.25"/>
    <row r="219" ht="36.75" customHeight="1" x14ac:dyDescent="0.25"/>
    <row r="220" ht="8.1" customHeight="1" x14ac:dyDescent="0.25"/>
    <row r="222" ht="8.1" customHeight="1" x14ac:dyDescent="0.25"/>
    <row r="224" ht="8.1" customHeight="1" x14ac:dyDescent="0.25"/>
    <row r="227" ht="14.25" customHeight="1" x14ac:dyDescent="0.25"/>
    <row r="228" ht="8.1" customHeight="1" x14ac:dyDescent="0.25"/>
    <row r="230" ht="8.1" customHeight="1" x14ac:dyDescent="0.25"/>
    <row r="232" ht="8.1" customHeight="1" x14ac:dyDescent="0.25"/>
    <row r="233" ht="48" customHeight="1" x14ac:dyDescent="0.25"/>
    <row r="234" ht="8.1" customHeight="1" x14ac:dyDescent="0.25"/>
    <row r="236" ht="8.1" customHeight="1" x14ac:dyDescent="0.25"/>
    <row r="237" ht="60" customHeight="1" x14ac:dyDescent="0.25"/>
    <row r="238" ht="8.1" customHeight="1" x14ac:dyDescent="0.25"/>
    <row r="241" ht="14.25" customHeight="1" x14ac:dyDescent="0.25"/>
    <row r="242" ht="8.1" customHeight="1" x14ac:dyDescent="0.25"/>
    <row r="243" ht="39.75" customHeight="1" x14ac:dyDescent="0.25"/>
    <row r="244" ht="8.1" customHeight="1" x14ac:dyDescent="0.25"/>
    <row r="246" ht="8.1" customHeight="1" x14ac:dyDescent="0.25"/>
    <row r="248" ht="8.1" customHeight="1" x14ac:dyDescent="0.25"/>
    <row r="251" ht="14.25" customHeight="1" x14ac:dyDescent="0.25"/>
    <row r="252" ht="8.1" customHeight="1" x14ac:dyDescent="0.25"/>
    <row r="254" ht="8.1" customHeight="1" x14ac:dyDescent="0.25"/>
    <row r="255" ht="29.25" customHeight="1" x14ac:dyDescent="0.25"/>
    <row r="256" ht="8.1" customHeight="1" x14ac:dyDescent="0.25"/>
    <row r="258" ht="8.1" customHeight="1" x14ac:dyDescent="0.25"/>
    <row r="260" ht="8.1" customHeight="1" x14ac:dyDescent="0.25"/>
    <row r="263" ht="14.25" customHeight="1" x14ac:dyDescent="0.25"/>
    <row r="264" ht="8.1" customHeight="1" x14ac:dyDescent="0.25"/>
    <row r="265" ht="87.75" customHeight="1" x14ac:dyDescent="0.25"/>
    <row r="266" ht="8.1" customHeight="1" x14ac:dyDescent="0.25"/>
    <row r="267" ht="109.5" customHeight="1" x14ac:dyDescent="0.25"/>
    <row r="268" ht="8.1" customHeight="1" x14ac:dyDescent="0.25"/>
    <row r="269" ht="50.25" customHeight="1" x14ac:dyDescent="0.25"/>
    <row r="270" ht="8.1" customHeight="1" x14ac:dyDescent="0.25"/>
    <row r="272" ht="8.1" customHeight="1" x14ac:dyDescent="0.25"/>
    <row r="274" ht="8.1" customHeight="1" x14ac:dyDescent="0.25"/>
    <row r="275" ht="49.5" customHeight="1" x14ac:dyDescent="0.25"/>
    <row r="276" ht="8.1" customHeight="1" x14ac:dyDescent="0.25"/>
    <row r="281" ht="8.1" customHeight="1" x14ac:dyDescent="0.25"/>
    <row r="283" ht="8.1" customHeight="1" x14ac:dyDescent="0.25"/>
    <row r="285" ht="8.1" customHeight="1" x14ac:dyDescent="0.25"/>
    <row r="286" ht="24.75" customHeight="1" x14ac:dyDescent="0.25"/>
    <row r="287" ht="8.1" customHeight="1" x14ac:dyDescent="0.25"/>
    <row r="288" ht="27" customHeight="1" x14ac:dyDescent="0.25"/>
    <row r="289" ht="8.1" customHeight="1" x14ac:dyDescent="0.25"/>
    <row r="291" ht="8.1" customHeight="1" x14ac:dyDescent="0.25"/>
    <row r="294" ht="14.25" customHeight="1" x14ac:dyDescent="0.25"/>
    <row r="295" ht="8.1" customHeight="1" x14ac:dyDescent="0.25"/>
    <row r="296" ht="50.25" customHeight="1" x14ac:dyDescent="0.25"/>
    <row r="297" ht="8.1" customHeight="1" x14ac:dyDescent="0.25"/>
    <row r="299" ht="8.1" customHeight="1" x14ac:dyDescent="0.25"/>
    <row r="303" ht="8.1" customHeight="1" x14ac:dyDescent="0.25"/>
    <row r="305" ht="8.1" customHeight="1" x14ac:dyDescent="0.25"/>
    <row r="307" ht="8.1" customHeight="1" x14ac:dyDescent="0.25"/>
    <row r="308" ht="8.1" customHeight="1" x14ac:dyDescent="0.25"/>
    <row r="314" ht="18" customHeight="1" x14ac:dyDescent="0.25"/>
    <row r="316" ht="30" customHeight="1" x14ac:dyDescent="0.25"/>
    <row r="318" ht="41.25" customHeight="1" x14ac:dyDescent="0.25"/>
    <row r="320" ht="41.25" customHeight="1" x14ac:dyDescent="0.25"/>
  </sheetData>
  <sheetProtection algorithmName="SHA-512" hashValue="R4ARTv/8yADf6vwDqYs4wivV0Om4iI/bUWIXLquQOhUZEXv7fiHIBdUgNa8e4mPUGz85vP4J3lS60MnXYR0nog==" saltValue="r+HWN44nXNi4U5pQZtBMNQ==" spinCount="100000" sheet="1" objects="1" scenarios="1"/>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rowBreaks count="1" manualBreakCount="1">
    <brk id="292" max="6"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7">
    <tabColor theme="6" tint="-0.249977111117893"/>
  </sheetPr>
  <dimension ref="A1:O133"/>
  <sheetViews>
    <sheetView view="pageBreakPreview" zoomScale="115" zoomScaleNormal="100" zoomScaleSheetLayoutView="115" workbookViewId="0"/>
  </sheetViews>
  <sheetFormatPr defaultRowHeight="12.75" x14ac:dyDescent="0.25"/>
  <cols>
    <col min="1" max="1" width="5.85546875" style="232" customWidth="1"/>
    <col min="2" max="2" width="46" style="269" customWidth="1"/>
    <col min="3" max="3" width="5.5703125" style="232" customWidth="1"/>
    <col min="4" max="4" width="6.140625" style="241" customWidth="1"/>
    <col min="5" max="5" width="3" style="650" customWidth="1"/>
    <col min="6" max="6" width="20" style="650" customWidth="1"/>
    <col min="7" max="7" width="19.42578125" style="232" customWidth="1"/>
    <col min="8" max="8" width="11" style="224" customWidth="1"/>
    <col min="9" max="9" width="10.140625" style="224" customWidth="1"/>
    <col min="10" max="10" width="9.140625" style="224"/>
    <col min="11" max="11" width="16.7109375" style="224" customWidth="1"/>
    <col min="12" max="12" width="9.85546875" style="224" customWidth="1"/>
    <col min="13" max="13" width="2.5703125" style="224" bestFit="1" customWidth="1"/>
    <col min="14" max="14" width="9.140625" style="224"/>
    <col min="15" max="15" width="9" style="224" customWidth="1"/>
    <col min="16" max="256" width="9.140625" style="224"/>
    <col min="257" max="257" width="5.5703125" style="224" customWidth="1"/>
    <col min="258" max="258" width="44.7109375" style="224" customWidth="1"/>
    <col min="259" max="259" width="6.28515625" style="224" customWidth="1"/>
    <col min="260" max="260" width="7.5703125" style="224" customWidth="1"/>
    <col min="261" max="261" width="3" style="224" customWidth="1"/>
    <col min="262" max="262" width="20" style="224" customWidth="1"/>
    <col min="263" max="263" width="19.42578125" style="224" customWidth="1"/>
    <col min="264" max="264" width="11" style="224" customWidth="1"/>
    <col min="265" max="265" width="10.140625" style="224" customWidth="1"/>
    <col min="266" max="266" width="9.140625" style="224"/>
    <col min="267" max="267" width="16.7109375" style="224" customWidth="1"/>
    <col min="268" max="268" width="9.85546875" style="224" customWidth="1"/>
    <col min="269" max="269" width="2.5703125" style="224" bestFit="1" customWidth="1"/>
    <col min="270" max="270" width="9.140625" style="224"/>
    <col min="271" max="271" width="9" style="224" customWidth="1"/>
    <col min="272" max="512" width="9.140625" style="224"/>
    <col min="513" max="513" width="5.5703125" style="224" customWidth="1"/>
    <col min="514" max="514" width="44.7109375" style="224" customWidth="1"/>
    <col min="515" max="515" width="6.28515625" style="224" customWidth="1"/>
    <col min="516" max="516" width="7.5703125" style="224" customWidth="1"/>
    <col min="517" max="517" width="3" style="224" customWidth="1"/>
    <col min="518" max="518" width="20" style="224" customWidth="1"/>
    <col min="519" max="519" width="19.42578125" style="224" customWidth="1"/>
    <col min="520" max="520" width="11" style="224" customWidth="1"/>
    <col min="521" max="521" width="10.140625" style="224" customWidth="1"/>
    <col min="522" max="522" width="9.140625" style="224"/>
    <col min="523" max="523" width="16.7109375" style="224" customWidth="1"/>
    <col min="524" max="524" width="9.85546875" style="224" customWidth="1"/>
    <col min="525" max="525" width="2.5703125" style="224" bestFit="1" customWidth="1"/>
    <col min="526" max="526" width="9.140625" style="224"/>
    <col min="527" max="527" width="9" style="224" customWidth="1"/>
    <col min="528" max="768" width="9.140625" style="224"/>
    <col min="769" max="769" width="5.5703125" style="224" customWidth="1"/>
    <col min="770" max="770" width="44.7109375" style="224" customWidth="1"/>
    <col min="771" max="771" width="6.28515625" style="224" customWidth="1"/>
    <col min="772" max="772" width="7.5703125" style="224" customWidth="1"/>
    <col min="773" max="773" width="3" style="224" customWidth="1"/>
    <col min="774" max="774" width="20" style="224" customWidth="1"/>
    <col min="775" max="775" width="19.42578125" style="224" customWidth="1"/>
    <col min="776" max="776" width="11" style="224" customWidth="1"/>
    <col min="777" max="777" width="10.140625" style="224" customWidth="1"/>
    <col min="778" max="778" width="9.140625" style="224"/>
    <col min="779" max="779" width="16.7109375" style="224" customWidth="1"/>
    <col min="780" max="780" width="9.85546875" style="224" customWidth="1"/>
    <col min="781" max="781" width="2.5703125" style="224" bestFit="1" customWidth="1"/>
    <col min="782" max="782" width="9.140625" style="224"/>
    <col min="783" max="783" width="9" style="224" customWidth="1"/>
    <col min="784" max="1024" width="9.140625" style="224"/>
    <col min="1025" max="1025" width="5.5703125" style="224" customWidth="1"/>
    <col min="1026" max="1026" width="44.7109375" style="224" customWidth="1"/>
    <col min="1027" max="1027" width="6.28515625" style="224" customWidth="1"/>
    <col min="1028" max="1028" width="7.5703125" style="224" customWidth="1"/>
    <col min="1029" max="1029" width="3" style="224" customWidth="1"/>
    <col min="1030" max="1030" width="20" style="224" customWidth="1"/>
    <col min="1031" max="1031" width="19.42578125" style="224" customWidth="1"/>
    <col min="1032" max="1032" width="11" style="224" customWidth="1"/>
    <col min="1033" max="1033" width="10.140625" style="224" customWidth="1"/>
    <col min="1034" max="1034" width="9.140625" style="224"/>
    <col min="1035" max="1035" width="16.7109375" style="224" customWidth="1"/>
    <col min="1036" max="1036" width="9.85546875" style="224" customWidth="1"/>
    <col min="1037" max="1037" width="2.5703125" style="224" bestFit="1" customWidth="1"/>
    <col min="1038" max="1038" width="9.140625" style="224"/>
    <col min="1039" max="1039" width="9" style="224" customWidth="1"/>
    <col min="1040" max="1280" width="9.140625" style="224"/>
    <col min="1281" max="1281" width="5.5703125" style="224" customWidth="1"/>
    <col min="1282" max="1282" width="44.7109375" style="224" customWidth="1"/>
    <col min="1283" max="1283" width="6.28515625" style="224" customWidth="1"/>
    <col min="1284" max="1284" width="7.5703125" style="224" customWidth="1"/>
    <col min="1285" max="1285" width="3" style="224" customWidth="1"/>
    <col min="1286" max="1286" width="20" style="224" customWidth="1"/>
    <col min="1287" max="1287" width="19.42578125" style="224" customWidth="1"/>
    <col min="1288" max="1288" width="11" style="224" customWidth="1"/>
    <col min="1289" max="1289" width="10.140625" style="224" customWidth="1"/>
    <col min="1290" max="1290" width="9.140625" style="224"/>
    <col min="1291" max="1291" width="16.7109375" style="224" customWidth="1"/>
    <col min="1292" max="1292" width="9.85546875" style="224" customWidth="1"/>
    <col min="1293" max="1293" width="2.5703125" style="224" bestFit="1" customWidth="1"/>
    <col min="1294" max="1294" width="9.140625" style="224"/>
    <col min="1295" max="1295" width="9" style="224" customWidth="1"/>
    <col min="1296" max="1536" width="9.140625" style="224"/>
    <col min="1537" max="1537" width="5.5703125" style="224" customWidth="1"/>
    <col min="1538" max="1538" width="44.7109375" style="224" customWidth="1"/>
    <col min="1539" max="1539" width="6.28515625" style="224" customWidth="1"/>
    <col min="1540" max="1540" width="7.5703125" style="224" customWidth="1"/>
    <col min="1541" max="1541" width="3" style="224" customWidth="1"/>
    <col min="1542" max="1542" width="20" style="224" customWidth="1"/>
    <col min="1543" max="1543" width="19.42578125" style="224" customWidth="1"/>
    <col min="1544" max="1544" width="11" style="224" customWidth="1"/>
    <col min="1545" max="1545" width="10.140625" style="224" customWidth="1"/>
    <col min="1546" max="1546" width="9.140625" style="224"/>
    <col min="1547" max="1547" width="16.7109375" style="224" customWidth="1"/>
    <col min="1548" max="1548" width="9.85546875" style="224" customWidth="1"/>
    <col min="1549" max="1549" width="2.5703125" style="224" bestFit="1" customWidth="1"/>
    <col min="1550" max="1550" width="9.140625" style="224"/>
    <col min="1551" max="1551" width="9" style="224" customWidth="1"/>
    <col min="1552" max="1792" width="9.140625" style="224"/>
    <col min="1793" max="1793" width="5.5703125" style="224" customWidth="1"/>
    <col min="1794" max="1794" width="44.7109375" style="224" customWidth="1"/>
    <col min="1795" max="1795" width="6.28515625" style="224" customWidth="1"/>
    <col min="1796" max="1796" width="7.5703125" style="224" customWidth="1"/>
    <col min="1797" max="1797" width="3" style="224" customWidth="1"/>
    <col min="1798" max="1798" width="20" style="224" customWidth="1"/>
    <col min="1799" max="1799" width="19.42578125" style="224" customWidth="1"/>
    <col min="1800" max="1800" width="11" style="224" customWidth="1"/>
    <col min="1801" max="1801" width="10.140625" style="224" customWidth="1"/>
    <col min="1802" max="1802" width="9.140625" style="224"/>
    <col min="1803" max="1803" width="16.7109375" style="224" customWidth="1"/>
    <col min="1804" max="1804" width="9.85546875" style="224" customWidth="1"/>
    <col min="1805" max="1805" width="2.5703125" style="224" bestFit="1" customWidth="1"/>
    <col min="1806" max="1806" width="9.140625" style="224"/>
    <col min="1807" max="1807" width="9" style="224" customWidth="1"/>
    <col min="1808" max="2048" width="9.140625" style="224"/>
    <col min="2049" max="2049" width="5.5703125" style="224" customWidth="1"/>
    <col min="2050" max="2050" width="44.7109375" style="224" customWidth="1"/>
    <col min="2051" max="2051" width="6.28515625" style="224" customWidth="1"/>
    <col min="2052" max="2052" width="7.5703125" style="224" customWidth="1"/>
    <col min="2053" max="2053" width="3" style="224" customWidth="1"/>
    <col min="2054" max="2054" width="20" style="224" customWidth="1"/>
    <col min="2055" max="2055" width="19.42578125" style="224" customWidth="1"/>
    <col min="2056" max="2056" width="11" style="224" customWidth="1"/>
    <col min="2057" max="2057" width="10.140625" style="224" customWidth="1"/>
    <col min="2058" max="2058" width="9.140625" style="224"/>
    <col min="2059" max="2059" width="16.7109375" style="224" customWidth="1"/>
    <col min="2060" max="2060" width="9.85546875" style="224" customWidth="1"/>
    <col min="2061" max="2061" width="2.5703125" style="224" bestFit="1" customWidth="1"/>
    <col min="2062" max="2062" width="9.140625" style="224"/>
    <col min="2063" max="2063" width="9" style="224" customWidth="1"/>
    <col min="2064" max="2304" width="9.140625" style="224"/>
    <col min="2305" max="2305" width="5.5703125" style="224" customWidth="1"/>
    <col min="2306" max="2306" width="44.7109375" style="224" customWidth="1"/>
    <col min="2307" max="2307" width="6.28515625" style="224" customWidth="1"/>
    <col min="2308" max="2308" width="7.5703125" style="224" customWidth="1"/>
    <col min="2309" max="2309" width="3" style="224" customWidth="1"/>
    <col min="2310" max="2310" width="20" style="224" customWidth="1"/>
    <col min="2311" max="2311" width="19.42578125" style="224" customWidth="1"/>
    <col min="2312" max="2312" width="11" style="224" customWidth="1"/>
    <col min="2313" max="2313" width="10.140625" style="224" customWidth="1"/>
    <col min="2314" max="2314" width="9.140625" style="224"/>
    <col min="2315" max="2315" width="16.7109375" style="224" customWidth="1"/>
    <col min="2316" max="2316" width="9.85546875" style="224" customWidth="1"/>
    <col min="2317" max="2317" width="2.5703125" style="224" bestFit="1" customWidth="1"/>
    <col min="2318" max="2318" width="9.140625" style="224"/>
    <col min="2319" max="2319" width="9" style="224" customWidth="1"/>
    <col min="2320" max="2560" width="9.140625" style="224"/>
    <col min="2561" max="2561" width="5.5703125" style="224" customWidth="1"/>
    <col min="2562" max="2562" width="44.7109375" style="224" customWidth="1"/>
    <col min="2563" max="2563" width="6.28515625" style="224" customWidth="1"/>
    <col min="2564" max="2564" width="7.5703125" style="224" customWidth="1"/>
    <col min="2565" max="2565" width="3" style="224" customWidth="1"/>
    <col min="2566" max="2566" width="20" style="224" customWidth="1"/>
    <col min="2567" max="2567" width="19.42578125" style="224" customWidth="1"/>
    <col min="2568" max="2568" width="11" style="224" customWidth="1"/>
    <col min="2569" max="2569" width="10.140625" style="224" customWidth="1"/>
    <col min="2570" max="2570" width="9.140625" style="224"/>
    <col min="2571" max="2571" width="16.7109375" style="224" customWidth="1"/>
    <col min="2572" max="2572" width="9.85546875" style="224" customWidth="1"/>
    <col min="2573" max="2573" width="2.5703125" style="224" bestFit="1" customWidth="1"/>
    <col min="2574" max="2574" width="9.140625" style="224"/>
    <col min="2575" max="2575" width="9" style="224" customWidth="1"/>
    <col min="2576" max="2816" width="9.140625" style="224"/>
    <col min="2817" max="2817" width="5.5703125" style="224" customWidth="1"/>
    <col min="2818" max="2818" width="44.7109375" style="224" customWidth="1"/>
    <col min="2819" max="2819" width="6.28515625" style="224" customWidth="1"/>
    <col min="2820" max="2820" width="7.5703125" style="224" customWidth="1"/>
    <col min="2821" max="2821" width="3" style="224" customWidth="1"/>
    <col min="2822" max="2822" width="20" style="224" customWidth="1"/>
    <col min="2823" max="2823" width="19.42578125" style="224" customWidth="1"/>
    <col min="2824" max="2824" width="11" style="224" customWidth="1"/>
    <col min="2825" max="2825" width="10.140625" style="224" customWidth="1"/>
    <col min="2826" max="2826" width="9.140625" style="224"/>
    <col min="2827" max="2827" width="16.7109375" style="224" customWidth="1"/>
    <col min="2828" max="2828" width="9.85546875" style="224" customWidth="1"/>
    <col min="2829" max="2829" width="2.5703125" style="224" bestFit="1" customWidth="1"/>
    <col min="2830" max="2830" width="9.140625" style="224"/>
    <col min="2831" max="2831" width="9" style="224" customWidth="1"/>
    <col min="2832" max="3072" width="9.140625" style="224"/>
    <col min="3073" max="3073" width="5.5703125" style="224" customWidth="1"/>
    <col min="3074" max="3074" width="44.7109375" style="224" customWidth="1"/>
    <col min="3075" max="3075" width="6.28515625" style="224" customWidth="1"/>
    <col min="3076" max="3076" width="7.5703125" style="224" customWidth="1"/>
    <col min="3077" max="3077" width="3" style="224" customWidth="1"/>
    <col min="3078" max="3078" width="20" style="224" customWidth="1"/>
    <col min="3079" max="3079" width="19.42578125" style="224" customWidth="1"/>
    <col min="3080" max="3080" width="11" style="224" customWidth="1"/>
    <col min="3081" max="3081" width="10.140625" style="224" customWidth="1"/>
    <col min="3082" max="3082" width="9.140625" style="224"/>
    <col min="3083" max="3083" width="16.7109375" style="224" customWidth="1"/>
    <col min="3084" max="3084" width="9.85546875" style="224" customWidth="1"/>
    <col min="3085" max="3085" width="2.5703125" style="224" bestFit="1" customWidth="1"/>
    <col min="3086" max="3086" width="9.140625" style="224"/>
    <col min="3087" max="3087" width="9" style="224" customWidth="1"/>
    <col min="3088" max="3328" width="9.140625" style="224"/>
    <col min="3329" max="3329" width="5.5703125" style="224" customWidth="1"/>
    <col min="3330" max="3330" width="44.7109375" style="224" customWidth="1"/>
    <col min="3331" max="3331" width="6.28515625" style="224" customWidth="1"/>
    <col min="3332" max="3332" width="7.5703125" style="224" customWidth="1"/>
    <col min="3333" max="3333" width="3" style="224" customWidth="1"/>
    <col min="3334" max="3334" width="20" style="224" customWidth="1"/>
    <col min="3335" max="3335" width="19.42578125" style="224" customWidth="1"/>
    <col min="3336" max="3336" width="11" style="224" customWidth="1"/>
    <col min="3337" max="3337" width="10.140625" style="224" customWidth="1"/>
    <col min="3338" max="3338" width="9.140625" style="224"/>
    <col min="3339" max="3339" width="16.7109375" style="224" customWidth="1"/>
    <col min="3340" max="3340" width="9.85546875" style="224" customWidth="1"/>
    <col min="3341" max="3341" width="2.5703125" style="224" bestFit="1" customWidth="1"/>
    <col min="3342" max="3342" width="9.140625" style="224"/>
    <col min="3343" max="3343" width="9" style="224" customWidth="1"/>
    <col min="3344" max="3584" width="9.140625" style="224"/>
    <col min="3585" max="3585" width="5.5703125" style="224" customWidth="1"/>
    <col min="3586" max="3586" width="44.7109375" style="224" customWidth="1"/>
    <col min="3587" max="3587" width="6.28515625" style="224" customWidth="1"/>
    <col min="3588" max="3588" width="7.5703125" style="224" customWidth="1"/>
    <col min="3589" max="3589" width="3" style="224" customWidth="1"/>
    <col min="3590" max="3590" width="20" style="224" customWidth="1"/>
    <col min="3591" max="3591" width="19.42578125" style="224" customWidth="1"/>
    <col min="3592" max="3592" width="11" style="224" customWidth="1"/>
    <col min="3593" max="3593" width="10.140625" style="224" customWidth="1"/>
    <col min="3594" max="3594" width="9.140625" style="224"/>
    <col min="3595" max="3595" width="16.7109375" style="224" customWidth="1"/>
    <col min="3596" max="3596" width="9.85546875" style="224" customWidth="1"/>
    <col min="3597" max="3597" width="2.5703125" style="224" bestFit="1" customWidth="1"/>
    <col min="3598" max="3598" width="9.140625" style="224"/>
    <col min="3599" max="3599" width="9" style="224" customWidth="1"/>
    <col min="3600" max="3840" width="9.140625" style="224"/>
    <col min="3841" max="3841" width="5.5703125" style="224" customWidth="1"/>
    <col min="3842" max="3842" width="44.7109375" style="224" customWidth="1"/>
    <col min="3843" max="3843" width="6.28515625" style="224" customWidth="1"/>
    <col min="3844" max="3844" width="7.5703125" style="224" customWidth="1"/>
    <col min="3845" max="3845" width="3" style="224" customWidth="1"/>
    <col min="3846" max="3846" width="20" style="224" customWidth="1"/>
    <col min="3847" max="3847" width="19.42578125" style="224" customWidth="1"/>
    <col min="3848" max="3848" width="11" style="224" customWidth="1"/>
    <col min="3849" max="3849" width="10.140625" style="224" customWidth="1"/>
    <col min="3850" max="3850" width="9.140625" style="224"/>
    <col min="3851" max="3851" width="16.7109375" style="224" customWidth="1"/>
    <col min="3852" max="3852" width="9.85546875" style="224" customWidth="1"/>
    <col min="3853" max="3853" width="2.5703125" style="224" bestFit="1" customWidth="1"/>
    <col min="3854" max="3854" width="9.140625" style="224"/>
    <col min="3855" max="3855" width="9" style="224" customWidth="1"/>
    <col min="3856" max="4096" width="9.140625" style="224"/>
    <col min="4097" max="4097" width="5.5703125" style="224" customWidth="1"/>
    <col min="4098" max="4098" width="44.7109375" style="224" customWidth="1"/>
    <col min="4099" max="4099" width="6.28515625" style="224" customWidth="1"/>
    <col min="4100" max="4100" width="7.5703125" style="224" customWidth="1"/>
    <col min="4101" max="4101" width="3" style="224" customWidth="1"/>
    <col min="4102" max="4102" width="20" style="224" customWidth="1"/>
    <col min="4103" max="4103" width="19.42578125" style="224" customWidth="1"/>
    <col min="4104" max="4104" width="11" style="224" customWidth="1"/>
    <col min="4105" max="4105" width="10.140625" style="224" customWidth="1"/>
    <col min="4106" max="4106" width="9.140625" style="224"/>
    <col min="4107" max="4107" width="16.7109375" style="224" customWidth="1"/>
    <col min="4108" max="4108" width="9.85546875" style="224" customWidth="1"/>
    <col min="4109" max="4109" width="2.5703125" style="224" bestFit="1" customWidth="1"/>
    <col min="4110" max="4110" width="9.140625" style="224"/>
    <col min="4111" max="4111" width="9" style="224" customWidth="1"/>
    <col min="4112" max="4352" width="9.140625" style="224"/>
    <col min="4353" max="4353" width="5.5703125" style="224" customWidth="1"/>
    <col min="4354" max="4354" width="44.7109375" style="224" customWidth="1"/>
    <col min="4355" max="4355" width="6.28515625" style="224" customWidth="1"/>
    <col min="4356" max="4356" width="7.5703125" style="224" customWidth="1"/>
    <col min="4357" max="4357" width="3" style="224" customWidth="1"/>
    <col min="4358" max="4358" width="20" style="224" customWidth="1"/>
    <col min="4359" max="4359" width="19.42578125" style="224" customWidth="1"/>
    <col min="4360" max="4360" width="11" style="224" customWidth="1"/>
    <col min="4361" max="4361" width="10.140625" style="224" customWidth="1"/>
    <col min="4362" max="4362" width="9.140625" style="224"/>
    <col min="4363" max="4363" width="16.7109375" style="224" customWidth="1"/>
    <col min="4364" max="4364" width="9.85546875" style="224" customWidth="1"/>
    <col min="4365" max="4365" width="2.5703125" style="224" bestFit="1" customWidth="1"/>
    <col min="4366" max="4366" width="9.140625" style="224"/>
    <col min="4367" max="4367" width="9" style="224" customWidth="1"/>
    <col min="4368" max="4608" width="9.140625" style="224"/>
    <col min="4609" max="4609" width="5.5703125" style="224" customWidth="1"/>
    <col min="4610" max="4610" width="44.7109375" style="224" customWidth="1"/>
    <col min="4611" max="4611" width="6.28515625" style="224" customWidth="1"/>
    <col min="4612" max="4612" width="7.5703125" style="224" customWidth="1"/>
    <col min="4613" max="4613" width="3" style="224" customWidth="1"/>
    <col min="4614" max="4614" width="20" style="224" customWidth="1"/>
    <col min="4615" max="4615" width="19.42578125" style="224" customWidth="1"/>
    <col min="4616" max="4616" width="11" style="224" customWidth="1"/>
    <col min="4617" max="4617" width="10.140625" style="224" customWidth="1"/>
    <col min="4618" max="4618" width="9.140625" style="224"/>
    <col min="4619" max="4619" width="16.7109375" style="224" customWidth="1"/>
    <col min="4620" max="4620" width="9.85546875" style="224" customWidth="1"/>
    <col min="4621" max="4621" width="2.5703125" style="224" bestFit="1" customWidth="1"/>
    <col min="4622" max="4622" width="9.140625" style="224"/>
    <col min="4623" max="4623" width="9" style="224" customWidth="1"/>
    <col min="4624" max="4864" width="9.140625" style="224"/>
    <col min="4865" max="4865" width="5.5703125" style="224" customWidth="1"/>
    <col min="4866" max="4866" width="44.7109375" style="224" customWidth="1"/>
    <col min="4867" max="4867" width="6.28515625" style="224" customWidth="1"/>
    <col min="4868" max="4868" width="7.5703125" style="224" customWidth="1"/>
    <col min="4869" max="4869" width="3" style="224" customWidth="1"/>
    <col min="4870" max="4870" width="20" style="224" customWidth="1"/>
    <col min="4871" max="4871" width="19.42578125" style="224" customWidth="1"/>
    <col min="4872" max="4872" width="11" style="224" customWidth="1"/>
    <col min="4873" max="4873" width="10.140625" style="224" customWidth="1"/>
    <col min="4874" max="4874" width="9.140625" style="224"/>
    <col min="4875" max="4875" width="16.7109375" style="224" customWidth="1"/>
    <col min="4876" max="4876" width="9.85546875" style="224" customWidth="1"/>
    <col min="4877" max="4877" width="2.5703125" style="224" bestFit="1" customWidth="1"/>
    <col min="4878" max="4878" width="9.140625" style="224"/>
    <col min="4879" max="4879" width="9" style="224" customWidth="1"/>
    <col min="4880" max="5120" width="9.140625" style="224"/>
    <col min="5121" max="5121" width="5.5703125" style="224" customWidth="1"/>
    <col min="5122" max="5122" width="44.7109375" style="224" customWidth="1"/>
    <col min="5123" max="5123" width="6.28515625" style="224" customWidth="1"/>
    <col min="5124" max="5124" width="7.5703125" style="224" customWidth="1"/>
    <col min="5125" max="5125" width="3" style="224" customWidth="1"/>
    <col min="5126" max="5126" width="20" style="224" customWidth="1"/>
    <col min="5127" max="5127" width="19.42578125" style="224" customWidth="1"/>
    <col min="5128" max="5128" width="11" style="224" customWidth="1"/>
    <col min="5129" max="5129" width="10.140625" style="224" customWidth="1"/>
    <col min="5130" max="5130" width="9.140625" style="224"/>
    <col min="5131" max="5131" width="16.7109375" style="224" customWidth="1"/>
    <col min="5132" max="5132" width="9.85546875" style="224" customWidth="1"/>
    <col min="5133" max="5133" width="2.5703125" style="224" bestFit="1" customWidth="1"/>
    <col min="5134" max="5134" width="9.140625" style="224"/>
    <col min="5135" max="5135" width="9" style="224" customWidth="1"/>
    <col min="5136" max="5376" width="9.140625" style="224"/>
    <col min="5377" max="5377" width="5.5703125" style="224" customWidth="1"/>
    <col min="5378" max="5378" width="44.7109375" style="224" customWidth="1"/>
    <col min="5379" max="5379" width="6.28515625" style="224" customWidth="1"/>
    <col min="5380" max="5380" width="7.5703125" style="224" customWidth="1"/>
    <col min="5381" max="5381" width="3" style="224" customWidth="1"/>
    <col min="5382" max="5382" width="20" style="224" customWidth="1"/>
    <col min="5383" max="5383" width="19.42578125" style="224" customWidth="1"/>
    <col min="5384" max="5384" width="11" style="224" customWidth="1"/>
    <col min="5385" max="5385" width="10.140625" style="224" customWidth="1"/>
    <col min="5386" max="5386" width="9.140625" style="224"/>
    <col min="5387" max="5387" width="16.7109375" style="224" customWidth="1"/>
    <col min="5388" max="5388" width="9.85546875" style="224" customWidth="1"/>
    <col min="5389" max="5389" width="2.5703125" style="224" bestFit="1" customWidth="1"/>
    <col min="5390" max="5390" width="9.140625" style="224"/>
    <col min="5391" max="5391" width="9" style="224" customWidth="1"/>
    <col min="5392" max="5632" width="9.140625" style="224"/>
    <col min="5633" max="5633" width="5.5703125" style="224" customWidth="1"/>
    <col min="5634" max="5634" width="44.7109375" style="224" customWidth="1"/>
    <col min="5635" max="5635" width="6.28515625" style="224" customWidth="1"/>
    <col min="5636" max="5636" width="7.5703125" style="224" customWidth="1"/>
    <col min="5637" max="5637" width="3" style="224" customWidth="1"/>
    <col min="5638" max="5638" width="20" style="224" customWidth="1"/>
    <col min="5639" max="5639" width="19.42578125" style="224" customWidth="1"/>
    <col min="5640" max="5640" width="11" style="224" customWidth="1"/>
    <col min="5641" max="5641" width="10.140625" style="224" customWidth="1"/>
    <col min="5642" max="5642" width="9.140625" style="224"/>
    <col min="5643" max="5643" width="16.7109375" style="224" customWidth="1"/>
    <col min="5644" max="5644" width="9.85546875" style="224" customWidth="1"/>
    <col min="5645" max="5645" width="2.5703125" style="224" bestFit="1" customWidth="1"/>
    <col min="5646" max="5646" width="9.140625" style="224"/>
    <col min="5647" max="5647" width="9" style="224" customWidth="1"/>
    <col min="5648" max="5888" width="9.140625" style="224"/>
    <col min="5889" max="5889" width="5.5703125" style="224" customWidth="1"/>
    <col min="5890" max="5890" width="44.7109375" style="224" customWidth="1"/>
    <col min="5891" max="5891" width="6.28515625" style="224" customWidth="1"/>
    <col min="5892" max="5892" width="7.5703125" style="224" customWidth="1"/>
    <col min="5893" max="5893" width="3" style="224" customWidth="1"/>
    <col min="5894" max="5894" width="20" style="224" customWidth="1"/>
    <col min="5895" max="5895" width="19.42578125" style="224" customWidth="1"/>
    <col min="5896" max="5896" width="11" style="224" customWidth="1"/>
    <col min="5897" max="5897" width="10.140625" style="224" customWidth="1"/>
    <col min="5898" max="5898" width="9.140625" style="224"/>
    <col min="5899" max="5899" width="16.7109375" style="224" customWidth="1"/>
    <col min="5900" max="5900" width="9.85546875" style="224" customWidth="1"/>
    <col min="5901" max="5901" width="2.5703125" style="224" bestFit="1" customWidth="1"/>
    <col min="5902" max="5902" width="9.140625" style="224"/>
    <col min="5903" max="5903" width="9" style="224" customWidth="1"/>
    <col min="5904" max="6144" width="9.140625" style="224"/>
    <col min="6145" max="6145" width="5.5703125" style="224" customWidth="1"/>
    <col min="6146" max="6146" width="44.7109375" style="224" customWidth="1"/>
    <col min="6147" max="6147" width="6.28515625" style="224" customWidth="1"/>
    <col min="6148" max="6148" width="7.5703125" style="224" customWidth="1"/>
    <col min="6149" max="6149" width="3" style="224" customWidth="1"/>
    <col min="6150" max="6150" width="20" style="224" customWidth="1"/>
    <col min="6151" max="6151" width="19.42578125" style="224" customWidth="1"/>
    <col min="6152" max="6152" width="11" style="224" customWidth="1"/>
    <col min="6153" max="6153" width="10.140625" style="224" customWidth="1"/>
    <col min="6154" max="6154" width="9.140625" style="224"/>
    <col min="6155" max="6155" width="16.7109375" style="224" customWidth="1"/>
    <col min="6156" max="6156" width="9.85546875" style="224" customWidth="1"/>
    <col min="6157" max="6157" width="2.5703125" style="224" bestFit="1" customWidth="1"/>
    <col min="6158" max="6158" width="9.140625" style="224"/>
    <col min="6159" max="6159" width="9" style="224" customWidth="1"/>
    <col min="6160" max="6400" width="9.140625" style="224"/>
    <col min="6401" max="6401" width="5.5703125" style="224" customWidth="1"/>
    <col min="6402" max="6402" width="44.7109375" style="224" customWidth="1"/>
    <col min="6403" max="6403" width="6.28515625" style="224" customWidth="1"/>
    <col min="6404" max="6404" width="7.5703125" style="224" customWidth="1"/>
    <col min="6405" max="6405" width="3" style="224" customWidth="1"/>
    <col min="6406" max="6406" width="20" style="224" customWidth="1"/>
    <col min="6407" max="6407" width="19.42578125" style="224" customWidth="1"/>
    <col min="6408" max="6408" width="11" style="224" customWidth="1"/>
    <col min="6409" max="6409" width="10.140625" style="224" customWidth="1"/>
    <col min="6410" max="6410" width="9.140625" style="224"/>
    <col min="6411" max="6411" width="16.7109375" style="224" customWidth="1"/>
    <col min="6412" max="6412" width="9.85546875" style="224" customWidth="1"/>
    <col min="6413" max="6413" width="2.5703125" style="224" bestFit="1" customWidth="1"/>
    <col min="6414" max="6414" width="9.140625" style="224"/>
    <col min="6415" max="6415" width="9" style="224" customWidth="1"/>
    <col min="6416" max="6656" width="9.140625" style="224"/>
    <col min="6657" max="6657" width="5.5703125" style="224" customWidth="1"/>
    <col min="6658" max="6658" width="44.7109375" style="224" customWidth="1"/>
    <col min="6659" max="6659" width="6.28515625" style="224" customWidth="1"/>
    <col min="6660" max="6660" width="7.5703125" style="224" customWidth="1"/>
    <col min="6661" max="6661" width="3" style="224" customWidth="1"/>
    <col min="6662" max="6662" width="20" style="224" customWidth="1"/>
    <col min="6663" max="6663" width="19.42578125" style="224" customWidth="1"/>
    <col min="6664" max="6664" width="11" style="224" customWidth="1"/>
    <col min="6665" max="6665" width="10.140625" style="224" customWidth="1"/>
    <col min="6666" max="6666" width="9.140625" style="224"/>
    <col min="6667" max="6667" width="16.7109375" style="224" customWidth="1"/>
    <col min="6668" max="6668" width="9.85546875" style="224" customWidth="1"/>
    <col min="6669" max="6669" width="2.5703125" style="224" bestFit="1" customWidth="1"/>
    <col min="6670" max="6670" width="9.140625" style="224"/>
    <col min="6671" max="6671" width="9" style="224" customWidth="1"/>
    <col min="6672" max="6912" width="9.140625" style="224"/>
    <col min="6913" max="6913" width="5.5703125" style="224" customWidth="1"/>
    <col min="6914" max="6914" width="44.7109375" style="224" customWidth="1"/>
    <col min="6915" max="6915" width="6.28515625" style="224" customWidth="1"/>
    <col min="6916" max="6916" width="7.5703125" style="224" customWidth="1"/>
    <col min="6917" max="6917" width="3" style="224" customWidth="1"/>
    <col min="6918" max="6918" width="20" style="224" customWidth="1"/>
    <col min="6919" max="6919" width="19.42578125" style="224" customWidth="1"/>
    <col min="6920" max="6920" width="11" style="224" customWidth="1"/>
    <col min="6921" max="6921" width="10.140625" style="224" customWidth="1"/>
    <col min="6922" max="6922" width="9.140625" style="224"/>
    <col min="6923" max="6923" width="16.7109375" style="224" customWidth="1"/>
    <col min="6924" max="6924" width="9.85546875" style="224" customWidth="1"/>
    <col min="6925" max="6925" width="2.5703125" style="224" bestFit="1" customWidth="1"/>
    <col min="6926" max="6926" width="9.140625" style="224"/>
    <col min="6927" max="6927" width="9" style="224" customWidth="1"/>
    <col min="6928" max="7168" width="9.140625" style="224"/>
    <col min="7169" max="7169" width="5.5703125" style="224" customWidth="1"/>
    <col min="7170" max="7170" width="44.7109375" style="224" customWidth="1"/>
    <col min="7171" max="7171" width="6.28515625" style="224" customWidth="1"/>
    <col min="7172" max="7172" width="7.5703125" style="224" customWidth="1"/>
    <col min="7173" max="7173" width="3" style="224" customWidth="1"/>
    <col min="7174" max="7174" width="20" style="224" customWidth="1"/>
    <col min="7175" max="7175" width="19.42578125" style="224" customWidth="1"/>
    <col min="7176" max="7176" width="11" style="224" customWidth="1"/>
    <col min="7177" max="7177" width="10.140625" style="224" customWidth="1"/>
    <col min="7178" max="7178" width="9.140625" style="224"/>
    <col min="7179" max="7179" width="16.7109375" style="224" customWidth="1"/>
    <col min="7180" max="7180" width="9.85546875" style="224" customWidth="1"/>
    <col min="7181" max="7181" width="2.5703125" style="224" bestFit="1" customWidth="1"/>
    <col min="7182" max="7182" width="9.140625" style="224"/>
    <col min="7183" max="7183" width="9" style="224" customWidth="1"/>
    <col min="7184" max="7424" width="9.140625" style="224"/>
    <col min="7425" max="7425" width="5.5703125" style="224" customWidth="1"/>
    <col min="7426" max="7426" width="44.7109375" style="224" customWidth="1"/>
    <col min="7427" max="7427" width="6.28515625" style="224" customWidth="1"/>
    <col min="7428" max="7428" width="7.5703125" style="224" customWidth="1"/>
    <col min="7429" max="7429" width="3" style="224" customWidth="1"/>
    <col min="7430" max="7430" width="20" style="224" customWidth="1"/>
    <col min="7431" max="7431" width="19.42578125" style="224" customWidth="1"/>
    <col min="7432" max="7432" width="11" style="224" customWidth="1"/>
    <col min="7433" max="7433" width="10.140625" style="224" customWidth="1"/>
    <col min="7434" max="7434" width="9.140625" style="224"/>
    <col min="7435" max="7435" width="16.7109375" style="224" customWidth="1"/>
    <col min="7436" max="7436" width="9.85546875" style="224" customWidth="1"/>
    <col min="7437" max="7437" width="2.5703125" style="224" bestFit="1" customWidth="1"/>
    <col min="7438" max="7438" width="9.140625" style="224"/>
    <col min="7439" max="7439" width="9" style="224" customWidth="1"/>
    <col min="7440" max="7680" width="9.140625" style="224"/>
    <col min="7681" max="7681" width="5.5703125" style="224" customWidth="1"/>
    <col min="7682" max="7682" width="44.7109375" style="224" customWidth="1"/>
    <col min="7683" max="7683" width="6.28515625" style="224" customWidth="1"/>
    <col min="7684" max="7684" width="7.5703125" style="224" customWidth="1"/>
    <col min="7685" max="7685" width="3" style="224" customWidth="1"/>
    <col min="7686" max="7686" width="20" style="224" customWidth="1"/>
    <col min="7687" max="7687" width="19.42578125" style="224" customWidth="1"/>
    <col min="7688" max="7688" width="11" style="224" customWidth="1"/>
    <col min="7689" max="7689" width="10.140625" style="224" customWidth="1"/>
    <col min="7690" max="7690" width="9.140625" style="224"/>
    <col min="7691" max="7691" width="16.7109375" style="224" customWidth="1"/>
    <col min="7692" max="7692" width="9.85546875" style="224" customWidth="1"/>
    <col min="7693" max="7693" width="2.5703125" style="224" bestFit="1" customWidth="1"/>
    <col min="7694" max="7694" width="9.140625" style="224"/>
    <col min="7695" max="7695" width="9" style="224" customWidth="1"/>
    <col min="7696" max="7936" width="9.140625" style="224"/>
    <col min="7937" max="7937" width="5.5703125" style="224" customWidth="1"/>
    <col min="7938" max="7938" width="44.7109375" style="224" customWidth="1"/>
    <col min="7939" max="7939" width="6.28515625" style="224" customWidth="1"/>
    <col min="7940" max="7940" width="7.5703125" style="224" customWidth="1"/>
    <col min="7941" max="7941" width="3" style="224" customWidth="1"/>
    <col min="7942" max="7942" width="20" style="224" customWidth="1"/>
    <col min="7943" max="7943" width="19.42578125" style="224" customWidth="1"/>
    <col min="7944" max="7944" width="11" style="224" customWidth="1"/>
    <col min="7945" max="7945" width="10.140625" style="224" customWidth="1"/>
    <col min="7946" max="7946" width="9.140625" style="224"/>
    <col min="7947" max="7947" width="16.7109375" style="224" customWidth="1"/>
    <col min="7948" max="7948" width="9.85546875" style="224" customWidth="1"/>
    <col min="7949" max="7949" width="2.5703125" style="224" bestFit="1" customWidth="1"/>
    <col min="7950" max="7950" width="9.140625" style="224"/>
    <col min="7951" max="7951" width="9" style="224" customWidth="1"/>
    <col min="7952" max="8192" width="9.140625" style="224"/>
    <col min="8193" max="8193" width="5.5703125" style="224" customWidth="1"/>
    <col min="8194" max="8194" width="44.7109375" style="224" customWidth="1"/>
    <col min="8195" max="8195" width="6.28515625" style="224" customWidth="1"/>
    <col min="8196" max="8196" width="7.5703125" style="224" customWidth="1"/>
    <col min="8197" max="8197" width="3" style="224" customWidth="1"/>
    <col min="8198" max="8198" width="20" style="224" customWidth="1"/>
    <col min="8199" max="8199" width="19.42578125" style="224" customWidth="1"/>
    <col min="8200" max="8200" width="11" style="224" customWidth="1"/>
    <col min="8201" max="8201" width="10.140625" style="224" customWidth="1"/>
    <col min="8202" max="8202" width="9.140625" style="224"/>
    <col min="8203" max="8203" width="16.7109375" style="224" customWidth="1"/>
    <col min="8204" max="8204" width="9.85546875" style="224" customWidth="1"/>
    <col min="8205" max="8205" width="2.5703125" style="224" bestFit="1" customWidth="1"/>
    <col min="8206" max="8206" width="9.140625" style="224"/>
    <col min="8207" max="8207" width="9" style="224" customWidth="1"/>
    <col min="8208" max="8448" width="9.140625" style="224"/>
    <col min="8449" max="8449" width="5.5703125" style="224" customWidth="1"/>
    <col min="8450" max="8450" width="44.7109375" style="224" customWidth="1"/>
    <col min="8451" max="8451" width="6.28515625" style="224" customWidth="1"/>
    <col min="8452" max="8452" width="7.5703125" style="224" customWidth="1"/>
    <col min="8453" max="8453" width="3" style="224" customWidth="1"/>
    <col min="8454" max="8454" width="20" style="224" customWidth="1"/>
    <col min="8455" max="8455" width="19.42578125" style="224" customWidth="1"/>
    <col min="8456" max="8456" width="11" style="224" customWidth="1"/>
    <col min="8457" max="8457" width="10.140625" style="224" customWidth="1"/>
    <col min="8458" max="8458" width="9.140625" style="224"/>
    <col min="8459" max="8459" width="16.7109375" style="224" customWidth="1"/>
    <col min="8460" max="8460" width="9.85546875" style="224" customWidth="1"/>
    <col min="8461" max="8461" width="2.5703125" style="224" bestFit="1" customWidth="1"/>
    <col min="8462" max="8462" width="9.140625" style="224"/>
    <col min="8463" max="8463" width="9" style="224" customWidth="1"/>
    <col min="8464" max="8704" width="9.140625" style="224"/>
    <col min="8705" max="8705" width="5.5703125" style="224" customWidth="1"/>
    <col min="8706" max="8706" width="44.7109375" style="224" customWidth="1"/>
    <col min="8707" max="8707" width="6.28515625" style="224" customWidth="1"/>
    <col min="8708" max="8708" width="7.5703125" style="224" customWidth="1"/>
    <col min="8709" max="8709" width="3" style="224" customWidth="1"/>
    <col min="8710" max="8710" width="20" style="224" customWidth="1"/>
    <col min="8711" max="8711" width="19.42578125" style="224" customWidth="1"/>
    <col min="8712" max="8712" width="11" style="224" customWidth="1"/>
    <col min="8713" max="8713" width="10.140625" style="224" customWidth="1"/>
    <col min="8714" max="8714" width="9.140625" style="224"/>
    <col min="8715" max="8715" width="16.7109375" style="224" customWidth="1"/>
    <col min="8716" max="8716" width="9.85546875" style="224" customWidth="1"/>
    <col min="8717" max="8717" width="2.5703125" style="224" bestFit="1" customWidth="1"/>
    <col min="8718" max="8718" width="9.140625" style="224"/>
    <col min="8719" max="8719" width="9" style="224" customWidth="1"/>
    <col min="8720" max="8960" width="9.140625" style="224"/>
    <col min="8961" max="8961" width="5.5703125" style="224" customWidth="1"/>
    <col min="8962" max="8962" width="44.7109375" style="224" customWidth="1"/>
    <col min="8963" max="8963" width="6.28515625" style="224" customWidth="1"/>
    <col min="8964" max="8964" width="7.5703125" style="224" customWidth="1"/>
    <col min="8965" max="8965" width="3" style="224" customWidth="1"/>
    <col min="8966" max="8966" width="20" style="224" customWidth="1"/>
    <col min="8967" max="8967" width="19.42578125" style="224" customWidth="1"/>
    <col min="8968" max="8968" width="11" style="224" customWidth="1"/>
    <col min="8969" max="8969" width="10.140625" style="224" customWidth="1"/>
    <col min="8970" max="8970" width="9.140625" style="224"/>
    <col min="8971" max="8971" width="16.7109375" style="224" customWidth="1"/>
    <col min="8972" max="8972" width="9.85546875" style="224" customWidth="1"/>
    <col min="8973" max="8973" width="2.5703125" style="224" bestFit="1" customWidth="1"/>
    <col min="8974" max="8974" width="9.140625" style="224"/>
    <col min="8975" max="8975" width="9" style="224" customWidth="1"/>
    <col min="8976" max="9216" width="9.140625" style="224"/>
    <col min="9217" max="9217" width="5.5703125" style="224" customWidth="1"/>
    <col min="9218" max="9218" width="44.7109375" style="224" customWidth="1"/>
    <col min="9219" max="9219" width="6.28515625" style="224" customWidth="1"/>
    <col min="9220" max="9220" width="7.5703125" style="224" customWidth="1"/>
    <col min="9221" max="9221" width="3" style="224" customWidth="1"/>
    <col min="9222" max="9222" width="20" style="224" customWidth="1"/>
    <col min="9223" max="9223" width="19.42578125" style="224" customWidth="1"/>
    <col min="9224" max="9224" width="11" style="224" customWidth="1"/>
    <col min="9225" max="9225" width="10.140625" style="224" customWidth="1"/>
    <col min="9226" max="9226" width="9.140625" style="224"/>
    <col min="9227" max="9227" width="16.7109375" style="224" customWidth="1"/>
    <col min="9228" max="9228" width="9.85546875" style="224" customWidth="1"/>
    <col min="9229" max="9229" width="2.5703125" style="224" bestFit="1" customWidth="1"/>
    <col min="9230" max="9230" width="9.140625" style="224"/>
    <col min="9231" max="9231" width="9" style="224" customWidth="1"/>
    <col min="9232" max="9472" width="9.140625" style="224"/>
    <col min="9473" max="9473" width="5.5703125" style="224" customWidth="1"/>
    <col min="9474" max="9474" width="44.7109375" style="224" customWidth="1"/>
    <col min="9475" max="9475" width="6.28515625" style="224" customWidth="1"/>
    <col min="9476" max="9476" width="7.5703125" style="224" customWidth="1"/>
    <col min="9477" max="9477" width="3" style="224" customWidth="1"/>
    <col min="9478" max="9478" width="20" style="224" customWidth="1"/>
    <col min="9479" max="9479" width="19.42578125" style="224" customWidth="1"/>
    <col min="9480" max="9480" width="11" style="224" customWidth="1"/>
    <col min="9481" max="9481" width="10.140625" style="224" customWidth="1"/>
    <col min="9482" max="9482" width="9.140625" style="224"/>
    <col min="9483" max="9483" width="16.7109375" style="224" customWidth="1"/>
    <col min="9484" max="9484" width="9.85546875" style="224" customWidth="1"/>
    <col min="9485" max="9485" width="2.5703125" style="224" bestFit="1" customWidth="1"/>
    <col min="9486" max="9486" width="9.140625" style="224"/>
    <col min="9487" max="9487" width="9" style="224" customWidth="1"/>
    <col min="9488" max="9728" width="9.140625" style="224"/>
    <col min="9729" max="9729" width="5.5703125" style="224" customWidth="1"/>
    <col min="9730" max="9730" width="44.7109375" style="224" customWidth="1"/>
    <col min="9731" max="9731" width="6.28515625" style="224" customWidth="1"/>
    <col min="9732" max="9732" width="7.5703125" style="224" customWidth="1"/>
    <col min="9733" max="9733" width="3" style="224" customWidth="1"/>
    <col min="9734" max="9734" width="20" style="224" customWidth="1"/>
    <col min="9735" max="9735" width="19.42578125" style="224" customWidth="1"/>
    <col min="9736" max="9736" width="11" style="224" customWidth="1"/>
    <col min="9737" max="9737" width="10.140625" style="224" customWidth="1"/>
    <col min="9738" max="9738" width="9.140625" style="224"/>
    <col min="9739" max="9739" width="16.7109375" style="224" customWidth="1"/>
    <col min="9740" max="9740" width="9.85546875" style="224" customWidth="1"/>
    <col min="9741" max="9741" width="2.5703125" style="224" bestFit="1" customWidth="1"/>
    <col min="9742" max="9742" width="9.140625" style="224"/>
    <col min="9743" max="9743" width="9" style="224" customWidth="1"/>
    <col min="9744" max="9984" width="9.140625" style="224"/>
    <col min="9985" max="9985" width="5.5703125" style="224" customWidth="1"/>
    <col min="9986" max="9986" width="44.7109375" style="224" customWidth="1"/>
    <col min="9987" max="9987" width="6.28515625" style="224" customWidth="1"/>
    <col min="9988" max="9988" width="7.5703125" style="224" customWidth="1"/>
    <col min="9989" max="9989" width="3" style="224" customWidth="1"/>
    <col min="9990" max="9990" width="20" style="224" customWidth="1"/>
    <col min="9991" max="9991" width="19.42578125" style="224" customWidth="1"/>
    <col min="9992" max="9992" width="11" style="224" customWidth="1"/>
    <col min="9993" max="9993" width="10.140625" style="224" customWidth="1"/>
    <col min="9994" max="9994" width="9.140625" style="224"/>
    <col min="9995" max="9995" width="16.7109375" style="224" customWidth="1"/>
    <col min="9996" max="9996" width="9.85546875" style="224" customWidth="1"/>
    <col min="9997" max="9997" width="2.5703125" style="224" bestFit="1" customWidth="1"/>
    <col min="9998" max="9998" width="9.140625" style="224"/>
    <col min="9999" max="9999" width="9" style="224" customWidth="1"/>
    <col min="10000" max="10240" width="9.140625" style="224"/>
    <col min="10241" max="10241" width="5.5703125" style="224" customWidth="1"/>
    <col min="10242" max="10242" width="44.7109375" style="224" customWidth="1"/>
    <col min="10243" max="10243" width="6.28515625" style="224" customWidth="1"/>
    <col min="10244" max="10244" width="7.5703125" style="224" customWidth="1"/>
    <col min="10245" max="10245" width="3" style="224" customWidth="1"/>
    <col min="10246" max="10246" width="20" style="224" customWidth="1"/>
    <col min="10247" max="10247" width="19.42578125" style="224" customWidth="1"/>
    <col min="10248" max="10248" width="11" style="224" customWidth="1"/>
    <col min="10249" max="10249" width="10.140625" style="224" customWidth="1"/>
    <col min="10250" max="10250" width="9.140625" style="224"/>
    <col min="10251" max="10251" width="16.7109375" style="224" customWidth="1"/>
    <col min="10252" max="10252" width="9.85546875" style="224" customWidth="1"/>
    <col min="10253" max="10253" width="2.5703125" style="224" bestFit="1" customWidth="1"/>
    <col min="10254" max="10254" width="9.140625" style="224"/>
    <col min="10255" max="10255" width="9" style="224" customWidth="1"/>
    <col min="10256" max="10496" width="9.140625" style="224"/>
    <col min="10497" max="10497" width="5.5703125" style="224" customWidth="1"/>
    <col min="10498" max="10498" width="44.7109375" style="224" customWidth="1"/>
    <col min="10499" max="10499" width="6.28515625" style="224" customWidth="1"/>
    <col min="10500" max="10500" width="7.5703125" style="224" customWidth="1"/>
    <col min="10501" max="10501" width="3" style="224" customWidth="1"/>
    <col min="10502" max="10502" width="20" style="224" customWidth="1"/>
    <col min="10503" max="10503" width="19.42578125" style="224" customWidth="1"/>
    <col min="10504" max="10504" width="11" style="224" customWidth="1"/>
    <col min="10505" max="10505" width="10.140625" style="224" customWidth="1"/>
    <col min="10506" max="10506" width="9.140625" style="224"/>
    <col min="10507" max="10507" width="16.7109375" style="224" customWidth="1"/>
    <col min="10508" max="10508" width="9.85546875" style="224" customWidth="1"/>
    <col min="10509" max="10509" width="2.5703125" style="224" bestFit="1" customWidth="1"/>
    <col min="10510" max="10510" width="9.140625" style="224"/>
    <col min="10511" max="10511" width="9" style="224" customWidth="1"/>
    <col min="10512" max="10752" width="9.140625" style="224"/>
    <col min="10753" max="10753" width="5.5703125" style="224" customWidth="1"/>
    <col min="10754" max="10754" width="44.7109375" style="224" customWidth="1"/>
    <col min="10755" max="10755" width="6.28515625" style="224" customWidth="1"/>
    <col min="10756" max="10756" width="7.5703125" style="224" customWidth="1"/>
    <col min="10757" max="10757" width="3" style="224" customWidth="1"/>
    <col min="10758" max="10758" width="20" style="224" customWidth="1"/>
    <col min="10759" max="10759" width="19.42578125" style="224" customWidth="1"/>
    <col min="10760" max="10760" width="11" style="224" customWidth="1"/>
    <col min="10761" max="10761" width="10.140625" style="224" customWidth="1"/>
    <col min="10762" max="10762" width="9.140625" style="224"/>
    <col min="10763" max="10763" width="16.7109375" style="224" customWidth="1"/>
    <col min="10764" max="10764" width="9.85546875" style="224" customWidth="1"/>
    <col min="10765" max="10765" width="2.5703125" style="224" bestFit="1" customWidth="1"/>
    <col min="10766" max="10766" width="9.140625" style="224"/>
    <col min="10767" max="10767" width="9" style="224" customWidth="1"/>
    <col min="10768" max="11008" width="9.140625" style="224"/>
    <col min="11009" max="11009" width="5.5703125" style="224" customWidth="1"/>
    <col min="11010" max="11010" width="44.7109375" style="224" customWidth="1"/>
    <col min="11011" max="11011" width="6.28515625" style="224" customWidth="1"/>
    <col min="11012" max="11012" width="7.5703125" style="224" customWidth="1"/>
    <col min="11013" max="11013" width="3" style="224" customWidth="1"/>
    <col min="11014" max="11014" width="20" style="224" customWidth="1"/>
    <col min="11015" max="11015" width="19.42578125" style="224" customWidth="1"/>
    <col min="11016" max="11016" width="11" style="224" customWidth="1"/>
    <col min="11017" max="11017" width="10.140625" style="224" customWidth="1"/>
    <col min="11018" max="11018" width="9.140625" style="224"/>
    <col min="11019" max="11019" width="16.7109375" style="224" customWidth="1"/>
    <col min="11020" max="11020" width="9.85546875" style="224" customWidth="1"/>
    <col min="11021" max="11021" width="2.5703125" style="224" bestFit="1" customWidth="1"/>
    <col min="11022" max="11022" width="9.140625" style="224"/>
    <col min="11023" max="11023" width="9" style="224" customWidth="1"/>
    <col min="11024" max="11264" width="9.140625" style="224"/>
    <col min="11265" max="11265" width="5.5703125" style="224" customWidth="1"/>
    <col min="11266" max="11266" width="44.7109375" style="224" customWidth="1"/>
    <col min="11267" max="11267" width="6.28515625" style="224" customWidth="1"/>
    <col min="11268" max="11268" width="7.5703125" style="224" customWidth="1"/>
    <col min="11269" max="11269" width="3" style="224" customWidth="1"/>
    <col min="11270" max="11270" width="20" style="224" customWidth="1"/>
    <col min="11271" max="11271" width="19.42578125" style="224" customWidth="1"/>
    <col min="11272" max="11272" width="11" style="224" customWidth="1"/>
    <col min="11273" max="11273" width="10.140625" style="224" customWidth="1"/>
    <col min="11274" max="11274" width="9.140625" style="224"/>
    <col min="11275" max="11275" width="16.7109375" style="224" customWidth="1"/>
    <col min="11276" max="11276" width="9.85546875" style="224" customWidth="1"/>
    <col min="11277" max="11277" width="2.5703125" style="224" bestFit="1" customWidth="1"/>
    <col min="11278" max="11278" width="9.140625" style="224"/>
    <col min="11279" max="11279" width="9" style="224" customWidth="1"/>
    <col min="11280" max="11520" width="9.140625" style="224"/>
    <col min="11521" max="11521" width="5.5703125" style="224" customWidth="1"/>
    <col min="11522" max="11522" width="44.7109375" style="224" customWidth="1"/>
    <col min="11523" max="11523" width="6.28515625" style="224" customWidth="1"/>
    <col min="11524" max="11524" width="7.5703125" style="224" customWidth="1"/>
    <col min="11525" max="11525" width="3" style="224" customWidth="1"/>
    <col min="11526" max="11526" width="20" style="224" customWidth="1"/>
    <col min="11527" max="11527" width="19.42578125" style="224" customWidth="1"/>
    <col min="11528" max="11528" width="11" style="224" customWidth="1"/>
    <col min="11529" max="11529" width="10.140625" style="224" customWidth="1"/>
    <col min="11530" max="11530" width="9.140625" style="224"/>
    <col min="11531" max="11531" width="16.7109375" style="224" customWidth="1"/>
    <col min="11532" max="11532" width="9.85546875" style="224" customWidth="1"/>
    <col min="11533" max="11533" width="2.5703125" style="224" bestFit="1" customWidth="1"/>
    <col min="11534" max="11534" width="9.140625" style="224"/>
    <col min="11535" max="11535" width="9" style="224" customWidth="1"/>
    <col min="11536" max="11776" width="9.140625" style="224"/>
    <col min="11777" max="11777" width="5.5703125" style="224" customWidth="1"/>
    <col min="11778" max="11778" width="44.7109375" style="224" customWidth="1"/>
    <col min="11779" max="11779" width="6.28515625" style="224" customWidth="1"/>
    <col min="11780" max="11780" width="7.5703125" style="224" customWidth="1"/>
    <col min="11781" max="11781" width="3" style="224" customWidth="1"/>
    <col min="11782" max="11782" width="20" style="224" customWidth="1"/>
    <col min="11783" max="11783" width="19.42578125" style="224" customWidth="1"/>
    <col min="11784" max="11784" width="11" style="224" customWidth="1"/>
    <col min="11785" max="11785" width="10.140625" style="224" customWidth="1"/>
    <col min="11786" max="11786" width="9.140625" style="224"/>
    <col min="11787" max="11787" width="16.7109375" style="224" customWidth="1"/>
    <col min="11788" max="11788" width="9.85546875" style="224" customWidth="1"/>
    <col min="11789" max="11789" width="2.5703125" style="224" bestFit="1" customWidth="1"/>
    <col min="11790" max="11790" width="9.140625" style="224"/>
    <col min="11791" max="11791" width="9" style="224" customWidth="1"/>
    <col min="11792" max="12032" width="9.140625" style="224"/>
    <col min="12033" max="12033" width="5.5703125" style="224" customWidth="1"/>
    <col min="12034" max="12034" width="44.7109375" style="224" customWidth="1"/>
    <col min="12035" max="12035" width="6.28515625" style="224" customWidth="1"/>
    <col min="12036" max="12036" width="7.5703125" style="224" customWidth="1"/>
    <col min="12037" max="12037" width="3" style="224" customWidth="1"/>
    <col min="12038" max="12038" width="20" style="224" customWidth="1"/>
    <col min="12039" max="12039" width="19.42578125" style="224" customWidth="1"/>
    <col min="12040" max="12040" width="11" style="224" customWidth="1"/>
    <col min="12041" max="12041" width="10.140625" style="224" customWidth="1"/>
    <col min="12042" max="12042" width="9.140625" style="224"/>
    <col min="12043" max="12043" width="16.7109375" style="224" customWidth="1"/>
    <col min="12044" max="12044" width="9.85546875" style="224" customWidth="1"/>
    <col min="12045" max="12045" width="2.5703125" style="224" bestFit="1" customWidth="1"/>
    <col min="12046" max="12046" width="9.140625" style="224"/>
    <col min="12047" max="12047" width="9" style="224" customWidth="1"/>
    <col min="12048" max="12288" width="9.140625" style="224"/>
    <col min="12289" max="12289" width="5.5703125" style="224" customWidth="1"/>
    <col min="12290" max="12290" width="44.7109375" style="224" customWidth="1"/>
    <col min="12291" max="12291" width="6.28515625" style="224" customWidth="1"/>
    <col min="12292" max="12292" width="7.5703125" style="224" customWidth="1"/>
    <col min="12293" max="12293" width="3" style="224" customWidth="1"/>
    <col min="12294" max="12294" width="20" style="224" customWidth="1"/>
    <col min="12295" max="12295" width="19.42578125" style="224" customWidth="1"/>
    <col min="12296" max="12296" width="11" style="224" customWidth="1"/>
    <col min="12297" max="12297" width="10.140625" style="224" customWidth="1"/>
    <col min="12298" max="12298" width="9.140625" style="224"/>
    <col min="12299" max="12299" width="16.7109375" style="224" customWidth="1"/>
    <col min="12300" max="12300" width="9.85546875" style="224" customWidth="1"/>
    <col min="12301" max="12301" width="2.5703125" style="224" bestFit="1" customWidth="1"/>
    <col min="12302" max="12302" width="9.140625" style="224"/>
    <col min="12303" max="12303" width="9" style="224" customWidth="1"/>
    <col min="12304" max="12544" width="9.140625" style="224"/>
    <col min="12545" max="12545" width="5.5703125" style="224" customWidth="1"/>
    <col min="12546" max="12546" width="44.7109375" style="224" customWidth="1"/>
    <col min="12547" max="12547" width="6.28515625" style="224" customWidth="1"/>
    <col min="12548" max="12548" width="7.5703125" style="224" customWidth="1"/>
    <col min="12549" max="12549" width="3" style="224" customWidth="1"/>
    <col min="12550" max="12550" width="20" style="224" customWidth="1"/>
    <col min="12551" max="12551" width="19.42578125" style="224" customWidth="1"/>
    <col min="12552" max="12552" width="11" style="224" customWidth="1"/>
    <col min="12553" max="12553" width="10.140625" style="224" customWidth="1"/>
    <col min="12554" max="12554" width="9.140625" style="224"/>
    <col min="12555" max="12555" width="16.7109375" style="224" customWidth="1"/>
    <col min="12556" max="12556" width="9.85546875" style="224" customWidth="1"/>
    <col min="12557" max="12557" width="2.5703125" style="224" bestFit="1" customWidth="1"/>
    <col min="12558" max="12558" width="9.140625" style="224"/>
    <col min="12559" max="12559" width="9" style="224" customWidth="1"/>
    <col min="12560" max="12800" width="9.140625" style="224"/>
    <col min="12801" max="12801" width="5.5703125" style="224" customWidth="1"/>
    <col min="12802" max="12802" width="44.7109375" style="224" customWidth="1"/>
    <col min="12803" max="12803" width="6.28515625" style="224" customWidth="1"/>
    <col min="12804" max="12804" width="7.5703125" style="224" customWidth="1"/>
    <col min="12805" max="12805" width="3" style="224" customWidth="1"/>
    <col min="12806" max="12806" width="20" style="224" customWidth="1"/>
    <col min="12807" max="12807" width="19.42578125" style="224" customWidth="1"/>
    <col min="12808" max="12808" width="11" style="224" customWidth="1"/>
    <col min="12809" max="12809" width="10.140625" style="224" customWidth="1"/>
    <col min="12810" max="12810" width="9.140625" style="224"/>
    <col min="12811" max="12811" width="16.7109375" style="224" customWidth="1"/>
    <col min="12812" max="12812" width="9.85546875" style="224" customWidth="1"/>
    <col min="12813" max="12813" width="2.5703125" style="224" bestFit="1" customWidth="1"/>
    <col min="12814" max="12814" width="9.140625" style="224"/>
    <col min="12815" max="12815" width="9" style="224" customWidth="1"/>
    <col min="12816" max="13056" width="9.140625" style="224"/>
    <col min="13057" max="13057" width="5.5703125" style="224" customWidth="1"/>
    <col min="13058" max="13058" width="44.7109375" style="224" customWidth="1"/>
    <col min="13059" max="13059" width="6.28515625" style="224" customWidth="1"/>
    <col min="13060" max="13060" width="7.5703125" style="224" customWidth="1"/>
    <col min="13061" max="13061" width="3" style="224" customWidth="1"/>
    <col min="13062" max="13062" width="20" style="224" customWidth="1"/>
    <col min="13063" max="13063" width="19.42578125" style="224" customWidth="1"/>
    <col min="13064" max="13064" width="11" style="224" customWidth="1"/>
    <col min="13065" max="13065" width="10.140625" style="224" customWidth="1"/>
    <col min="13066" max="13066" width="9.140625" style="224"/>
    <col min="13067" max="13067" width="16.7109375" style="224" customWidth="1"/>
    <col min="13068" max="13068" width="9.85546875" style="224" customWidth="1"/>
    <col min="13069" max="13069" width="2.5703125" style="224" bestFit="1" customWidth="1"/>
    <col min="13070" max="13070" width="9.140625" style="224"/>
    <col min="13071" max="13071" width="9" style="224" customWidth="1"/>
    <col min="13072" max="13312" width="9.140625" style="224"/>
    <col min="13313" max="13313" width="5.5703125" style="224" customWidth="1"/>
    <col min="13314" max="13314" width="44.7109375" style="224" customWidth="1"/>
    <col min="13315" max="13315" width="6.28515625" style="224" customWidth="1"/>
    <col min="13316" max="13316" width="7.5703125" style="224" customWidth="1"/>
    <col min="13317" max="13317" width="3" style="224" customWidth="1"/>
    <col min="13318" max="13318" width="20" style="224" customWidth="1"/>
    <col min="13319" max="13319" width="19.42578125" style="224" customWidth="1"/>
    <col min="13320" max="13320" width="11" style="224" customWidth="1"/>
    <col min="13321" max="13321" width="10.140625" style="224" customWidth="1"/>
    <col min="13322" max="13322" width="9.140625" style="224"/>
    <col min="13323" max="13323" width="16.7109375" style="224" customWidth="1"/>
    <col min="13324" max="13324" width="9.85546875" style="224" customWidth="1"/>
    <col min="13325" max="13325" width="2.5703125" style="224" bestFit="1" customWidth="1"/>
    <col min="13326" max="13326" width="9.140625" style="224"/>
    <col min="13327" max="13327" width="9" style="224" customWidth="1"/>
    <col min="13328" max="13568" width="9.140625" style="224"/>
    <col min="13569" max="13569" width="5.5703125" style="224" customWidth="1"/>
    <col min="13570" max="13570" width="44.7109375" style="224" customWidth="1"/>
    <col min="13571" max="13571" width="6.28515625" style="224" customWidth="1"/>
    <col min="13572" max="13572" width="7.5703125" style="224" customWidth="1"/>
    <col min="13573" max="13573" width="3" style="224" customWidth="1"/>
    <col min="13574" max="13574" width="20" style="224" customWidth="1"/>
    <col min="13575" max="13575" width="19.42578125" style="224" customWidth="1"/>
    <col min="13576" max="13576" width="11" style="224" customWidth="1"/>
    <col min="13577" max="13577" width="10.140625" style="224" customWidth="1"/>
    <col min="13578" max="13578" width="9.140625" style="224"/>
    <col min="13579" max="13579" width="16.7109375" style="224" customWidth="1"/>
    <col min="13580" max="13580" width="9.85546875" style="224" customWidth="1"/>
    <col min="13581" max="13581" width="2.5703125" style="224" bestFit="1" customWidth="1"/>
    <col min="13582" max="13582" width="9.140625" style="224"/>
    <col min="13583" max="13583" width="9" style="224" customWidth="1"/>
    <col min="13584" max="13824" width="9.140625" style="224"/>
    <col min="13825" max="13825" width="5.5703125" style="224" customWidth="1"/>
    <col min="13826" max="13826" width="44.7109375" style="224" customWidth="1"/>
    <col min="13827" max="13827" width="6.28515625" style="224" customWidth="1"/>
    <col min="13828" max="13828" width="7.5703125" style="224" customWidth="1"/>
    <col min="13829" max="13829" width="3" style="224" customWidth="1"/>
    <col min="13830" max="13830" width="20" style="224" customWidth="1"/>
    <col min="13831" max="13831" width="19.42578125" style="224" customWidth="1"/>
    <col min="13832" max="13832" width="11" style="224" customWidth="1"/>
    <col min="13833" max="13833" width="10.140625" style="224" customWidth="1"/>
    <col min="13834" max="13834" width="9.140625" style="224"/>
    <col min="13835" max="13835" width="16.7109375" style="224" customWidth="1"/>
    <col min="13836" max="13836" width="9.85546875" style="224" customWidth="1"/>
    <col min="13837" max="13837" width="2.5703125" style="224" bestFit="1" customWidth="1"/>
    <col min="13838" max="13838" width="9.140625" style="224"/>
    <col min="13839" max="13839" width="9" style="224" customWidth="1"/>
    <col min="13840" max="14080" width="9.140625" style="224"/>
    <col min="14081" max="14081" width="5.5703125" style="224" customWidth="1"/>
    <col min="14082" max="14082" width="44.7109375" style="224" customWidth="1"/>
    <col min="14083" max="14083" width="6.28515625" style="224" customWidth="1"/>
    <col min="14084" max="14084" width="7.5703125" style="224" customWidth="1"/>
    <col min="14085" max="14085" width="3" style="224" customWidth="1"/>
    <col min="14086" max="14086" width="20" style="224" customWidth="1"/>
    <col min="14087" max="14087" width="19.42578125" style="224" customWidth="1"/>
    <col min="14088" max="14088" width="11" style="224" customWidth="1"/>
    <col min="14089" max="14089" width="10.140625" style="224" customWidth="1"/>
    <col min="14090" max="14090" width="9.140625" style="224"/>
    <col min="14091" max="14091" width="16.7109375" style="224" customWidth="1"/>
    <col min="14092" max="14092" width="9.85546875" style="224" customWidth="1"/>
    <col min="14093" max="14093" width="2.5703125" style="224" bestFit="1" customWidth="1"/>
    <col min="14094" max="14094" width="9.140625" style="224"/>
    <col min="14095" max="14095" width="9" style="224" customWidth="1"/>
    <col min="14096" max="14336" width="9.140625" style="224"/>
    <col min="14337" max="14337" width="5.5703125" style="224" customWidth="1"/>
    <col min="14338" max="14338" width="44.7109375" style="224" customWidth="1"/>
    <col min="14339" max="14339" width="6.28515625" style="224" customWidth="1"/>
    <col min="14340" max="14340" width="7.5703125" style="224" customWidth="1"/>
    <col min="14341" max="14341" width="3" style="224" customWidth="1"/>
    <col min="14342" max="14342" width="20" style="224" customWidth="1"/>
    <col min="14343" max="14343" width="19.42578125" style="224" customWidth="1"/>
    <col min="14344" max="14344" width="11" style="224" customWidth="1"/>
    <col min="14345" max="14345" width="10.140625" style="224" customWidth="1"/>
    <col min="14346" max="14346" width="9.140625" style="224"/>
    <col min="14347" max="14347" width="16.7109375" style="224" customWidth="1"/>
    <col min="14348" max="14348" width="9.85546875" style="224" customWidth="1"/>
    <col min="14349" max="14349" width="2.5703125" style="224" bestFit="1" customWidth="1"/>
    <col min="14350" max="14350" width="9.140625" style="224"/>
    <col min="14351" max="14351" width="9" style="224" customWidth="1"/>
    <col min="14352" max="14592" width="9.140625" style="224"/>
    <col min="14593" max="14593" width="5.5703125" style="224" customWidth="1"/>
    <col min="14594" max="14594" width="44.7109375" style="224" customWidth="1"/>
    <col min="14595" max="14595" width="6.28515625" style="224" customWidth="1"/>
    <col min="14596" max="14596" width="7.5703125" style="224" customWidth="1"/>
    <col min="14597" max="14597" width="3" style="224" customWidth="1"/>
    <col min="14598" max="14598" width="20" style="224" customWidth="1"/>
    <col min="14599" max="14599" width="19.42578125" style="224" customWidth="1"/>
    <col min="14600" max="14600" width="11" style="224" customWidth="1"/>
    <col min="14601" max="14601" width="10.140625" style="224" customWidth="1"/>
    <col min="14602" max="14602" width="9.140625" style="224"/>
    <col min="14603" max="14603" width="16.7109375" style="224" customWidth="1"/>
    <col min="14604" max="14604" width="9.85546875" style="224" customWidth="1"/>
    <col min="14605" max="14605" width="2.5703125" style="224" bestFit="1" customWidth="1"/>
    <col min="14606" max="14606" width="9.140625" style="224"/>
    <col min="14607" max="14607" width="9" style="224" customWidth="1"/>
    <col min="14608" max="14848" width="9.140625" style="224"/>
    <col min="14849" max="14849" width="5.5703125" style="224" customWidth="1"/>
    <col min="14850" max="14850" width="44.7109375" style="224" customWidth="1"/>
    <col min="14851" max="14851" width="6.28515625" style="224" customWidth="1"/>
    <col min="14852" max="14852" width="7.5703125" style="224" customWidth="1"/>
    <col min="14853" max="14853" width="3" style="224" customWidth="1"/>
    <col min="14854" max="14854" width="20" style="224" customWidth="1"/>
    <col min="14855" max="14855" width="19.42578125" style="224" customWidth="1"/>
    <col min="14856" max="14856" width="11" style="224" customWidth="1"/>
    <col min="14857" max="14857" width="10.140625" style="224" customWidth="1"/>
    <col min="14858" max="14858" width="9.140625" style="224"/>
    <col min="14859" max="14859" width="16.7109375" style="224" customWidth="1"/>
    <col min="14860" max="14860" width="9.85546875" style="224" customWidth="1"/>
    <col min="14861" max="14861" width="2.5703125" style="224" bestFit="1" customWidth="1"/>
    <col min="14862" max="14862" width="9.140625" style="224"/>
    <col min="14863" max="14863" width="9" style="224" customWidth="1"/>
    <col min="14864" max="15104" width="9.140625" style="224"/>
    <col min="15105" max="15105" width="5.5703125" style="224" customWidth="1"/>
    <col min="15106" max="15106" width="44.7109375" style="224" customWidth="1"/>
    <col min="15107" max="15107" width="6.28515625" style="224" customWidth="1"/>
    <col min="15108" max="15108" width="7.5703125" style="224" customWidth="1"/>
    <col min="15109" max="15109" width="3" style="224" customWidth="1"/>
    <col min="15110" max="15110" width="20" style="224" customWidth="1"/>
    <col min="15111" max="15111" width="19.42578125" style="224" customWidth="1"/>
    <col min="15112" max="15112" width="11" style="224" customWidth="1"/>
    <col min="15113" max="15113" width="10.140625" style="224" customWidth="1"/>
    <col min="15114" max="15114" width="9.140625" style="224"/>
    <col min="15115" max="15115" width="16.7109375" style="224" customWidth="1"/>
    <col min="15116" max="15116" width="9.85546875" style="224" customWidth="1"/>
    <col min="15117" max="15117" width="2.5703125" style="224" bestFit="1" customWidth="1"/>
    <col min="15118" max="15118" width="9.140625" style="224"/>
    <col min="15119" max="15119" width="9" style="224" customWidth="1"/>
    <col min="15120" max="15360" width="9.140625" style="224"/>
    <col min="15361" max="15361" width="5.5703125" style="224" customWidth="1"/>
    <col min="15362" max="15362" width="44.7109375" style="224" customWidth="1"/>
    <col min="15363" max="15363" width="6.28515625" style="224" customWidth="1"/>
    <col min="15364" max="15364" width="7.5703125" style="224" customWidth="1"/>
    <col min="15365" max="15365" width="3" style="224" customWidth="1"/>
    <col min="15366" max="15366" width="20" style="224" customWidth="1"/>
    <col min="15367" max="15367" width="19.42578125" style="224" customWidth="1"/>
    <col min="15368" max="15368" width="11" style="224" customWidth="1"/>
    <col min="15369" max="15369" width="10.140625" style="224" customWidth="1"/>
    <col min="15370" max="15370" width="9.140625" style="224"/>
    <col min="15371" max="15371" width="16.7109375" style="224" customWidth="1"/>
    <col min="15372" max="15372" width="9.85546875" style="224" customWidth="1"/>
    <col min="15373" max="15373" width="2.5703125" style="224" bestFit="1" customWidth="1"/>
    <col min="15374" max="15374" width="9.140625" style="224"/>
    <col min="15375" max="15375" width="9" style="224" customWidth="1"/>
    <col min="15376" max="15616" width="9.140625" style="224"/>
    <col min="15617" max="15617" width="5.5703125" style="224" customWidth="1"/>
    <col min="15618" max="15618" width="44.7109375" style="224" customWidth="1"/>
    <col min="15619" max="15619" width="6.28515625" style="224" customWidth="1"/>
    <col min="15620" max="15620" width="7.5703125" style="224" customWidth="1"/>
    <col min="15621" max="15621" width="3" style="224" customWidth="1"/>
    <col min="15622" max="15622" width="20" style="224" customWidth="1"/>
    <col min="15623" max="15623" width="19.42578125" style="224" customWidth="1"/>
    <col min="15624" max="15624" width="11" style="224" customWidth="1"/>
    <col min="15625" max="15625" width="10.140625" style="224" customWidth="1"/>
    <col min="15626" max="15626" width="9.140625" style="224"/>
    <col min="15627" max="15627" width="16.7109375" style="224" customWidth="1"/>
    <col min="15628" max="15628" width="9.85546875" style="224" customWidth="1"/>
    <col min="15629" max="15629" width="2.5703125" style="224" bestFit="1" customWidth="1"/>
    <col min="15630" max="15630" width="9.140625" style="224"/>
    <col min="15631" max="15631" width="9" style="224" customWidth="1"/>
    <col min="15632" max="15872" width="9.140625" style="224"/>
    <col min="15873" max="15873" width="5.5703125" style="224" customWidth="1"/>
    <col min="15874" max="15874" width="44.7109375" style="224" customWidth="1"/>
    <col min="15875" max="15875" width="6.28515625" style="224" customWidth="1"/>
    <col min="15876" max="15876" width="7.5703125" style="224" customWidth="1"/>
    <col min="15877" max="15877" width="3" style="224" customWidth="1"/>
    <col min="15878" max="15878" width="20" style="224" customWidth="1"/>
    <col min="15879" max="15879" width="19.42578125" style="224" customWidth="1"/>
    <col min="15880" max="15880" width="11" style="224" customWidth="1"/>
    <col min="15881" max="15881" width="10.140625" style="224" customWidth="1"/>
    <col min="15882" max="15882" width="9.140625" style="224"/>
    <col min="15883" max="15883" width="16.7109375" style="224" customWidth="1"/>
    <col min="15884" max="15884" width="9.85546875" style="224" customWidth="1"/>
    <col min="15885" max="15885" width="2.5703125" style="224" bestFit="1" customWidth="1"/>
    <col min="15886" max="15886" width="9.140625" style="224"/>
    <col min="15887" max="15887" width="9" style="224" customWidth="1"/>
    <col min="15888" max="16128" width="9.140625" style="224"/>
    <col min="16129" max="16129" width="5.5703125" style="224" customWidth="1"/>
    <col min="16130" max="16130" width="44.7109375" style="224" customWidth="1"/>
    <col min="16131" max="16131" width="6.28515625" style="224" customWidth="1"/>
    <col min="16132" max="16132" width="7.5703125" style="224" customWidth="1"/>
    <col min="16133" max="16133" width="3" style="224" customWidth="1"/>
    <col min="16134" max="16134" width="20" style="224" customWidth="1"/>
    <col min="16135" max="16135" width="19.42578125" style="224" customWidth="1"/>
    <col min="16136" max="16136" width="11" style="224" customWidth="1"/>
    <col min="16137" max="16137" width="10.140625" style="224" customWidth="1"/>
    <col min="16138" max="16138" width="9.140625" style="224"/>
    <col min="16139" max="16139" width="16.7109375" style="224" customWidth="1"/>
    <col min="16140" max="16140" width="9.85546875" style="224" customWidth="1"/>
    <col min="16141" max="16141" width="2.5703125" style="224" bestFit="1" customWidth="1"/>
    <col min="16142" max="16142" width="9.140625" style="224"/>
    <col min="16143" max="16143" width="9" style="224" customWidth="1"/>
    <col min="16144" max="16384" width="9.140625" style="224"/>
  </cols>
  <sheetData>
    <row r="1" spans="1:15" s="213" customFormat="1" ht="18" x14ac:dyDescent="0.25">
      <c r="A1" s="212" t="s">
        <v>1445</v>
      </c>
      <c r="D1" s="603"/>
      <c r="E1" s="604"/>
      <c r="F1" s="605"/>
      <c r="G1" s="606"/>
      <c r="H1" s="607"/>
      <c r="I1" s="607"/>
      <c r="K1" s="605"/>
      <c r="L1" s="605"/>
      <c r="M1" s="319"/>
      <c r="N1" s="217"/>
    </row>
    <row r="2" spans="1:15" s="213" customFormat="1" ht="18" x14ac:dyDescent="0.25">
      <c r="A2" s="212"/>
      <c r="B2" s="212"/>
      <c r="D2" s="603"/>
      <c r="E2" s="604"/>
      <c r="F2" s="605"/>
      <c r="G2" s="606"/>
      <c r="H2" s="607"/>
      <c r="I2" s="607"/>
      <c r="K2" s="605"/>
      <c r="L2" s="605"/>
      <c r="M2" s="319"/>
      <c r="N2" s="217"/>
    </row>
    <row r="3" spans="1:15" s="213" customFormat="1" ht="18" x14ac:dyDescent="0.25">
      <c r="A3" s="212" t="s">
        <v>40</v>
      </c>
      <c r="B3" s="212" t="s">
        <v>1444</v>
      </c>
      <c r="D3" s="603"/>
      <c r="E3" s="604"/>
      <c r="F3" s="605"/>
      <c r="G3" s="606"/>
      <c r="H3" s="607"/>
      <c r="I3" s="607"/>
      <c r="K3" s="605"/>
      <c r="L3" s="605"/>
      <c r="M3" s="319"/>
      <c r="N3" s="217"/>
    </row>
    <row r="4" spans="1:15" s="213" customFormat="1" ht="18" x14ac:dyDescent="0.25">
      <c r="A4" s="212"/>
      <c r="B4" s="318"/>
      <c r="C4" s="212"/>
      <c r="D4" s="603"/>
      <c r="E4" s="604"/>
      <c r="F4" s="605"/>
      <c r="G4" s="606"/>
      <c r="H4" s="607"/>
      <c r="I4" s="607"/>
      <c r="K4" s="605"/>
      <c r="L4" s="605"/>
      <c r="M4" s="319"/>
      <c r="N4" s="217"/>
    </row>
    <row r="5" spans="1:15" s="330" customFormat="1" ht="19.5" thickBot="1" x14ac:dyDescent="0.3">
      <c r="A5" s="608" t="s">
        <v>1445</v>
      </c>
      <c r="B5" s="608"/>
      <c r="C5" s="608"/>
      <c r="D5" s="608"/>
      <c r="E5" s="608"/>
      <c r="F5" s="608"/>
      <c r="G5" s="609"/>
      <c r="H5" s="610"/>
      <c r="I5" s="610"/>
      <c r="K5" s="611"/>
      <c r="L5" s="611"/>
      <c r="M5" s="328"/>
      <c r="N5" s="329"/>
    </row>
    <row r="6" spans="1:15" s="213" customFormat="1" ht="18" x14ac:dyDescent="0.25">
      <c r="A6" s="212"/>
      <c r="B6" s="318"/>
      <c r="C6" s="212"/>
      <c r="D6" s="603"/>
      <c r="E6" s="604"/>
      <c r="F6" s="605"/>
      <c r="G6" s="606"/>
      <c r="H6" s="607"/>
      <c r="I6" s="607"/>
      <c r="K6" s="605"/>
      <c r="L6" s="605"/>
      <c r="M6" s="319"/>
      <c r="N6" s="217"/>
    </row>
    <row r="7" spans="1:15" s="616" customFormat="1" ht="12.75" customHeight="1" x14ac:dyDescent="0.25">
      <c r="A7" s="612" t="s">
        <v>991</v>
      </c>
      <c r="B7" s="613"/>
      <c r="C7" s="612"/>
      <c r="D7" s="612"/>
      <c r="E7" s="612"/>
      <c r="F7" s="614"/>
      <c r="G7" s="615"/>
      <c r="H7" s="260"/>
    </row>
    <row r="8" spans="1:15" s="375" customFormat="1" x14ac:dyDescent="0.25">
      <c r="A8" s="617"/>
      <c r="B8" s="618"/>
      <c r="C8" s="619"/>
      <c r="D8" s="620"/>
      <c r="E8" s="621"/>
      <c r="F8" s="621"/>
      <c r="G8" s="622"/>
      <c r="L8" s="623"/>
      <c r="N8" s="624"/>
      <c r="O8" s="624"/>
    </row>
    <row r="9" spans="1:15" s="369" customFormat="1" x14ac:dyDescent="0.25">
      <c r="A9" s="625"/>
      <c r="B9" s="626"/>
      <c r="D9" s="627"/>
      <c r="E9" s="628"/>
      <c r="F9" s="628"/>
      <c r="L9" s="616"/>
      <c r="N9" s="628"/>
      <c r="O9" s="628"/>
    </row>
    <row r="10" spans="1:15" s="633" customFormat="1" ht="30" x14ac:dyDescent="0.25">
      <c r="A10" s="750" t="s">
        <v>1045</v>
      </c>
      <c r="B10" s="629" t="s">
        <v>1056</v>
      </c>
      <c r="C10" s="630"/>
      <c r="D10" s="631"/>
      <c r="E10" s="630"/>
      <c r="F10" s="632">
        <f>ROUND('4.1'!G73,2)</f>
        <v>0</v>
      </c>
      <c r="G10" s="630"/>
    </row>
    <row r="11" spans="1:15" s="633" customFormat="1" ht="15" x14ac:dyDescent="0.25">
      <c r="A11" s="750"/>
      <c r="B11" s="629"/>
      <c r="C11" s="630"/>
      <c r="D11" s="631"/>
      <c r="E11" s="630"/>
      <c r="F11" s="632"/>
      <c r="G11" s="630"/>
    </row>
    <row r="12" spans="1:15" s="633" customFormat="1" ht="15" x14ac:dyDescent="0.25">
      <c r="A12" s="750" t="s">
        <v>1046</v>
      </c>
      <c r="B12" s="629" t="s">
        <v>1070</v>
      </c>
      <c r="C12" s="630"/>
      <c r="D12" s="631"/>
      <c r="E12" s="630"/>
      <c r="F12" s="632">
        <f>ROUND('4.2'!G44,2)</f>
        <v>0</v>
      </c>
      <c r="G12" s="630"/>
    </row>
    <row r="13" spans="1:15" s="633" customFormat="1" ht="15" x14ac:dyDescent="0.25">
      <c r="A13" s="750"/>
      <c r="B13" s="629"/>
      <c r="C13" s="630"/>
      <c r="D13" s="631"/>
      <c r="E13" s="630"/>
      <c r="F13" s="632"/>
      <c r="G13" s="630"/>
    </row>
    <row r="14" spans="1:15" s="633" customFormat="1" ht="15" x14ac:dyDescent="0.25">
      <c r="A14" s="750" t="s">
        <v>1047</v>
      </c>
      <c r="B14" s="629" t="s">
        <v>1088</v>
      </c>
      <c r="C14" s="630"/>
      <c r="D14" s="631"/>
      <c r="E14" s="630"/>
      <c r="F14" s="632">
        <f>ROUND('4.3'!G58,2)</f>
        <v>0</v>
      </c>
      <c r="G14" s="630"/>
    </row>
    <row r="15" spans="1:15" s="633" customFormat="1" ht="15" x14ac:dyDescent="0.25">
      <c r="A15" s="750"/>
      <c r="B15" s="629"/>
      <c r="C15" s="630"/>
      <c r="D15" s="631"/>
      <c r="E15" s="630"/>
      <c r="F15" s="632"/>
      <c r="G15" s="630"/>
    </row>
    <row r="16" spans="1:15" s="633" customFormat="1" ht="15" x14ac:dyDescent="0.25">
      <c r="A16" s="750" t="s">
        <v>1048</v>
      </c>
      <c r="B16" s="629" t="s">
        <v>1102</v>
      </c>
      <c r="C16" s="630"/>
      <c r="D16" s="631"/>
      <c r="E16" s="630"/>
      <c r="F16" s="632">
        <f>ROUND('4.4'!G45,2)</f>
        <v>0</v>
      </c>
      <c r="G16" s="630"/>
    </row>
    <row r="17" spans="1:15" s="633" customFormat="1" ht="15" x14ac:dyDescent="0.25">
      <c r="A17" s="750"/>
      <c r="C17" s="630"/>
      <c r="D17" s="631"/>
      <c r="E17" s="630"/>
      <c r="F17" s="632"/>
      <c r="G17" s="630"/>
    </row>
    <row r="18" spans="1:15" s="633" customFormat="1" ht="15" customHeight="1" x14ac:dyDescent="0.25">
      <c r="A18" s="750" t="s">
        <v>1049</v>
      </c>
      <c r="B18" s="629" t="s">
        <v>1121</v>
      </c>
      <c r="C18" s="630"/>
      <c r="D18" s="631"/>
      <c r="E18" s="630"/>
      <c r="F18" s="632">
        <f>ROUND('4.5'!G58,2)</f>
        <v>0</v>
      </c>
      <c r="G18" s="630"/>
    </row>
    <row r="19" spans="1:15" s="633" customFormat="1" ht="15" x14ac:dyDescent="0.25">
      <c r="A19" s="750"/>
      <c r="C19" s="630"/>
      <c r="D19" s="631"/>
      <c r="E19" s="630"/>
      <c r="F19" s="632"/>
      <c r="G19" s="630"/>
    </row>
    <row r="20" spans="1:15" s="633" customFormat="1" ht="15" x14ac:dyDescent="0.25">
      <c r="A20" s="750" t="s">
        <v>1050</v>
      </c>
      <c r="B20" s="629" t="s">
        <v>1260</v>
      </c>
      <c r="C20" s="630"/>
      <c r="D20" s="631"/>
      <c r="E20" s="630"/>
      <c r="F20" s="632">
        <f>ROUND('4.6'!G216,2)</f>
        <v>0</v>
      </c>
      <c r="G20" s="630"/>
    </row>
    <row r="21" spans="1:15" s="633" customFormat="1" ht="15" x14ac:dyDescent="0.25">
      <c r="A21" s="750"/>
      <c r="C21" s="630"/>
      <c r="D21" s="631"/>
      <c r="E21" s="630"/>
      <c r="F21" s="632"/>
      <c r="G21" s="630"/>
    </row>
    <row r="22" spans="1:15" s="633" customFormat="1" ht="15" x14ac:dyDescent="0.25">
      <c r="A22" s="750" t="s">
        <v>1051</v>
      </c>
      <c r="B22" s="629" t="s">
        <v>753</v>
      </c>
      <c r="C22" s="630"/>
      <c r="D22" s="631"/>
      <c r="E22" s="630"/>
      <c r="F22" s="632">
        <f>+'4.7'!G236</f>
        <v>0</v>
      </c>
      <c r="G22" s="630"/>
    </row>
    <row r="23" spans="1:15" s="633" customFormat="1" ht="15" x14ac:dyDescent="0.25">
      <c r="A23" s="750"/>
      <c r="C23" s="630"/>
      <c r="D23" s="631"/>
      <c r="E23" s="630"/>
      <c r="F23" s="632"/>
      <c r="G23" s="630"/>
    </row>
    <row r="24" spans="1:15" s="633" customFormat="1" ht="15" x14ac:dyDescent="0.25">
      <c r="A24" s="750" t="s">
        <v>1052</v>
      </c>
      <c r="B24" s="629" t="s">
        <v>1343</v>
      </c>
      <c r="C24" s="630"/>
      <c r="D24" s="631"/>
      <c r="E24" s="630"/>
      <c r="F24" s="632">
        <f>ROUND('4.8'!G209,2)</f>
        <v>0</v>
      </c>
      <c r="G24" s="630"/>
    </row>
    <row r="25" spans="1:15" s="633" customFormat="1" ht="15" x14ac:dyDescent="0.25">
      <c r="A25" s="750"/>
      <c r="C25" s="630"/>
      <c r="D25" s="631"/>
      <c r="E25" s="630"/>
      <c r="F25" s="632"/>
      <c r="G25" s="630"/>
    </row>
    <row r="26" spans="1:15" s="633" customFormat="1" ht="15" x14ac:dyDescent="0.25">
      <c r="A26" s="750" t="s">
        <v>1053</v>
      </c>
      <c r="B26" s="629" t="s">
        <v>1440</v>
      </c>
      <c r="C26" s="630"/>
      <c r="D26" s="631"/>
      <c r="E26" s="630"/>
      <c r="F26" s="632">
        <f>+'4.9'!G112</f>
        <v>0</v>
      </c>
      <c r="G26" s="630"/>
    </row>
    <row r="27" spans="1:15" s="633" customFormat="1" ht="15" x14ac:dyDescent="0.25">
      <c r="A27" s="750"/>
      <c r="C27" s="630"/>
      <c r="D27" s="631"/>
      <c r="E27" s="630"/>
      <c r="F27" s="632"/>
      <c r="G27" s="630"/>
    </row>
    <row r="28" spans="1:15" s="633" customFormat="1" ht="15" x14ac:dyDescent="0.25">
      <c r="A28" s="750" t="s">
        <v>1054</v>
      </c>
      <c r="B28" s="629" t="s">
        <v>1446</v>
      </c>
      <c r="C28" s="630"/>
      <c r="D28" s="631"/>
      <c r="E28" s="630"/>
      <c r="F28" s="632">
        <f>ROUND('4.10'!G43,2)</f>
        <v>0</v>
      </c>
      <c r="G28" s="630"/>
    </row>
    <row r="29" spans="1:15" s="633" customFormat="1" ht="15" x14ac:dyDescent="0.25">
      <c r="A29" s="750"/>
      <c r="C29" s="630"/>
      <c r="D29" s="631"/>
      <c r="E29" s="630"/>
      <c r="F29" s="632"/>
      <c r="G29" s="630"/>
    </row>
    <row r="30" spans="1:15" s="633" customFormat="1" ht="15" x14ac:dyDescent="0.25">
      <c r="A30" s="750" t="s">
        <v>1055</v>
      </c>
      <c r="B30" s="629" t="s">
        <v>1430</v>
      </c>
      <c r="C30" s="630"/>
      <c r="D30" s="631"/>
      <c r="E30" s="630"/>
      <c r="F30" s="632">
        <f>ROUND('4.11'!G64,2)</f>
        <v>0</v>
      </c>
      <c r="G30" s="630"/>
    </row>
    <row r="31" spans="1:15" s="633" customFormat="1" ht="15.75" thickBot="1" x14ac:dyDescent="0.3">
      <c r="A31" s="634"/>
      <c r="B31" s="635"/>
      <c r="C31" s="636"/>
      <c r="D31" s="637"/>
      <c r="E31" s="636"/>
      <c r="F31" s="638"/>
      <c r="G31" s="630"/>
    </row>
    <row r="32" spans="1:15" s="260" customFormat="1" thickTop="1" x14ac:dyDescent="0.25">
      <c r="A32" s="639"/>
      <c r="B32" s="640"/>
      <c r="C32" s="641"/>
      <c r="D32" s="642"/>
      <c r="E32" s="642"/>
      <c r="F32" s="643"/>
      <c r="G32" s="615"/>
      <c r="O32" s="644"/>
    </row>
    <row r="33" spans="1:7" s="633" customFormat="1" ht="15" x14ac:dyDescent="0.25">
      <c r="A33" s="645"/>
      <c r="B33" s="646"/>
      <c r="C33" s="630"/>
      <c r="D33" s="631" t="s">
        <v>992</v>
      </c>
      <c r="E33" s="630"/>
      <c r="F33" s="632">
        <f>ROUND(SUM(F10:F30),2)</f>
        <v>0</v>
      </c>
      <c r="G33" s="647"/>
    </row>
    <row r="34" spans="1:7" s="260" customFormat="1" ht="12" x14ac:dyDescent="0.25">
      <c r="A34" s="615"/>
      <c r="B34" s="648"/>
      <c r="C34" s="615"/>
      <c r="D34" s="649"/>
      <c r="E34" s="612"/>
      <c r="F34" s="612"/>
      <c r="G34" s="615"/>
    </row>
    <row r="35" spans="1:7" s="246" customFormat="1" ht="12" x14ac:dyDescent="0.25">
      <c r="A35" s="261"/>
      <c r="B35" s="268"/>
      <c r="C35" s="261"/>
      <c r="D35" s="242"/>
      <c r="E35" s="218"/>
      <c r="F35" s="218"/>
      <c r="G35" s="261"/>
    </row>
    <row r="36" spans="1:7" s="246" customFormat="1" ht="12" x14ac:dyDescent="0.25">
      <c r="A36" s="261"/>
      <c r="B36" s="268"/>
      <c r="C36" s="261"/>
      <c r="D36" s="242"/>
      <c r="E36" s="218"/>
      <c r="F36" s="218"/>
      <c r="G36" s="261"/>
    </row>
    <row r="37" spans="1:7" s="246" customFormat="1" ht="12" x14ac:dyDescent="0.25">
      <c r="A37" s="261"/>
      <c r="B37" s="268"/>
      <c r="C37" s="261"/>
      <c r="D37" s="242"/>
      <c r="E37" s="218"/>
      <c r="F37" s="218"/>
      <c r="G37" s="261"/>
    </row>
    <row r="38" spans="1:7" s="246" customFormat="1" ht="12" x14ac:dyDescent="0.25">
      <c r="A38" s="261"/>
      <c r="B38" s="268"/>
      <c r="C38" s="261"/>
      <c r="D38" s="242"/>
      <c r="E38" s="218"/>
      <c r="F38" s="218"/>
      <c r="G38" s="261"/>
    </row>
    <row r="39" spans="1:7" s="246" customFormat="1" ht="12" x14ac:dyDescent="0.25">
      <c r="A39" s="261"/>
      <c r="B39" s="268"/>
      <c r="C39" s="261"/>
      <c r="D39" s="242"/>
      <c r="E39" s="218"/>
      <c r="F39" s="218"/>
      <c r="G39" s="261"/>
    </row>
    <row r="40" spans="1:7" s="246" customFormat="1" ht="12" x14ac:dyDescent="0.25">
      <c r="A40" s="261"/>
      <c r="B40" s="268"/>
      <c r="C40" s="261"/>
      <c r="D40" s="242"/>
      <c r="E40" s="218"/>
      <c r="F40" s="218"/>
      <c r="G40" s="261"/>
    </row>
    <row r="41" spans="1:7" s="246" customFormat="1" ht="12" x14ac:dyDescent="0.25">
      <c r="A41" s="261"/>
      <c r="B41" s="268"/>
      <c r="C41" s="261"/>
      <c r="D41" s="242"/>
      <c r="E41" s="218"/>
      <c r="F41" s="218"/>
      <c r="G41" s="261"/>
    </row>
    <row r="42" spans="1:7" s="246" customFormat="1" ht="12" x14ac:dyDescent="0.25">
      <c r="A42" s="261"/>
      <c r="B42" s="268"/>
      <c r="C42" s="261"/>
      <c r="D42" s="242"/>
      <c r="E42" s="218"/>
      <c r="F42" s="218"/>
      <c r="G42" s="261"/>
    </row>
    <row r="43" spans="1:7" s="246" customFormat="1" ht="12" x14ac:dyDescent="0.25">
      <c r="A43" s="261"/>
      <c r="B43" s="268"/>
      <c r="C43" s="261"/>
      <c r="D43" s="242"/>
      <c r="E43" s="218"/>
      <c r="F43" s="218"/>
      <c r="G43" s="261"/>
    </row>
    <row r="44" spans="1:7" s="246" customFormat="1" ht="12" x14ac:dyDescent="0.25">
      <c r="A44" s="261"/>
      <c r="B44" s="268"/>
      <c r="C44" s="261"/>
      <c r="D44" s="242"/>
      <c r="E44" s="218"/>
      <c r="F44" s="218"/>
      <c r="G44" s="261"/>
    </row>
    <row r="45" spans="1:7" s="246" customFormat="1" ht="12" x14ac:dyDescent="0.25">
      <c r="A45" s="261"/>
      <c r="B45" s="268"/>
      <c r="C45" s="261"/>
      <c r="D45" s="242"/>
      <c r="E45" s="218"/>
      <c r="F45" s="218"/>
      <c r="G45" s="261"/>
    </row>
    <row r="46" spans="1:7" s="246" customFormat="1" ht="12" x14ac:dyDescent="0.25">
      <c r="A46" s="261"/>
      <c r="B46" s="268"/>
      <c r="C46" s="261"/>
      <c r="D46" s="242"/>
      <c r="E46" s="218"/>
      <c r="F46" s="218"/>
      <c r="G46" s="261"/>
    </row>
    <row r="47" spans="1:7" s="246" customFormat="1" ht="12" x14ac:dyDescent="0.25">
      <c r="A47" s="261"/>
      <c r="B47" s="268"/>
      <c r="C47" s="261"/>
      <c r="D47" s="242"/>
      <c r="E47" s="218"/>
      <c r="F47" s="218"/>
      <c r="G47" s="261"/>
    </row>
    <row r="48" spans="1:7" s="246" customFormat="1" ht="12" x14ac:dyDescent="0.25">
      <c r="A48" s="261"/>
      <c r="B48" s="268"/>
      <c r="C48" s="261"/>
      <c r="D48" s="242"/>
      <c r="E48" s="218"/>
      <c r="F48" s="218"/>
      <c r="G48" s="261"/>
    </row>
    <row r="49" spans="1:7" s="246" customFormat="1" ht="12" x14ac:dyDescent="0.25">
      <c r="A49" s="261"/>
      <c r="B49" s="268"/>
      <c r="C49" s="261"/>
      <c r="D49" s="242"/>
      <c r="E49" s="218"/>
      <c r="F49" s="218"/>
      <c r="G49" s="261"/>
    </row>
    <row r="50" spans="1:7" s="246" customFormat="1" ht="12" x14ac:dyDescent="0.25">
      <c r="A50" s="261"/>
      <c r="B50" s="268"/>
      <c r="C50" s="261"/>
      <c r="D50" s="242"/>
      <c r="E50" s="218"/>
      <c r="F50" s="218"/>
      <c r="G50" s="261"/>
    </row>
    <row r="51" spans="1:7" s="246" customFormat="1" ht="12" x14ac:dyDescent="0.25">
      <c r="A51" s="261"/>
      <c r="B51" s="268"/>
      <c r="C51" s="261"/>
      <c r="D51" s="242"/>
      <c r="E51" s="218"/>
      <c r="F51" s="218"/>
      <c r="G51" s="261"/>
    </row>
    <row r="52" spans="1:7" s="246" customFormat="1" ht="12" x14ac:dyDescent="0.25">
      <c r="A52" s="261"/>
      <c r="B52" s="268"/>
      <c r="C52" s="261"/>
      <c r="D52" s="242"/>
      <c r="E52" s="218"/>
      <c r="F52" s="218"/>
      <c r="G52" s="261"/>
    </row>
    <row r="53" spans="1:7" s="246" customFormat="1" ht="12" x14ac:dyDescent="0.25">
      <c r="A53" s="261"/>
      <c r="B53" s="268"/>
      <c r="C53" s="261"/>
      <c r="D53" s="242"/>
      <c r="E53" s="218"/>
      <c r="F53" s="218"/>
      <c r="G53" s="261"/>
    </row>
    <row r="54" spans="1:7" s="246" customFormat="1" ht="12" x14ac:dyDescent="0.25">
      <c r="A54" s="261"/>
      <c r="B54" s="268"/>
      <c r="C54" s="261"/>
      <c r="D54" s="242"/>
      <c r="E54" s="218"/>
      <c r="F54" s="218"/>
      <c r="G54" s="261"/>
    </row>
    <row r="55" spans="1:7" s="246" customFormat="1" ht="12" x14ac:dyDescent="0.25">
      <c r="A55" s="261"/>
      <c r="B55" s="268"/>
      <c r="C55" s="261"/>
      <c r="D55" s="242"/>
      <c r="E55" s="218"/>
      <c r="F55" s="218"/>
      <c r="G55" s="261"/>
    </row>
    <row r="56" spans="1:7" s="246" customFormat="1" ht="12" x14ac:dyDescent="0.25">
      <c r="A56" s="261"/>
      <c r="B56" s="268"/>
      <c r="C56" s="261"/>
      <c r="D56" s="242"/>
      <c r="E56" s="218"/>
      <c r="F56" s="218"/>
      <c r="G56" s="261"/>
    </row>
    <row r="57" spans="1:7" s="246" customFormat="1" ht="12" x14ac:dyDescent="0.25">
      <c r="A57" s="261"/>
      <c r="B57" s="268"/>
      <c r="C57" s="261"/>
      <c r="D57" s="242"/>
      <c r="E57" s="218"/>
      <c r="F57" s="218"/>
      <c r="G57" s="261"/>
    </row>
    <row r="58" spans="1:7" s="246" customFormat="1" ht="12" x14ac:dyDescent="0.25">
      <c r="A58" s="261"/>
      <c r="B58" s="268"/>
      <c r="C58" s="261"/>
      <c r="D58" s="242"/>
      <c r="E58" s="218"/>
      <c r="F58" s="218"/>
      <c r="G58" s="261"/>
    </row>
    <row r="59" spans="1:7" s="246" customFormat="1" ht="12" x14ac:dyDescent="0.25">
      <c r="A59" s="261"/>
      <c r="B59" s="268"/>
      <c r="C59" s="261"/>
      <c r="D59" s="242"/>
      <c r="E59" s="218"/>
      <c r="F59" s="218"/>
      <c r="G59" s="261"/>
    </row>
    <row r="60" spans="1:7" s="246" customFormat="1" ht="12" x14ac:dyDescent="0.25">
      <c r="A60" s="261"/>
      <c r="B60" s="268"/>
      <c r="C60" s="261"/>
      <c r="D60" s="242"/>
      <c r="E60" s="218"/>
      <c r="F60" s="218"/>
      <c r="G60" s="261"/>
    </row>
    <row r="61" spans="1:7" s="246" customFormat="1" ht="12" x14ac:dyDescent="0.25">
      <c r="A61" s="261"/>
      <c r="B61" s="268"/>
      <c r="C61" s="261"/>
      <c r="D61" s="242"/>
      <c r="E61" s="218"/>
      <c r="F61" s="218"/>
      <c r="G61" s="261"/>
    </row>
    <row r="62" spans="1:7" s="246" customFormat="1" ht="12" x14ac:dyDescent="0.25">
      <c r="A62" s="261"/>
      <c r="B62" s="268"/>
      <c r="C62" s="261"/>
      <c r="D62" s="242"/>
      <c r="E62" s="218"/>
      <c r="F62" s="218"/>
      <c r="G62" s="261"/>
    </row>
    <row r="63" spans="1:7" s="246" customFormat="1" ht="12" x14ac:dyDescent="0.25">
      <c r="A63" s="261"/>
      <c r="B63" s="268"/>
      <c r="C63" s="261"/>
      <c r="D63" s="242"/>
      <c r="E63" s="218"/>
      <c r="F63" s="218"/>
      <c r="G63" s="261"/>
    </row>
    <row r="64" spans="1:7" s="246" customFormat="1" ht="12" x14ac:dyDescent="0.25">
      <c r="A64" s="261"/>
      <c r="B64" s="268"/>
      <c r="C64" s="261"/>
      <c r="D64" s="242"/>
      <c r="E64" s="218"/>
      <c r="F64" s="218"/>
      <c r="G64" s="261"/>
    </row>
    <row r="65" spans="1:7" s="246" customFormat="1" ht="12" x14ac:dyDescent="0.25">
      <c r="A65" s="261"/>
      <c r="B65" s="268"/>
      <c r="C65" s="261"/>
      <c r="D65" s="242"/>
      <c r="E65" s="218"/>
      <c r="F65" s="218"/>
      <c r="G65" s="261"/>
    </row>
    <row r="66" spans="1:7" s="246" customFormat="1" ht="12" x14ac:dyDescent="0.25">
      <c r="A66" s="261"/>
      <c r="B66" s="268"/>
      <c r="C66" s="261"/>
      <c r="D66" s="242"/>
      <c r="E66" s="218"/>
      <c r="F66" s="218"/>
      <c r="G66" s="261"/>
    </row>
    <row r="67" spans="1:7" s="246" customFormat="1" ht="12" x14ac:dyDescent="0.25">
      <c r="A67" s="261"/>
      <c r="B67" s="268"/>
      <c r="C67" s="261"/>
      <c r="D67" s="242"/>
      <c r="E67" s="218"/>
      <c r="F67" s="218"/>
      <c r="G67" s="261"/>
    </row>
    <row r="68" spans="1:7" s="246" customFormat="1" ht="12" x14ac:dyDescent="0.25">
      <c r="A68" s="261"/>
      <c r="B68" s="268"/>
      <c r="C68" s="261"/>
      <c r="D68" s="242"/>
      <c r="E68" s="218"/>
      <c r="F68" s="218"/>
      <c r="G68" s="261"/>
    </row>
    <row r="69" spans="1:7" s="246" customFormat="1" ht="12" x14ac:dyDescent="0.25">
      <c r="A69" s="261"/>
      <c r="B69" s="268"/>
      <c r="C69" s="261"/>
      <c r="D69" s="242"/>
      <c r="E69" s="218"/>
      <c r="F69" s="218"/>
      <c r="G69" s="261"/>
    </row>
    <row r="70" spans="1:7" s="246" customFormat="1" ht="12" x14ac:dyDescent="0.25">
      <c r="A70" s="261"/>
      <c r="B70" s="268"/>
      <c r="C70" s="261"/>
      <c r="D70" s="242"/>
      <c r="E70" s="218"/>
      <c r="F70" s="218"/>
      <c r="G70" s="261"/>
    </row>
    <row r="71" spans="1:7" s="246" customFormat="1" ht="12" x14ac:dyDescent="0.25">
      <c r="A71" s="261"/>
      <c r="B71" s="268"/>
      <c r="C71" s="261"/>
      <c r="D71" s="242"/>
      <c r="E71" s="218"/>
      <c r="F71" s="218"/>
      <c r="G71" s="261"/>
    </row>
    <row r="72" spans="1:7" s="246" customFormat="1" ht="12" x14ac:dyDescent="0.25">
      <c r="A72" s="261"/>
      <c r="B72" s="268"/>
      <c r="C72" s="261"/>
      <c r="D72" s="242"/>
      <c r="E72" s="218"/>
      <c r="F72" s="218"/>
      <c r="G72" s="261"/>
    </row>
    <row r="73" spans="1:7" s="246" customFormat="1" ht="12" x14ac:dyDescent="0.25">
      <c r="A73" s="261"/>
      <c r="B73" s="268"/>
      <c r="C73" s="261"/>
      <c r="D73" s="242"/>
      <c r="E73" s="218"/>
      <c r="F73" s="218"/>
      <c r="G73" s="261"/>
    </row>
    <row r="74" spans="1:7" s="246" customFormat="1" ht="12" x14ac:dyDescent="0.25">
      <c r="A74" s="261"/>
      <c r="B74" s="268"/>
      <c r="C74" s="261"/>
      <c r="D74" s="242"/>
      <c r="E74" s="218"/>
      <c r="F74" s="218"/>
      <c r="G74" s="261"/>
    </row>
    <row r="75" spans="1:7" s="246" customFormat="1" ht="12" x14ac:dyDescent="0.25">
      <c r="A75" s="261"/>
      <c r="B75" s="268"/>
      <c r="C75" s="261"/>
      <c r="D75" s="242"/>
      <c r="E75" s="218"/>
      <c r="F75" s="218"/>
      <c r="G75" s="261"/>
    </row>
    <row r="76" spans="1:7" s="246" customFormat="1" ht="12" x14ac:dyDescent="0.25">
      <c r="A76" s="261"/>
      <c r="B76" s="268"/>
      <c r="C76" s="261"/>
      <c r="D76" s="242"/>
      <c r="E76" s="218"/>
      <c r="F76" s="218"/>
      <c r="G76" s="261"/>
    </row>
    <row r="77" spans="1:7" s="246" customFormat="1" ht="12" x14ac:dyDescent="0.25">
      <c r="A77" s="261"/>
      <c r="B77" s="268"/>
      <c r="C77" s="261"/>
      <c r="D77" s="242"/>
      <c r="E77" s="218"/>
      <c r="F77" s="218"/>
      <c r="G77" s="261"/>
    </row>
    <row r="78" spans="1:7" s="246" customFormat="1" ht="12" x14ac:dyDescent="0.25">
      <c r="A78" s="261"/>
      <c r="B78" s="268"/>
      <c r="C78" s="261"/>
      <c r="D78" s="242"/>
      <c r="E78" s="218"/>
      <c r="F78" s="218"/>
      <c r="G78" s="261"/>
    </row>
    <row r="79" spans="1:7" s="246" customFormat="1" ht="12" x14ac:dyDescent="0.25">
      <c r="A79" s="261"/>
      <c r="B79" s="268"/>
      <c r="C79" s="261"/>
      <c r="D79" s="242"/>
      <c r="E79" s="218"/>
      <c r="F79" s="218"/>
      <c r="G79" s="261"/>
    </row>
    <row r="80" spans="1:7" s="246" customFormat="1" ht="12" x14ac:dyDescent="0.25">
      <c r="A80" s="261"/>
      <c r="B80" s="268"/>
      <c r="C80" s="261"/>
      <c r="D80" s="242"/>
      <c r="E80" s="218"/>
      <c r="F80" s="218"/>
      <c r="G80" s="261"/>
    </row>
    <row r="81" spans="1:7" s="246" customFormat="1" ht="12" x14ac:dyDescent="0.25">
      <c r="A81" s="261"/>
      <c r="B81" s="268"/>
      <c r="C81" s="261"/>
      <c r="D81" s="242"/>
      <c r="E81" s="218"/>
      <c r="F81" s="218"/>
      <c r="G81" s="261"/>
    </row>
    <row r="82" spans="1:7" s="246" customFormat="1" ht="12" x14ac:dyDescent="0.25">
      <c r="A82" s="261"/>
      <c r="B82" s="268"/>
      <c r="C82" s="261"/>
      <c r="D82" s="242"/>
      <c r="E82" s="218"/>
      <c r="F82" s="218"/>
      <c r="G82" s="261"/>
    </row>
    <row r="83" spans="1:7" s="246" customFormat="1" ht="12" x14ac:dyDescent="0.25">
      <c r="A83" s="261"/>
      <c r="B83" s="268"/>
      <c r="C83" s="261"/>
      <c r="D83" s="242"/>
      <c r="E83" s="218"/>
      <c r="F83" s="218"/>
      <c r="G83" s="261"/>
    </row>
    <row r="84" spans="1:7" s="246" customFormat="1" ht="12" x14ac:dyDescent="0.25">
      <c r="A84" s="261"/>
      <c r="B84" s="268"/>
      <c r="C84" s="261"/>
      <c r="D84" s="242"/>
      <c r="E84" s="218"/>
      <c r="F84" s="218"/>
      <c r="G84" s="261"/>
    </row>
    <row r="85" spans="1:7" s="246" customFormat="1" ht="12" x14ac:dyDescent="0.25">
      <c r="A85" s="261"/>
      <c r="B85" s="268"/>
      <c r="C85" s="261"/>
      <c r="D85" s="242"/>
      <c r="E85" s="218"/>
      <c r="F85" s="218"/>
      <c r="G85" s="261"/>
    </row>
    <row r="86" spans="1:7" s="246" customFormat="1" ht="12" x14ac:dyDescent="0.25">
      <c r="A86" s="261"/>
      <c r="B86" s="268"/>
      <c r="C86" s="261"/>
      <c r="D86" s="242"/>
      <c r="E86" s="218"/>
      <c r="F86" s="218"/>
      <c r="G86" s="261"/>
    </row>
    <row r="87" spans="1:7" s="246" customFormat="1" ht="12" x14ac:dyDescent="0.25">
      <c r="A87" s="261"/>
      <c r="B87" s="268"/>
      <c r="C87" s="261"/>
      <c r="D87" s="242"/>
      <c r="E87" s="218"/>
      <c r="F87" s="218"/>
      <c r="G87" s="261"/>
    </row>
    <row r="88" spans="1:7" s="246" customFormat="1" ht="12" x14ac:dyDescent="0.25">
      <c r="A88" s="261"/>
      <c r="B88" s="268"/>
      <c r="C88" s="261"/>
      <c r="D88" s="242"/>
      <c r="E88" s="218"/>
      <c r="F88" s="218"/>
      <c r="G88" s="261"/>
    </row>
    <row r="89" spans="1:7" s="246" customFormat="1" ht="12" x14ac:dyDescent="0.25">
      <c r="A89" s="261"/>
      <c r="B89" s="268"/>
      <c r="C89" s="261"/>
      <c r="D89" s="242"/>
      <c r="E89" s="218"/>
      <c r="F89" s="218"/>
      <c r="G89" s="261"/>
    </row>
    <row r="90" spans="1:7" s="246" customFormat="1" ht="12" x14ac:dyDescent="0.25">
      <c r="A90" s="261"/>
      <c r="B90" s="268"/>
      <c r="C90" s="261"/>
      <c r="D90" s="242"/>
      <c r="E90" s="218"/>
      <c r="F90" s="218"/>
      <c r="G90" s="261"/>
    </row>
    <row r="91" spans="1:7" s="246" customFormat="1" ht="12" x14ac:dyDescent="0.25">
      <c r="A91" s="261"/>
      <c r="B91" s="268"/>
      <c r="C91" s="261"/>
      <c r="D91" s="242"/>
      <c r="E91" s="218"/>
      <c r="F91" s="218"/>
      <c r="G91" s="261"/>
    </row>
    <row r="92" spans="1:7" s="246" customFormat="1" ht="12" x14ac:dyDescent="0.25">
      <c r="A92" s="261"/>
      <c r="B92" s="268"/>
      <c r="C92" s="261"/>
      <c r="D92" s="242"/>
      <c r="E92" s="218"/>
      <c r="F92" s="218"/>
      <c r="G92" s="261"/>
    </row>
    <row r="93" spans="1:7" s="246" customFormat="1" ht="12" x14ac:dyDescent="0.25">
      <c r="A93" s="261"/>
      <c r="B93" s="268"/>
      <c r="C93" s="261"/>
      <c r="D93" s="242"/>
      <c r="E93" s="218"/>
      <c r="F93" s="218"/>
      <c r="G93" s="261"/>
    </row>
    <row r="94" spans="1:7" s="246" customFormat="1" ht="12" x14ac:dyDescent="0.25">
      <c r="A94" s="261"/>
      <c r="B94" s="268"/>
      <c r="C94" s="261"/>
      <c r="D94" s="242"/>
      <c r="E94" s="218"/>
      <c r="F94" s="218"/>
      <c r="G94" s="261"/>
    </row>
    <row r="95" spans="1:7" s="246" customFormat="1" ht="12" x14ac:dyDescent="0.25">
      <c r="A95" s="261"/>
      <c r="B95" s="268"/>
      <c r="C95" s="261"/>
      <c r="D95" s="242"/>
      <c r="E95" s="218"/>
      <c r="F95" s="218"/>
      <c r="G95" s="261"/>
    </row>
    <row r="96" spans="1:7" s="246" customFormat="1" ht="12" x14ac:dyDescent="0.25">
      <c r="A96" s="261"/>
      <c r="B96" s="268"/>
      <c r="C96" s="261"/>
      <c r="D96" s="242"/>
      <c r="E96" s="218"/>
      <c r="F96" s="218"/>
      <c r="G96" s="261"/>
    </row>
    <row r="97" spans="1:7" s="246" customFormat="1" ht="12" x14ac:dyDescent="0.25">
      <c r="A97" s="261"/>
      <c r="B97" s="268"/>
      <c r="C97" s="261"/>
      <c r="D97" s="242"/>
      <c r="E97" s="218"/>
      <c r="F97" s="218"/>
      <c r="G97" s="261"/>
    </row>
    <row r="98" spans="1:7" s="246" customFormat="1" ht="12" x14ac:dyDescent="0.25">
      <c r="A98" s="261"/>
      <c r="B98" s="268"/>
      <c r="C98" s="261"/>
      <c r="D98" s="242"/>
      <c r="E98" s="218"/>
      <c r="F98" s="218"/>
      <c r="G98" s="261"/>
    </row>
    <row r="99" spans="1:7" s="246" customFormat="1" ht="12" x14ac:dyDescent="0.25">
      <c r="A99" s="261"/>
      <c r="B99" s="268"/>
      <c r="C99" s="261"/>
      <c r="D99" s="242"/>
      <c r="E99" s="218"/>
      <c r="F99" s="218"/>
      <c r="G99" s="261"/>
    </row>
    <row r="100" spans="1:7" s="246" customFormat="1" ht="12" x14ac:dyDescent="0.25">
      <c r="A100" s="261"/>
      <c r="B100" s="268"/>
      <c r="C100" s="261"/>
      <c r="D100" s="242"/>
      <c r="E100" s="218"/>
      <c r="F100" s="218"/>
      <c r="G100" s="261"/>
    </row>
    <row r="101" spans="1:7" s="246" customFormat="1" ht="12" x14ac:dyDescent="0.25">
      <c r="A101" s="261"/>
      <c r="B101" s="268"/>
      <c r="C101" s="261"/>
      <c r="D101" s="242"/>
      <c r="E101" s="218"/>
      <c r="F101" s="218"/>
      <c r="G101" s="261"/>
    </row>
    <row r="102" spans="1:7" s="246" customFormat="1" ht="12" x14ac:dyDescent="0.25">
      <c r="A102" s="261"/>
      <c r="B102" s="268"/>
      <c r="C102" s="261"/>
      <c r="D102" s="242"/>
      <c r="E102" s="218"/>
      <c r="F102" s="218"/>
      <c r="G102" s="261"/>
    </row>
    <row r="103" spans="1:7" s="246" customFormat="1" ht="12" x14ac:dyDescent="0.25">
      <c r="A103" s="261"/>
      <c r="B103" s="268"/>
      <c r="C103" s="261"/>
      <c r="D103" s="242"/>
      <c r="E103" s="218"/>
      <c r="F103" s="218"/>
      <c r="G103" s="261"/>
    </row>
    <row r="104" spans="1:7" s="246" customFormat="1" ht="12" x14ac:dyDescent="0.25">
      <c r="A104" s="261"/>
      <c r="B104" s="268"/>
      <c r="C104" s="261"/>
      <c r="D104" s="242"/>
      <c r="E104" s="218"/>
      <c r="F104" s="218"/>
      <c r="G104" s="261"/>
    </row>
    <row r="105" spans="1:7" s="246" customFormat="1" ht="12" x14ac:dyDescent="0.25">
      <c r="A105" s="261"/>
      <c r="B105" s="268"/>
      <c r="C105" s="261"/>
      <c r="D105" s="242"/>
      <c r="E105" s="218"/>
      <c r="F105" s="218"/>
      <c r="G105" s="261"/>
    </row>
    <row r="106" spans="1:7" s="246" customFormat="1" ht="12" x14ac:dyDescent="0.25">
      <c r="A106" s="261"/>
      <c r="B106" s="268"/>
      <c r="C106" s="261"/>
      <c r="D106" s="242"/>
      <c r="E106" s="218"/>
      <c r="F106" s="218"/>
      <c r="G106" s="261"/>
    </row>
    <row r="107" spans="1:7" s="246" customFormat="1" ht="12" x14ac:dyDescent="0.25">
      <c r="A107" s="261"/>
      <c r="B107" s="268"/>
      <c r="C107" s="261"/>
      <c r="D107" s="242"/>
      <c r="E107" s="218"/>
      <c r="F107" s="218"/>
      <c r="G107" s="261"/>
    </row>
    <row r="108" spans="1:7" s="246" customFormat="1" ht="12" x14ac:dyDescent="0.25">
      <c r="A108" s="261"/>
      <c r="B108" s="268"/>
      <c r="C108" s="261"/>
      <c r="D108" s="242"/>
      <c r="E108" s="218"/>
      <c r="F108" s="218"/>
      <c r="G108" s="261"/>
    </row>
    <row r="109" spans="1:7" s="246" customFormat="1" ht="12" x14ac:dyDescent="0.25">
      <c r="A109" s="261"/>
      <c r="B109" s="268"/>
      <c r="C109" s="261"/>
      <c r="D109" s="242"/>
      <c r="E109" s="218"/>
      <c r="F109" s="218"/>
      <c r="G109" s="261"/>
    </row>
    <row r="110" spans="1:7" s="246" customFormat="1" ht="12" x14ac:dyDescent="0.25">
      <c r="A110" s="261"/>
      <c r="B110" s="268"/>
      <c r="C110" s="261"/>
      <c r="D110" s="242"/>
      <c r="E110" s="218"/>
      <c r="F110" s="218"/>
      <c r="G110" s="261"/>
    </row>
    <row r="111" spans="1:7" s="246" customFormat="1" ht="12" x14ac:dyDescent="0.25">
      <c r="A111" s="261"/>
      <c r="B111" s="268"/>
      <c r="C111" s="261"/>
      <c r="D111" s="242"/>
      <c r="E111" s="218"/>
      <c r="F111" s="218"/>
      <c r="G111" s="261"/>
    </row>
    <row r="112" spans="1:7" s="246" customFormat="1" ht="12" x14ac:dyDescent="0.25">
      <c r="A112" s="261"/>
      <c r="B112" s="268"/>
      <c r="C112" s="261"/>
      <c r="D112" s="242"/>
      <c r="E112" s="218"/>
      <c r="F112" s="218"/>
      <c r="G112" s="261"/>
    </row>
    <row r="113" spans="1:7" s="246" customFormat="1" ht="12" x14ac:dyDescent="0.25">
      <c r="A113" s="261"/>
      <c r="B113" s="268"/>
      <c r="C113" s="261"/>
      <c r="D113" s="242"/>
      <c r="E113" s="218"/>
      <c r="F113" s="218"/>
      <c r="G113" s="261"/>
    </row>
    <row r="114" spans="1:7" s="246" customFormat="1" ht="12" x14ac:dyDescent="0.25">
      <c r="A114" s="261"/>
      <c r="B114" s="268"/>
      <c r="C114" s="261"/>
      <c r="D114" s="242"/>
      <c r="E114" s="218"/>
      <c r="F114" s="218"/>
      <c r="G114" s="261"/>
    </row>
    <row r="115" spans="1:7" s="246" customFormat="1" ht="12" x14ac:dyDescent="0.25">
      <c r="A115" s="261"/>
      <c r="B115" s="268"/>
      <c r="C115" s="261"/>
      <c r="D115" s="242"/>
      <c r="E115" s="218"/>
      <c r="F115" s="218"/>
      <c r="G115" s="261"/>
    </row>
    <row r="116" spans="1:7" s="246" customFormat="1" ht="12" x14ac:dyDescent="0.25">
      <c r="A116" s="261"/>
      <c r="B116" s="268"/>
      <c r="C116" s="261"/>
      <c r="D116" s="242"/>
      <c r="E116" s="218"/>
      <c r="F116" s="218"/>
      <c r="G116" s="261"/>
    </row>
    <row r="117" spans="1:7" s="246" customFormat="1" ht="12" x14ac:dyDescent="0.25">
      <c r="A117" s="261"/>
      <c r="B117" s="268"/>
      <c r="C117" s="261"/>
      <c r="D117" s="242"/>
      <c r="E117" s="218"/>
      <c r="F117" s="218"/>
      <c r="G117" s="261"/>
    </row>
    <row r="118" spans="1:7" s="246" customFormat="1" ht="12" x14ac:dyDescent="0.25">
      <c r="A118" s="261"/>
      <c r="B118" s="268"/>
      <c r="C118" s="261"/>
      <c r="D118" s="242"/>
      <c r="E118" s="218"/>
      <c r="F118" s="218"/>
      <c r="G118" s="261"/>
    </row>
    <row r="119" spans="1:7" s="246" customFormat="1" ht="12" x14ac:dyDescent="0.25">
      <c r="A119" s="261"/>
      <c r="B119" s="268"/>
      <c r="C119" s="261"/>
      <c r="D119" s="242"/>
      <c r="E119" s="218"/>
      <c r="F119" s="218"/>
      <c r="G119" s="261"/>
    </row>
    <row r="120" spans="1:7" s="246" customFormat="1" ht="12" x14ac:dyDescent="0.25">
      <c r="A120" s="261"/>
      <c r="B120" s="268"/>
      <c r="C120" s="261"/>
      <c r="D120" s="242"/>
      <c r="E120" s="218"/>
      <c r="F120" s="218"/>
      <c r="G120" s="261"/>
    </row>
    <row r="121" spans="1:7" s="246" customFormat="1" ht="12" x14ac:dyDescent="0.25">
      <c r="A121" s="261"/>
      <c r="B121" s="268"/>
      <c r="C121" s="261"/>
      <c r="D121" s="242"/>
      <c r="E121" s="218"/>
      <c r="F121" s="218"/>
      <c r="G121" s="261"/>
    </row>
    <row r="122" spans="1:7" s="246" customFormat="1" ht="12" x14ac:dyDescent="0.25">
      <c r="A122" s="261"/>
      <c r="B122" s="268"/>
      <c r="C122" s="261"/>
      <c r="D122" s="242"/>
      <c r="E122" s="218"/>
      <c r="F122" s="218"/>
      <c r="G122" s="261"/>
    </row>
    <row r="123" spans="1:7" s="246" customFormat="1" ht="12" x14ac:dyDescent="0.25">
      <c r="A123" s="261"/>
      <c r="B123" s="268"/>
      <c r="C123" s="261"/>
      <c r="D123" s="242"/>
      <c r="E123" s="218"/>
      <c r="F123" s="218"/>
      <c r="G123" s="261"/>
    </row>
    <row r="124" spans="1:7" s="246" customFormat="1" ht="12" x14ac:dyDescent="0.25">
      <c r="A124" s="261"/>
      <c r="B124" s="268"/>
      <c r="C124" s="261"/>
      <c r="D124" s="242"/>
      <c r="E124" s="218"/>
      <c r="F124" s="218"/>
      <c r="G124" s="261"/>
    </row>
    <row r="125" spans="1:7" s="246" customFormat="1" ht="12" x14ac:dyDescent="0.25">
      <c r="A125" s="261"/>
      <c r="B125" s="268"/>
      <c r="C125" s="261"/>
      <c r="D125" s="242"/>
      <c r="E125" s="218"/>
      <c r="F125" s="218"/>
      <c r="G125" s="261"/>
    </row>
    <row r="126" spans="1:7" s="246" customFormat="1" ht="12" x14ac:dyDescent="0.25">
      <c r="A126" s="261"/>
      <c r="B126" s="268"/>
      <c r="C126" s="261"/>
      <c r="D126" s="242"/>
      <c r="E126" s="218"/>
      <c r="F126" s="218"/>
      <c r="G126" s="261"/>
    </row>
    <row r="127" spans="1:7" s="246" customFormat="1" ht="12" x14ac:dyDescent="0.25">
      <c r="A127" s="261"/>
      <c r="B127" s="268"/>
      <c r="C127" s="261"/>
      <c r="D127" s="242"/>
      <c r="E127" s="218"/>
      <c r="F127" s="218"/>
      <c r="G127" s="261"/>
    </row>
    <row r="128" spans="1:7" s="246" customFormat="1" ht="12" x14ac:dyDescent="0.25">
      <c r="A128" s="261"/>
      <c r="B128" s="268"/>
      <c r="C128" s="261"/>
      <c r="D128" s="242"/>
      <c r="E128" s="218"/>
      <c r="F128" s="218"/>
      <c r="G128" s="261"/>
    </row>
    <row r="129" spans="1:7" s="246" customFormat="1" ht="12" x14ac:dyDescent="0.25">
      <c r="A129" s="261"/>
      <c r="B129" s="268"/>
      <c r="C129" s="261"/>
      <c r="D129" s="242"/>
      <c r="E129" s="218"/>
      <c r="F129" s="218"/>
      <c r="G129" s="261"/>
    </row>
    <row r="130" spans="1:7" s="246" customFormat="1" ht="12" x14ac:dyDescent="0.25">
      <c r="A130" s="261"/>
      <c r="B130" s="268"/>
      <c r="C130" s="261"/>
      <c r="D130" s="242"/>
      <c r="E130" s="218"/>
      <c r="F130" s="218"/>
      <c r="G130" s="261"/>
    </row>
    <row r="131" spans="1:7" s="246" customFormat="1" ht="12" x14ac:dyDescent="0.25">
      <c r="A131" s="261"/>
      <c r="B131" s="268"/>
      <c r="C131" s="261"/>
      <c r="D131" s="242"/>
      <c r="E131" s="218"/>
      <c r="F131" s="218"/>
      <c r="G131" s="261"/>
    </row>
    <row r="132" spans="1:7" s="246" customFormat="1" ht="12" x14ac:dyDescent="0.25">
      <c r="A132" s="261"/>
      <c r="B132" s="268"/>
      <c r="C132" s="261"/>
      <c r="D132" s="242"/>
      <c r="E132" s="218"/>
      <c r="F132" s="218"/>
      <c r="G132" s="261"/>
    </row>
    <row r="133" spans="1:7" s="246" customFormat="1" ht="12" x14ac:dyDescent="0.25">
      <c r="A133" s="261"/>
      <c r="B133" s="268"/>
      <c r="C133" s="261"/>
      <c r="D133" s="242"/>
      <c r="E133" s="218"/>
      <c r="F133" s="218"/>
      <c r="G133" s="261"/>
    </row>
  </sheetData>
  <sheetProtection algorithmName="SHA-512" hashValue="n7AtQGyF7s7r8lAIOd9PE+xkxRdjUGDhp1TDnavqcB22GxHrt5hZW6fW4JGN8c2RwutyBy+16kc8aFkdS5yP2A==" saltValue="wtHtpGfZo7Ej42n6vD1WTg==" spinCount="100000" sheet="1" objects="1" scenarios="1"/>
  <pageMargins left="0.98425196850393704" right="0.39370078740157483" top="0.98425196850393704" bottom="0.74803149606299213" header="0" footer="0.39370078740157483"/>
  <pageSetup paperSize="9" firstPageNumber="0" orientation="portrait" r:id="rId1"/>
  <headerFooter alignWithMargins="0">
    <oddHeader>&amp;R&amp;"Projekt,Običajno"&amp;72p&amp;L_x000D__x000D_&amp;9</oddHeader>
    <oddFooter>&amp;C&amp;6 &amp; List: &amp;A&amp;RStran: &amp;P/&amp;N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1">
    <tabColor theme="6" tint="-0.249977111117893"/>
  </sheetPr>
  <dimension ref="A1:O110"/>
  <sheetViews>
    <sheetView view="pageBreakPreview" zoomScale="85" zoomScaleNormal="100" zoomScaleSheetLayoutView="85" workbookViewId="0"/>
  </sheetViews>
  <sheetFormatPr defaultColWidth="9.140625" defaultRowHeight="12.75" x14ac:dyDescent="0.25"/>
  <cols>
    <col min="1" max="1" width="5.5703125" style="651" customWidth="1"/>
    <col min="2" max="2" width="78.140625" style="655" customWidth="1"/>
    <col min="3" max="3" width="6.28515625" style="651" customWidth="1"/>
    <col min="4" max="4" width="7.5703125" style="654" customWidth="1"/>
    <col min="5" max="5" width="3" style="653" customWidth="1"/>
    <col min="6" max="6" width="20" style="653" customWidth="1"/>
    <col min="7" max="7" width="20.42578125" style="652" customWidth="1"/>
    <col min="8" max="8" width="19.42578125" style="651" customWidth="1"/>
    <col min="9" max="9" width="11" style="239" customWidth="1"/>
    <col min="10" max="10" width="10.140625" style="239" customWidth="1"/>
    <col min="11" max="11" width="9.140625" style="239"/>
    <col min="12" max="12" width="16.7109375" style="239" customWidth="1"/>
    <col min="13" max="13" width="9.85546875" style="239" customWidth="1"/>
    <col min="14" max="14" width="2.5703125" style="239" bestFit="1" customWidth="1"/>
    <col min="15" max="15" width="9.140625" style="239"/>
    <col min="16" max="16" width="9" style="239" customWidth="1"/>
    <col min="17" max="16384" width="9.140625" style="239"/>
  </cols>
  <sheetData>
    <row r="1" spans="1:15" s="330" customFormat="1" ht="18" x14ac:dyDescent="0.25">
      <c r="A1" s="212" t="s">
        <v>1447</v>
      </c>
      <c r="B1" s="213"/>
      <c r="D1" s="674"/>
      <c r="E1" s="673"/>
      <c r="F1" s="611"/>
      <c r="G1" s="611"/>
      <c r="H1" s="609"/>
      <c r="I1" s="610"/>
      <c r="J1" s="610"/>
      <c r="L1" s="611"/>
      <c r="M1" s="611"/>
      <c r="N1" s="328"/>
      <c r="O1" s="329"/>
    </row>
    <row r="2" spans="1:15" s="330" customFormat="1" ht="18" x14ac:dyDescent="0.25">
      <c r="B2" s="212"/>
      <c r="D2" s="674"/>
      <c r="E2" s="673"/>
      <c r="F2" s="611"/>
      <c r="G2" s="611"/>
      <c r="H2" s="609"/>
      <c r="I2" s="610"/>
      <c r="J2" s="610"/>
      <c r="L2" s="611"/>
      <c r="M2" s="611"/>
      <c r="N2" s="328"/>
      <c r="O2" s="329"/>
    </row>
    <row r="3" spans="1:15" s="330" customFormat="1" ht="18" x14ac:dyDescent="0.25">
      <c r="A3" s="212" t="s">
        <v>40</v>
      </c>
      <c r="B3" s="212" t="s">
        <v>1444</v>
      </c>
      <c r="D3" s="674"/>
      <c r="E3" s="673"/>
      <c r="F3" s="611"/>
      <c r="G3" s="611"/>
      <c r="H3" s="609"/>
      <c r="I3" s="610"/>
      <c r="J3" s="610"/>
      <c r="L3" s="611"/>
      <c r="M3" s="611"/>
      <c r="N3" s="328"/>
      <c r="O3" s="329"/>
    </row>
    <row r="4" spans="1:15" s="213" customFormat="1" ht="18" x14ac:dyDescent="0.25">
      <c r="A4" s="212"/>
      <c r="B4" s="318"/>
      <c r="C4" s="212"/>
      <c r="D4" s="603"/>
      <c r="E4" s="604"/>
      <c r="F4" s="605"/>
      <c r="G4" s="605"/>
      <c r="H4" s="606"/>
      <c r="I4" s="607"/>
      <c r="J4" s="607"/>
      <c r="L4" s="605"/>
      <c r="M4" s="605"/>
      <c r="N4" s="319"/>
      <c r="O4" s="217"/>
    </row>
    <row r="5" spans="1:15" s="663" customFormat="1" ht="12" x14ac:dyDescent="0.25">
      <c r="A5" s="662"/>
      <c r="B5" s="667"/>
      <c r="C5" s="328"/>
      <c r="D5" s="666"/>
      <c r="E5" s="328"/>
      <c r="F5" s="665"/>
      <c r="G5" s="664"/>
      <c r="H5" s="328"/>
    </row>
    <row r="6" spans="1:15" s="668" customFormat="1" ht="16.5" thickBot="1" x14ac:dyDescent="0.3">
      <c r="A6" s="234" t="s">
        <v>1010</v>
      </c>
      <c r="B6" s="236"/>
      <c r="C6" s="669"/>
      <c r="D6" s="672"/>
      <c r="E6" s="671"/>
      <c r="F6" s="671"/>
      <c r="G6" s="670"/>
      <c r="H6" s="669"/>
    </row>
    <row r="7" spans="1:15" s="663" customFormat="1" ht="12" x14ac:dyDescent="0.25">
      <c r="A7" s="662"/>
      <c r="B7" s="667"/>
      <c r="C7" s="328"/>
      <c r="D7" s="666"/>
      <c r="E7" s="328"/>
      <c r="F7" s="665"/>
      <c r="G7" s="664"/>
      <c r="H7" s="328"/>
    </row>
    <row r="8" spans="1:15" s="663" customFormat="1" ht="24" x14ac:dyDescent="0.2">
      <c r="A8" s="660">
        <f>1</f>
        <v>1</v>
      </c>
      <c r="B8" s="243" t="s">
        <v>510</v>
      </c>
      <c r="C8" s="667"/>
      <c r="D8" s="666"/>
      <c r="E8" s="328"/>
      <c r="F8" s="665"/>
      <c r="G8" s="664"/>
      <c r="H8" s="328"/>
    </row>
    <row r="9" spans="1:15" s="663" customFormat="1" ht="24" x14ac:dyDescent="0.2">
      <c r="A9" s="660">
        <v>2</v>
      </c>
      <c r="B9" s="243" t="s">
        <v>1009</v>
      </c>
      <c r="C9" s="328"/>
      <c r="D9" s="666"/>
      <c r="E9" s="328"/>
      <c r="F9" s="665"/>
      <c r="G9" s="664"/>
      <c r="H9" s="328"/>
    </row>
    <row r="10" spans="1:15" s="663" customFormat="1" ht="24" x14ac:dyDescent="0.25">
      <c r="A10" s="660">
        <v>3</v>
      </c>
      <c r="B10" s="667" t="s">
        <v>1008</v>
      </c>
      <c r="C10" s="328"/>
      <c r="D10" s="666"/>
      <c r="E10" s="328"/>
      <c r="F10" s="665"/>
      <c r="G10" s="664"/>
      <c r="H10" s="328"/>
    </row>
    <row r="11" spans="1:15" s="663" customFormat="1" ht="36" x14ac:dyDescent="0.2">
      <c r="A11" s="660">
        <f>COUNT($A$8:A10)+1</f>
        <v>4</v>
      </c>
      <c r="B11" s="243" t="s">
        <v>1007</v>
      </c>
      <c r="C11" s="328"/>
      <c r="D11" s="666"/>
      <c r="E11" s="328"/>
      <c r="F11" s="665"/>
      <c r="G11" s="664"/>
      <c r="H11" s="328"/>
    </row>
    <row r="12" spans="1:15" s="663" customFormat="1" ht="48" x14ac:dyDescent="0.2">
      <c r="A12" s="660">
        <f>COUNT($A$8:A11)+1</f>
        <v>5</v>
      </c>
      <c r="B12" s="243" t="s">
        <v>515</v>
      </c>
      <c r="C12" s="328"/>
      <c r="D12" s="666"/>
      <c r="E12" s="328"/>
      <c r="F12" s="665"/>
      <c r="G12" s="664"/>
      <c r="H12" s="328"/>
    </row>
    <row r="13" spans="1:15" s="663" customFormat="1" ht="24" x14ac:dyDescent="0.25">
      <c r="A13" s="660">
        <f>COUNT($A$8:A12)+1</f>
        <v>6</v>
      </c>
      <c r="B13" s="244" t="s">
        <v>516</v>
      </c>
      <c r="C13" s="328"/>
      <c r="D13" s="666"/>
      <c r="E13" s="328"/>
      <c r="F13" s="665"/>
      <c r="G13" s="664"/>
      <c r="H13" s="328"/>
    </row>
    <row r="14" spans="1:15" s="663" customFormat="1" ht="24" x14ac:dyDescent="0.25">
      <c r="A14" s="660">
        <f>COUNT($A$8:A13)+1</f>
        <v>7</v>
      </c>
      <c r="B14" s="667" t="s">
        <v>1006</v>
      </c>
      <c r="C14" s="328"/>
      <c r="D14" s="666"/>
      <c r="E14" s="328"/>
      <c r="F14" s="665"/>
      <c r="G14" s="664"/>
      <c r="H14" s="328"/>
    </row>
    <row r="15" spans="1:15" s="663" customFormat="1" ht="24" x14ac:dyDescent="0.25">
      <c r="A15" s="660">
        <f>COUNT($A$8:A14)+1</f>
        <v>8</v>
      </c>
      <c r="B15" s="244" t="s">
        <v>1005</v>
      </c>
      <c r="C15" s="328"/>
      <c r="D15" s="666"/>
      <c r="E15" s="328"/>
      <c r="F15" s="665"/>
      <c r="G15" s="664"/>
      <c r="H15" s="328"/>
    </row>
    <row r="16" spans="1:15" s="656" customFormat="1" ht="24" x14ac:dyDescent="0.25">
      <c r="A16" s="660">
        <f>COUNT($A$8:A15)+1</f>
        <v>9</v>
      </c>
      <c r="B16" s="244" t="s">
        <v>519</v>
      </c>
      <c r="C16" s="657"/>
      <c r="D16" s="660"/>
      <c r="E16" s="659"/>
      <c r="F16" s="659"/>
      <c r="G16" s="658"/>
      <c r="H16" s="657"/>
    </row>
    <row r="17" spans="1:8" s="656" customFormat="1" ht="24" x14ac:dyDescent="0.25">
      <c r="A17" s="660">
        <f>COUNT($A$8:A16)+1</f>
        <v>10</v>
      </c>
      <c r="B17" s="244" t="s">
        <v>520</v>
      </c>
      <c r="C17" s="657"/>
      <c r="D17" s="660"/>
      <c r="E17" s="659"/>
      <c r="F17" s="659"/>
      <c r="G17" s="658"/>
      <c r="H17" s="657"/>
    </row>
    <row r="18" spans="1:8" s="656" customFormat="1" ht="24" x14ac:dyDescent="0.25">
      <c r="A18" s="663"/>
      <c r="B18" s="244" t="s">
        <v>1004</v>
      </c>
      <c r="C18" s="657"/>
      <c r="D18" s="660"/>
      <c r="E18" s="659"/>
      <c r="F18" s="659"/>
      <c r="G18" s="658"/>
      <c r="H18" s="657"/>
    </row>
    <row r="19" spans="1:8" s="656" customFormat="1" ht="24" x14ac:dyDescent="0.25">
      <c r="A19" s="663"/>
      <c r="B19" s="244" t="s">
        <v>1003</v>
      </c>
      <c r="C19" s="657"/>
      <c r="D19" s="660"/>
      <c r="E19" s="659"/>
      <c r="F19" s="659"/>
      <c r="G19" s="658"/>
      <c r="H19" s="657"/>
    </row>
    <row r="20" spans="1:8" s="656" customFormat="1" ht="24" x14ac:dyDescent="0.25">
      <c r="A20" s="663"/>
      <c r="B20" s="244" t="s">
        <v>1002</v>
      </c>
      <c r="C20" s="657"/>
      <c r="D20" s="660"/>
      <c r="E20" s="659"/>
      <c r="F20" s="659"/>
      <c r="G20" s="658"/>
      <c r="H20" s="657"/>
    </row>
    <row r="21" spans="1:8" s="656" customFormat="1" ht="24" x14ac:dyDescent="0.25">
      <c r="A21" s="663"/>
      <c r="B21" s="244" t="s">
        <v>1001</v>
      </c>
      <c r="C21" s="657"/>
      <c r="D21" s="660"/>
      <c r="E21" s="659"/>
      <c r="F21" s="659"/>
      <c r="G21" s="658"/>
      <c r="H21" s="657"/>
    </row>
    <row r="22" spans="1:8" s="656" customFormat="1" ht="36" x14ac:dyDescent="0.25">
      <c r="A22" s="662"/>
      <c r="B22" s="244" t="s">
        <v>1000</v>
      </c>
      <c r="C22" s="657"/>
      <c r="D22" s="660"/>
      <c r="E22" s="659"/>
      <c r="F22" s="659"/>
      <c r="G22" s="658"/>
      <c r="H22" s="657"/>
    </row>
    <row r="23" spans="1:8" s="656" customFormat="1" ht="24" x14ac:dyDescent="0.25">
      <c r="A23" s="660"/>
      <c r="B23" s="244" t="s">
        <v>999</v>
      </c>
      <c r="C23" s="657"/>
      <c r="D23" s="660"/>
      <c r="E23" s="659"/>
      <c r="F23" s="659"/>
      <c r="G23" s="658"/>
      <c r="H23" s="657"/>
    </row>
    <row r="24" spans="1:8" s="656" customFormat="1" ht="24" x14ac:dyDescent="0.25">
      <c r="A24" s="660"/>
      <c r="B24" s="244" t="s">
        <v>998</v>
      </c>
      <c r="C24" s="657"/>
      <c r="D24" s="660"/>
      <c r="E24" s="659"/>
      <c r="F24" s="659"/>
      <c r="G24" s="658"/>
      <c r="H24" s="657"/>
    </row>
    <row r="25" spans="1:8" s="656" customFormat="1" ht="24" x14ac:dyDescent="0.25">
      <c r="A25" s="660"/>
      <c r="B25" s="244" t="s">
        <v>997</v>
      </c>
      <c r="C25" s="657"/>
      <c r="D25" s="660"/>
      <c r="E25" s="659"/>
      <c r="F25" s="659"/>
      <c r="G25" s="658"/>
      <c r="H25" s="657"/>
    </row>
    <row r="26" spans="1:8" s="656" customFormat="1" ht="24" x14ac:dyDescent="0.25">
      <c r="A26" s="660"/>
      <c r="B26" s="244" t="s">
        <v>996</v>
      </c>
      <c r="C26" s="657"/>
      <c r="D26" s="660"/>
      <c r="E26" s="659"/>
      <c r="F26" s="659"/>
      <c r="G26" s="658"/>
      <c r="H26" s="657"/>
    </row>
    <row r="27" spans="1:8" s="656" customFormat="1" ht="12" x14ac:dyDescent="0.25">
      <c r="A27" s="660"/>
      <c r="B27" s="244" t="s">
        <v>995</v>
      </c>
      <c r="C27" s="657"/>
      <c r="D27" s="660"/>
      <c r="E27" s="659"/>
      <c r="F27" s="659"/>
      <c r="G27" s="658"/>
      <c r="H27" s="657"/>
    </row>
    <row r="28" spans="1:8" s="656" customFormat="1" ht="12" x14ac:dyDescent="0.25">
      <c r="A28" s="660"/>
      <c r="B28" s="244" t="s">
        <v>994</v>
      </c>
      <c r="C28" s="657"/>
      <c r="D28" s="660"/>
      <c r="E28" s="659"/>
      <c r="F28" s="659"/>
      <c r="G28" s="658"/>
      <c r="H28" s="657"/>
    </row>
    <row r="29" spans="1:8" s="656" customFormat="1" ht="12" x14ac:dyDescent="0.25">
      <c r="A29" s="660"/>
      <c r="B29" s="244" t="s">
        <v>993</v>
      </c>
      <c r="C29" s="657"/>
      <c r="D29" s="660"/>
      <c r="E29" s="659"/>
      <c r="F29" s="659"/>
      <c r="G29" s="658"/>
      <c r="H29" s="657"/>
    </row>
    <row r="30" spans="1:8" s="656" customFormat="1" ht="12" x14ac:dyDescent="0.25">
      <c r="A30" s="657"/>
      <c r="B30" s="244"/>
      <c r="C30" s="657"/>
      <c r="D30" s="660"/>
      <c r="E30" s="659"/>
      <c r="F30" s="659"/>
      <c r="G30" s="658"/>
      <c r="H30" s="657"/>
    </row>
    <row r="31" spans="1:8" s="656" customFormat="1" ht="12" x14ac:dyDescent="0.25">
      <c r="A31" s="657"/>
      <c r="B31" s="661"/>
      <c r="C31" s="657"/>
      <c r="D31" s="660"/>
      <c r="E31" s="659"/>
      <c r="F31" s="659"/>
      <c r="G31" s="658"/>
      <c r="H31" s="657"/>
    </row>
    <row r="32" spans="1:8" s="656" customFormat="1" ht="12" x14ac:dyDescent="0.25">
      <c r="A32" s="657"/>
      <c r="B32" s="661"/>
      <c r="C32" s="657"/>
      <c r="D32" s="660"/>
      <c r="E32" s="659"/>
      <c r="F32" s="659"/>
      <c r="G32" s="658"/>
      <c r="H32" s="657"/>
    </row>
    <row r="33" spans="1:8" s="656" customFormat="1" ht="12" x14ac:dyDescent="0.25">
      <c r="A33" s="657"/>
      <c r="B33" s="661"/>
      <c r="C33" s="657"/>
      <c r="D33" s="660"/>
      <c r="E33" s="659"/>
      <c r="F33" s="659"/>
      <c r="G33" s="658"/>
      <c r="H33" s="657"/>
    </row>
    <row r="34" spans="1:8" s="656" customFormat="1" ht="12" x14ac:dyDescent="0.25">
      <c r="A34" s="657"/>
      <c r="B34" s="661"/>
      <c r="C34" s="657"/>
      <c r="D34" s="660"/>
      <c r="E34" s="659"/>
      <c r="F34" s="659"/>
      <c r="G34" s="658"/>
      <c r="H34" s="657"/>
    </row>
    <row r="35" spans="1:8" s="656" customFormat="1" ht="12" x14ac:dyDescent="0.25">
      <c r="A35" s="657"/>
      <c r="B35" s="661"/>
      <c r="C35" s="657"/>
      <c r="D35" s="660"/>
      <c r="E35" s="659"/>
      <c r="F35" s="659"/>
      <c r="G35" s="658"/>
      <c r="H35" s="657"/>
    </row>
    <row r="36" spans="1:8" s="656" customFormat="1" ht="12" x14ac:dyDescent="0.25">
      <c r="A36" s="657"/>
      <c r="B36" s="661"/>
      <c r="C36" s="657"/>
      <c r="D36" s="660"/>
      <c r="E36" s="659"/>
      <c r="F36" s="659"/>
      <c r="G36" s="658"/>
      <c r="H36" s="657"/>
    </row>
    <row r="37" spans="1:8" s="656" customFormat="1" ht="12" x14ac:dyDescent="0.25">
      <c r="A37" s="657"/>
      <c r="B37" s="661"/>
      <c r="C37" s="657"/>
      <c r="D37" s="660"/>
      <c r="E37" s="659"/>
      <c r="F37" s="659"/>
      <c r="G37" s="658"/>
      <c r="H37" s="657"/>
    </row>
    <row r="38" spans="1:8" s="656" customFormat="1" ht="12" x14ac:dyDescent="0.25">
      <c r="A38" s="657"/>
      <c r="B38" s="661"/>
      <c r="C38" s="657"/>
      <c r="D38" s="660"/>
      <c r="E38" s="659"/>
      <c r="F38" s="659"/>
      <c r="G38" s="658"/>
      <c r="H38" s="657"/>
    </row>
    <row r="39" spans="1:8" s="656" customFormat="1" ht="12" x14ac:dyDescent="0.25">
      <c r="A39" s="657"/>
      <c r="B39" s="661"/>
      <c r="C39" s="657"/>
      <c r="D39" s="660"/>
      <c r="E39" s="659"/>
      <c r="F39" s="659"/>
      <c r="G39" s="658"/>
      <c r="H39" s="657"/>
    </row>
    <row r="40" spans="1:8" s="656" customFormat="1" ht="12" x14ac:dyDescent="0.25">
      <c r="A40" s="657"/>
      <c r="B40" s="661"/>
      <c r="C40" s="657"/>
      <c r="D40" s="660"/>
      <c r="E40" s="659"/>
      <c r="F40" s="659"/>
      <c r="G40" s="658"/>
      <c r="H40" s="657"/>
    </row>
    <row r="41" spans="1:8" s="656" customFormat="1" ht="12" x14ac:dyDescent="0.25">
      <c r="A41" s="657"/>
      <c r="B41" s="661"/>
      <c r="C41" s="657"/>
      <c r="D41" s="660"/>
      <c r="E41" s="659"/>
      <c r="F41" s="659"/>
      <c r="G41" s="658"/>
      <c r="H41" s="657"/>
    </row>
    <row r="42" spans="1:8" s="656" customFormat="1" ht="12" x14ac:dyDescent="0.25">
      <c r="A42" s="657"/>
      <c r="B42" s="661"/>
      <c r="C42" s="657"/>
      <c r="D42" s="660"/>
      <c r="E42" s="659"/>
      <c r="F42" s="659"/>
      <c r="G42" s="658"/>
      <c r="H42" s="657"/>
    </row>
    <row r="43" spans="1:8" s="656" customFormat="1" ht="12" x14ac:dyDescent="0.25">
      <c r="A43" s="657"/>
      <c r="B43" s="661"/>
      <c r="C43" s="657"/>
      <c r="D43" s="660"/>
      <c r="E43" s="659"/>
      <c r="F43" s="659"/>
      <c r="G43" s="658"/>
      <c r="H43" s="657"/>
    </row>
    <row r="44" spans="1:8" s="656" customFormat="1" ht="12" x14ac:dyDescent="0.25">
      <c r="A44" s="657"/>
      <c r="B44" s="661"/>
      <c r="C44" s="657"/>
      <c r="D44" s="660"/>
      <c r="E44" s="659"/>
      <c r="F44" s="659"/>
      <c r="G44" s="658"/>
      <c r="H44" s="657"/>
    </row>
    <row r="45" spans="1:8" s="656" customFormat="1" ht="12" x14ac:dyDescent="0.25">
      <c r="A45" s="657"/>
      <c r="B45" s="661"/>
      <c r="C45" s="657"/>
      <c r="D45" s="660"/>
      <c r="E45" s="659"/>
      <c r="F45" s="659"/>
      <c r="G45" s="658"/>
      <c r="H45" s="657"/>
    </row>
    <row r="46" spans="1:8" s="656" customFormat="1" ht="12" x14ac:dyDescent="0.25">
      <c r="A46" s="657"/>
      <c r="B46" s="661"/>
      <c r="C46" s="657"/>
      <c r="D46" s="660"/>
      <c r="E46" s="659"/>
      <c r="F46" s="659"/>
      <c r="G46" s="658"/>
      <c r="H46" s="657"/>
    </row>
    <row r="47" spans="1:8" s="656" customFormat="1" ht="12" x14ac:dyDescent="0.25">
      <c r="A47" s="657"/>
      <c r="B47" s="661"/>
      <c r="C47" s="657"/>
      <c r="D47" s="660"/>
      <c r="E47" s="659"/>
      <c r="F47" s="659"/>
      <c r="G47" s="658"/>
      <c r="H47" s="657"/>
    </row>
    <row r="48" spans="1:8" s="656" customFormat="1" ht="12" x14ac:dyDescent="0.25">
      <c r="A48" s="657"/>
      <c r="B48" s="661"/>
      <c r="C48" s="657"/>
      <c r="D48" s="660"/>
      <c r="E48" s="659"/>
      <c r="F48" s="659"/>
      <c r="G48" s="658"/>
      <c r="H48" s="657"/>
    </row>
    <row r="49" spans="1:8" s="656" customFormat="1" ht="12" x14ac:dyDescent="0.25">
      <c r="A49" s="657"/>
      <c r="B49" s="661"/>
      <c r="C49" s="657"/>
      <c r="D49" s="660"/>
      <c r="E49" s="659"/>
      <c r="F49" s="659"/>
      <c r="G49" s="658"/>
      <c r="H49" s="657"/>
    </row>
    <row r="50" spans="1:8" s="656" customFormat="1" ht="12" x14ac:dyDescent="0.25">
      <c r="A50" s="657"/>
      <c r="B50" s="661"/>
      <c r="C50" s="657"/>
      <c r="D50" s="660"/>
      <c r="E50" s="659"/>
      <c r="F50" s="659"/>
      <c r="G50" s="658"/>
      <c r="H50" s="657"/>
    </row>
    <row r="51" spans="1:8" s="656" customFormat="1" ht="12" x14ac:dyDescent="0.25">
      <c r="A51" s="657"/>
      <c r="B51" s="661"/>
      <c r="C51" s="657"/>
      <c r="D51" s="660"/>
      <c r="E51" s="659"/>
      <c r="F51" s="659"/>
      <c r="G51" s="658"/>
      <c r="H51" s="657"/>
    </row>
    <row r="52" spans="1:8" s="656" customFormat="1" ht="12" x14ac:dyDescent="0.25">
      <c r="A52" s="657"/>
      <c r="B52" s="661"/>
      <c r="C52" s="657"/>
      <c r="D52" s="660"/>
      <c r="E52" s="659"/>
      <c r="F52" s="659"/>
      <c r="G52" s="658"/>
      <c r="H52" s="657"/>
    </row>
    <row r="53" spans="1:8" s="656" customFormat="1" ht="12" x14ac:dyDescent="0.25">
      <c r="A53" s="657"/>
      <c r="B53" s="661"/>
      <c r="C53" s="657"/>
      <c r="D53" s="660"/>
      <c r="E53" s="659"/>
      <c r="F53" s="659"/>
      <c r="G53" s="658"/>
      <c r="H53" s="657"/>
    </row>
    <row r="54" spans="1:8" s="656" customFormat="1" ht="12" x14ac:dyDescent="0.25">
      <c r="A54" s="657"/>
      <c r="B54" s="661"/>
      <c r="C54" s="657"/>
      <c r="D54" s="660"/>
      <c r="E54" s="659"/>
      <c r="F54" s="659"/>
      <c r="G54" s="658"/>
      <c r="H54" s="657"/>
    </row>
    <row r="55" spans="1:8" s="656" customFormat="1" ht="12" x14ac:dyDescent="0.25">
      <c r="A55" s="657"/>
      <c r="B55" s="661"/>
      <c r="C55" s="657"/>
      <c r="D55" s="660"/>
      <c r="E55" s="659"/>
      <c r="F55" s="659"/>
      <c r="G55" s="658"/>
      <c r="H55" s="657"/>
    </row>
    <row r="56" spans="1:8" s="656" customFormat="1" ht="12" x14ac:dyDescent="0.25">
      <c r="A56" s="657"/>
      <c r="B56" s="661"/>
      <c r="C56" s="657"/>
      <c r="D56" s="660"/>
      <c r="E56" s="659"/>
      <c r="F56" s="659"/>
      <c r="G56" s="658"/>
      <c r="H56" s="657"/>
    </row>
    <row r="57" spans="1:8" s="656" customFormat="1" ht="12" x14ac:dyDescent="0.25">
      <c r="A57" s="657"/>
      <c r="B57" s="661"/>
      <c r="C57" s="657"/>
      <c r="D57" s="660"/>
      <c r="E57" s="659"/>
      <c r="F57" s="659"/>
      <c r="G57" s="658"/>
      <c r="H57" s="657"/>
    </row>
    <row r="58" spans="1:8" s="656" customFormat="1" ht="12" x14ac:dyDescent="0.25">
      <c r="A58" s="657"/>
      <c r="B58" s="661"/>
      <c r="C58" s="657"/>
      <c r="D58" s="660"/>
      <c r="E58" s="659"/>
      <c r="F58" s="659"/>
      <c r="G58" s="658"/>
      <c r="H58" s="657"/>
    </row>
    <row r="59" spans="1:8" s="656" customFormat="1" ht="12" x14ac:dyDescent="0.25">
      <c r="A59" s="657"/>
      <c r="B59" s="661"/>
      <c r="C59" s="657"/>
      <c r="D59" s="660"/>
      <c r="E59" s="659"/>
      <c r="F59" s="659"/>
      <c r="G59" s="658"/>
      <c r="H59" s="657"/>
    </row>
    <row r="60" spans="1:8" s="656" customFormat="1" ht="12" x14ac:dyDescent="0.25">
      <c r="A60" s="657"/>
      <c r="B60" s="661"/>
      <c r="C60" s="657"/>
      <c r="D60" s="660"/>
      <c r="E60" s="659"/>
      <c r="F60" s="659"/>
      <c r="G60" s="658"/>
      <c r="H60" s="657"/>
    </row>
    <row r="61" spans="1:8" s="656" customFormat="1" ht="12" x14ac:dyDescent="0.25">
      <c r="A61" s="657"/>
      <c r="B61" s="661"/>
      <c r="C61" s="657"/>
      <c r="D61" s="660"/>
      <c r="E61" s="659"/>
      <c r="F61" s="659"/>
      <c r="G61" s="658"/>
      <c r="H61" s="657"/>
    </row>
    <row r="62" spans="1:8" s="656" customFormat="1" ht="12" x14ac:dyDescent="0.25">
      <c r="A62" s="657"/>
      <c r="B62" s="661"/>
      <c r="C62" s="657"/>
      <c r="D62" s="660"/>
      <c r="E62" s="659"/>
      <c r="F62" s="659"/>
      <c r="G62" s="658"/>
      <c r="H62" s="657"/>
    </row>
    <row r="63" spans="1:8" s="656" customFormat="1" ht="12" x14ac:dyDescent="0.25">
      <c r="A63" s="657"/>
      <c r="B63" s="661"/>
      <c r="C63" s="657"/>
      <c r="D63" s="660"/>
      <c r="E63" s="659"/>
      <c r="F63" s="659"/>
      <c r="G63" s="658"/>
      <c r="H63" s="657"/>
    </row>
    <row r="64" spans="1:8" s="656" customFormat="1" ht="12" x14ac:dyDescent="0.25">
      <c r="A64" s="657"/>
      <c r="B64" s="661"/>
      <c r="C64" s="657"/>
      <c r="D64" s="660"/>
      <c r="E64" s="659"/>
      <c r="F64" s="659"/>
      <c r="G64" s="658"/>
      <c r="H64" s="657"/>
    </row>
    <row r="65" spans="1:8" s="656" customFormat="1" ht="12" x14ac:dyDescent="0.25">
      <c r="A65" s="657"/>
      <c r="B65" s="661"/>
      <c r="C65" s="657"/>
      <c r="D65" s="660"/>
      <c r="E65" s="659"/>
      <c r="F65" s="659"/>
      <c r="G65" s="658"/>
      <c r="H65" s="657"/>
    </row>
    <row r="66" spans="1:8" s="656" customFormat="1" ht="12" x14ac:dyDescent="0.25">
      <c r="A66" s="657"/>
      <c r="B66" s="661"/>
      <c r="C66" s="657"/>
      <c r="D66" s="660"/>
      <c r="E66" s="659"/>
      <c r="F66" s="659"/>
      <c r="G66" s="658"/>
      <c r="H66" s="657"/>
    </row>
    <row r="67" spans="1:8" s="656" customFormat="1" ht="12" x14ac:dyDescent="0.25">
      <c r="A67" s="657"/>
      <c r="B67" s="661"/>
      <c r="C67" s="657"/>
      <c r="D67" s="660"/>
      <c r="E67" s="659"/>
      <c r="F67" s="659"/>
      <c r="G67" s="658"/>
      <c r="H67" s="657"/>
    </row>
    <row r="68" spans="1:8" s="656" customFormat="1" ht="12" x14ac:dyDescent="0.25">
      <c r="A68" s="657"/>
      <c r="B68" s="661"/>
      <c r="C68" s="657"/>
      <c r="D68" s="660"/>
      <c r="E68" s="659"/>
      <c r="F68" s="659"/>
      <c r="G68" s="658"/>
      <c r="H68" s="657"/>
    </row>
    <row r="69" spans="1:8" s="656" customFormat="1" ht="12" x14ac:dyDescent="0.25">
      <c r="A69" s="657"/>
      <c r="B69" s="661"/>
      <c r="C69" s="657"/>
      <c r="D69" s="660"/>
      <c r="E69" s="659"/>
      <c r="F69" s="659"/>
      <c r="G69" s="658"/>
      <c r="H69" s="657"/>
    </row>
    <row r="70" spans="1:8" s="656" customFormat="1" ht="12" x14ac:dyDescent="0.25">
      <c r="A70" s="657"/>
      <c r="B70" s="661"/>
      <c r="C70" s="657"/>
      <c r="D70" s="660"/>
      <c r="E70" s="659"/>
      <c r="F70" s="659"/>
      <c r="G70" s="658"/>
      <c r="H70" s="657"/>
    </row>
    <row r="71" spans="1:8" s="656" customFormat="1" ht="12" x14ac:dyDescent="0.25">
      <c r="A71" s="657"/>
      <c r="B71" s="661"/>
      <c r="C71" s="657"/>
      <c r="D71" s="660"/>
      <c r="E71" s="659"/>
      <c r="F71" s="659"/>
      <c r="G71" s="658"/>
      <c r="H71" s="657"/>
    </row>
    <row r="72" spans="1:8" s="656" customFormat="1" ht="12" x14ac:dyDescent="0.25">
      <c r="A72" s="657"/>
      <c r="B72" s="661"/>
      <c r="C72" s="657"/>
      <c r="D72" s="660"/>
      <c r="E72" s="659"/>
      <c r="F72" s="659"/>
      <c r="G72" s="658"/>
      <c r="H72" s="657"/>
    </row>
    <row r="73" spans="1:8" s="656" customFormat="1" ht="12" x14ac:dyDescent="0.25">
      <c r="A73" s="657"/>
      <c r="B73" s="661"/>
      <c r="C73" s="657"/>
      <c r="D73" s="660"/>
      <c r="E73" s="659"/>
      <c r="F73" s="659"/>
      <c r="G73" s="658"/>
      <c r="H73" s="657"/>
    </row>
    <row r="74" spans="1:8" s="656" customFormat="1" ht="12" x14ac:dyDescent="0.25">
      <c r="A74" s="657"/>
      <c r="B74" s="661"/>
      <c r="C74" s="657"/>
      <c r="D74" s="660"/>
      <c r="E74" s="659"/>
      <c r="F74" s="659"/>
      <c r="G74" s="658"/>
      <c r="H74" s="657"/>
    </row>
    <row r="75" spans="1:8" s="656" customFormat="1" ht="12" x14ac:dyDescent="0.25">
      <c r="A75" s="657"/>
      <c r="B75" s="661"/>
      <c r="C75" s="657"/>
      <c r="D75" s="660"/>
      <c r="E75" s="659"/>
      <c r="F75" s="659"/>
      <c r="G75" s="658"/>
      <c r="H75" s="657"/>
    </row>
    <row r="76" spans="1:8" s="656" customFormat="1" ht="12" x14ac:dyDescent="0.25">
      <c r="A76" s="657"/>
      <c r="B76" s="661"/>
      <c r="C76" s="657"/>
      <c r="D76" s="660"/>
      <c r="E76" s="659"/>
      <c r="F76" s="659"/>
      <c r="G76" s="658"/>
      <c r="H76" s="657"/>
    </row>
    <row r="77" spans="1:8" s="656" customFormat="1" ht="12" x14ac:dyDescent="0.25">
      <c r="A77" s="657"/>
      <c r="B77" s="661"/>
      <c r="C77" s="657"/>
      <c r="D77" s="660"/>
      <c r="E77" s="659"/>
      <c r="F77" s="659"/>
      <c r="G77" s="658"/>
      <c r="H77" s="657"/>
    </row>
    <row r="78" spans="1:8" s="656" customFormat="1" ht="12" x14ac:dyDescent="0.25">
      <c r="A78" s="657"/>
      <c r="B78" s="661"/>
      <c r="C78" s="657"/>
      <c r="D78" s="660"/>
      <c r="E78" s="659"/>
      <c r="F78" s="659"/>
      <c r="G78" s="658"/>
      <c r="H78" s="657"/>
    </row>
    <row r="79" spans="1:8" s="656" customFormat="1" ht="12" x14ac:dyDescent="0.25">
      <c r="A79" s="657"/>
      <c r="B79" s="661"/>
      <c r="C79" s="657"/>
      <c r="D79" s="660"/>
      <c r="E79" s="659"/>
      <c r="F79" s="659"/>
      <c r="G79" s="658"/>
      <c r="H79" s="657"/>
    </row>
    <row r="80" spans="1:8" s="656" customFormat="1" ht="12" x14ac:dyDescent="0.25">
      <c r="A80" s="657"/>
      <c r="B80" s="661"/>
      <c r="C80" s="657"/>
      <c r="D80" s="660"/>
      <c r="E80" s="659"/>
      <c r="F80" s="659"/>
      <c r="G80" s="658"/>
      <c r="H80" s="657"/>
    </row>
    <row r="81" spans="1:8" s="656" customFormat="1" ht="12" x14ac:dyDescent="0.25">
      <c r="A81" s="657"/>
      <c r="B81" s="661"/>
      <c r="C81" s="657"/>
      <c r="D81" s="660"/>
      <c r="E81" s="659"/>
      <c r="F81" s="659"/>
      <c r="G81" s="658"/>
      <c r="H81" s="657"/>
    </row>
    <row r="82" spans="1:8" s="656" customFormat="1" ht="12" x14ac:dyDescent="0.25">
      <c r="A82" s="657"/>
      <c r="B82" s="661"/>
      <c r="C82" s="657"/>
      <c r="D82" s="660"/>
      <c r="E82" s="659"/>
      <c r="F82" s="659"/>
      <c r="G82" s="658"/>
      <c r="H82" s="657"/>
    </row>
    <row r="83" spans="1:8" s="656" customFormat="1" ht="12" x14ac:dyDescent="0.25">
      <c r="A83" s="657"/>
      <c r="B83" s="661"/>
      <c r="C83" s="657"/>
      <c r="D83" s="660"/>
      <c r="E83" s="659"/>
      <c r="F83" s="659"/>
      <c r="G83" s="658"/>
      <c r="H83" s="657"/>
    </row>
    <row r="84" spans="1:8" s="656" customFormat="1" ht="12" x14ac:dyDescent="0.25">
      <c r="A84" s="657"/>
      <c r="B84" s="661"/>
      <c r="C84" s="657"/>
      <c r="D84" s="660"/>
      <c r="E84" s="659"/>
      <c r="F84" s="659"/>
      <c r="G84" s="658"/>
      <c r="H84" s="657"/>
    </row>
    <row r="85" spans="1:8" s="656" customFormat="1" ht="12" x14ac:dyDescent="0.25">
      <c r="A85" s="657"/>
      <c r="B85" s="661"/>
      <c r="C85" s="657"/>
      <c r="D85" s="660"/>
      <c r="E85" s="659"/>
      <c r="F85" s="659"/>
      <c r="G85" s="658"/>
      <c r="H85" s="657"/>
    </row>
    <row r="86" spans="1:8" s="656" customFormat="1" ht="12" x14ac:dyDescent="0.25">
      <c r="A86" s="657"/>
      <c r="B86" s="661"/>
      <c r="C86" s="657"/>
      <c r="D86" s="660"/>
      <c r="E86" s="659"/>
      <c r="F86" s="659"/>
      <c r="G86" s="658"/>
      <c r="H86" s="657"/>
    </row>
    <row r="87" spans="1:8" s="656" customFormat="1" ht="12" x14ac:dyDescent="0.25">
      <c r="A87" s="657"/>
      <c r="B87" s="661"/>
      <c r="C87" s="657"/>
      <c r="D87" s="660"/>
      <c r="E87" s="659"/>
      <c r="F87" s="659"/>
      <c r="G87" s="658"/>
      <c r="H87" s="657"/>
    </row>
    <row r="88" spans="1:8" s="656" customFormat="1" ht="12" x14ac:dyDescent="0.25">
      <c r="A88" s="657"/>
      <c r="B88" s="661"/>
      <c r="C88" s="657"/>
      <c r="D88" s="660"/>
      <c r="E88" s="659"/>
      <c r="F88" s="659"/>
      <c r="G88" s="658"/>
      <c r="H88" s="657"/>
    </row>
    <row r="89" spans="1:8" s="656" customFormat="1" ht="12" x14ac:dyDescent="0.25">
      <c r="A89" s="657"/>
      <c r="B89" s="661"/>
      <c r="C89" s="657"/>
      <c r="D89" s="660"/>
      <c r="E89" s="659"/>
      <c r="F89" s="659"/>
      <c r="G89" s="658"/>
      <c r="H89" s="657"/>
    </row>
    <row r="90" spans="1:8" s="656" customFormat="1" ht="12" x14ac:dyDescent="0.25">
      <c r="A90" s="657"/>
      <c r="B90" s="661"/>
      <c r="C90" s="657"/>
      <c r="D90" s="660"/>
      <c r="E90" s="659"/>
      <c r="F90" s="659"/>
      <c r="G90" s="658"/>
      <c r="H90" s="657"/>
    </row>
    <row r="91" spans="1:8" s="656" customFormat="1" ht="12" x14ac:dyDescent="0.25">
      <c r="A91" s="657"/>
      <c r="B91" s="661"/>
      <c r="C91" s="657"/>
      <c r="D91" s="660"/>
      <c r="E91" s="659"/>
      <c r="F91" s="659"/>
      <c r="G91" s="658"/>
      <c r="H91" s="657"/>
    </row>
    <row r="92" spans="1:8" s="656" customFormat="1" ht="12" x14ac:dyDescent="0.25">
      <c r="A92" s="657"/>
      <c r="B92" s="661"/>
      <c r="C92" s="657"/>
      <c r="D92" s="660"/>
      <c r="E92" s="659"/>
      <c r="F92" s="659"/>
      <c r="G92" s="658"/>
      <c r="H92" s="657"/>
    </row>
    <row r="93" spans="1:8" s="656" customFormat="1" ht="12" x14ac:dyDescent="0.25">
      <c r="A93" s="657"/>
      <c r="B93" s="661"/>
      <c r="C93" s="657"/>
      <c r="D93" s="660"/>
      <c r="E93" s="659"/>
      <c r="F93" s="659"/>
      <c r="G93" s="658"/>
      <c r="H93" s="657"/>
    </row>
    <row r="94" spans="1:8" s="656" customFormat="1" ht="12" x14ac:dyDescent="0.25">
      <c r="A94" s="657"/>
      <c r="B94" s="661"/>
      <c r="C94" s="657"/>
      <c r="D94" s="660"/>
      <c r="E94" s="659"/>
      <c r="F94" s="659"/>
      <c r="G94" s="658"/>
      <c r="H94" s="657"/>
    </row>
    <row r="95" spans="1:8" s="656" customFormat="1" ht="12" x14ac:dyDescent="0.25">
      <c r="A95" s="657"/>
      <c r="B95" s="661"/>
      <c r="C95" s="657"/>
      <c r="D95" s="660"/>
      <c r="E95" s="659"/>
      <c r="F95" s="659"/>
      <c r="G95" s="658"/>
      <c r="H95" s="657"/>
    </row>
    <row r="96" spans="1:8" s="656" customFormat="1" ht="12" x14ac:dyDescent="0.25">
      <c r="A96" s="657"/>
      <c r="B96" s="661"/>
      <c r="C96" s="657"/>
      <c r="D96" s="660"/>
      <c r="E96" s="659"/>
      <c r="F96" s="659"/>
      <c r="G96" s="658"/>
      <c r="H96" s="657"/>
    </row>
    <row r="97" spans="1:8" s="656" customFormat="1" ht="12" x14ac:dyDescent="0.25">
      <c r="A97" s="657"/>
      <c r="B97" s="661"/>
      <c r="C97" s="657"/>
      <c r="D97" s="660"/>
      <c r="E97" s="659"/>
      <c r="F97" s="659"/>
      <c r="G97" s="658"/>
      <c r="H97" s="657"/>
    </row>
    <row r="98" spans="1:8" s="656" customFormat="1" ht="12" x14ac:dyDescent="0.25">
      <c r="A98" s="657"/>
      <c r="B98" s="661"/>
      <c r="C98" s="657"/>
      <c r="D98" s="660"/>
      <c r="E98" s="659"/>
      <c r="F98" s="659"/>
      <c r="G98" s="658"/>
      <c r="H98" s="657"/>
    </row>
    <row r="99" spans="1:8" s="656" customFormat="1" ht="12" x14ac:dyDescent="0.25">
      <c r="A99" s="657"/>
      <c r="B99" s="661"/>
      <c r="C99" s="657"/>
      <c r="D99" s="660"/>
      <c r="E99" s="659"/>
      <c r="F99" s="659"/>
      <c r="G99" s="658"/>
      <c r="H99" s="657"/>
    </row>
    <row r="100" spans="1:8" s="656" customFormat="1" ht="12" x14ac:dyDescent="0.25">
      <c r="A100" s="657"/>
      <c r="B100" s="661"/>
      <c r="C100" s="657"/>
      <c r="D100" s="660"/>
      <c r="E100" s="659"/>
      <c r="F100" s="659"/>
      <c r="G100" s="658"/>
      <c r="H100" s="657"/>
    </row>
    <row r="101" spans="1:8" s="656" customFormat="1" ht="12" x14ac:dyDescent="0.25">
      <c r="A101" s="657"/>
      <c r="B101" s="661"/>
      <c r="C101" s="657"/>
      <c r="D101" s="660"/>
      <c r="E101" s="659"/>
      <c r="F101" s="659"/>
      <c r="G101" s="658"/>
      <c r="H101" s="657"/>
    </row>
    <row r="102" spans="1:8" s="656" customFormat="1" ht="12" x14ac:dyDescent="0.25">
      <c r="A102" s="657"/>
      <c r="B102" s="661"/>
      <c r="C102" s="657"/>
      <c r="D102" s="660"/>
      <c r="E102" s="659"/>
      <c r="F102" s="659"/>
      <c r="G102" s="658"/>
      <c r="H102" s="657"/>
    </row>
    <row r="103" spans="1:8" s="656" customFormat="1" ht="12" x14ac:dyDescent="0.25">
      <c r="A103" s="657"/>
      <c r="B103" s="661"/>
      <c r="C103" s="657"/>
      <c r="D103" s="660"/>
      <c r="E103" s="659"/>
      <c r="F103" s="659"/>
      <c r="G103" s="658"/>
      <c r="H103" s="657"/>
    </row>
    <row r="104" spans="1:8" s="656" customFormat="1" ht="12" x14ac:dyDescent="0.25">
      <c r="A104" s="657"/>
      <c r="B104" s="661"/>
      <c r="C104" s="657"/>
      <c r="D104" s="660"/>
      <c r="E104" s="659"/>
      <c r="F104" s="659"/>
      <c r="G104" s="658"/>
      <c r="H104" s="657"/>
    </row>
    <row r="105" spans="1:8" s="656" customFormat="1" ht="12" x14ac:dyDescent="0.25">
      <c r="A105" s="657"/>
      <c r="B105" s="661"/>
      <c r="C105" s="657"/>
      <c r="D105" s="660"/>
      <c r="E105" s="659"/>
      <c r="F105" s="659"/>
      <c r="G105" s="658"/>
      <c r="H105" s="657"/>
    </row>
    <row r="106" spans="1:8" s="656" customFormat="1" ht="12" x14ac:dyDescent="0.25">
      <c r="A106" s="657"/>
      <c r="B106" s="661"/>
      <c r="C106" s="657"/>
      <c r="D106" s="660"/>
      <c r="E106" s="659"/>
      <c r="F106" s="659"/>
      <c r="G106" s="658"/>
      <c r="H106" s="657"/>
    </row>
    <row r="107" spans="1:8" s="656" customFormat="1" ht="12" x14ac:dyDescent="0.25">
      <c r="A107" s="657"/>
      <c r="B107" s="661"/>
      <c r="C107" s="657"/>
      <c r="D107" s="660"/>
      <c r="E107" s="659"/>
      <c r="F107" s="659"/>
      <c r="G107" s="658"/>
      <c r="H107" s="657"/>
    </row>
    <row r="108" spans="1:8" s="656" customFormat="1" ht="12" x14ac:dyDescent="0.25">
      <c r="A108" s="657"/>
      <c r="B108" s="661"/>
      <c r="C108" s="657"/>
      <c r="D108" s="660"/>
      <c r="E108" s="659"/>
      <c r="F108" s="659"/>
      <c r="G108" s="658"/>
      <c r="H108" s="657"/>
    </row>
    <row r="109" spans="1:8" s="656" customFormat="1" ht="12" x14ac:dyDescent="0.25">
      <c r="A109" s="657"/>
      <c r="B109" s="661"/>
      <c r="C109" s="657"/>
      <c r="D109" s="660"/>
      <c r="E109" s="659"/>
      <c r="F109" s="659"/>
      <c r="G109" s="658"/>
      <c r="H109" s="657"/>
    </row>
    <row r="110" spans="1:8" s="656" customFormat="1" ht="12" x14ac:dyDescent="0.25">
      <c r="A110" s="657"/>
      <c r="B110" s="661"/>
      <c r="C110" s="657"/>
      <c r="D110" s="660"/>
      <c r="E110" s="659"/>
      <c r="F110" s="659"/>
      <c r="G110" s="658"/>
      <c r="H110" s="657"/>
    </row>
  </sheetData>
  <sheetProtection algorithmName="SHA-512" hashValue="oVmaDhQ/Ig8KI0e42wu+1lhSRBc1j9IYjSJtrUNcdSQQ+91OYAMS/lQBwz+e7E6/kFCEBDOzDbYNJ9feGwxuRw==" saltValue="W+q49hOAjF3vCOxyuE55Nw==" spinCount="100000" sheet="1" objects="1" scenarios="1"/>
  <pageMargins left="0.98425196850393704" right="0.39370078740157483" top="0.98425196850393704" bottom="0.74803149606299213" header="0" footer="0.39370078740157483"/>
  <pageSetup paperSize="9" firstPageNumber="0" orientation="portrait" r:id="rId1"/>
  <headerFooter alignWithMargins="0">
    <oddHeader>&amp;R&amp;"Projekt,Običajno"&amp;72p&amp;L_x000D__x000D_&amp;9</oddHeader>
    <oddFooter>&amp;C&amp;6 &amp; List: &amp;A&amp;R &amp; &amp;9 &amp; Stran: &amp;P/&amp;N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8">
    <tabColor theme="6" tint="-0.249977111117893"/>
  </sheetPr>
  <dimension ref="A1:K177"/>
  <sheetViews>
    <sheetView view="pageBreakPreview" zoomScaleNormal="100" zoomScaleSheetLayoutView="100" workbookViewId="0"/>
  </sheetViews>
  <sheetFormatPr defaultRowHeight="12.75" x14ac:dyDescent="0.25"/>
  <cols>
    <col min="1" max="1" width="2.5703125" style="232" customWidth="1"/>
    <col min="2" max="2" width="6.140625" style="232" customWidth="1"/>
    <col min="3" max="3" width="42.42578125" style="269" customWidth="1"/>
    <col min="4" max="4" width="6.28515625" style="232" customWidth="1"/>
    <col min="5" max="5" width="8.42578125" style="241" bestFit="1" customWidth="1"/>
    <col min="6" max="6" width="10.140625" style="1938" customWidth="1"/>
    <col min="7" max="7" width="13.42578125" style="650" customWidth="1"/>
    <col min="8" max="8" width="16.42578125" style="224" customWidth="1"/>
    <col min="9" max="9" width="2.5703125" style="224" bestFit="1" customWidth="1"/>
    <col min="10" max="10" width="9.140625" style="224"/>
    <col min="11" max="11" width="9" style="224" customWidth="1"/>
    <col min="12" max="256" width="9.140625" style="224"/>
    <col min="257" max="257" width="2.5703125" style="224" customWidth="1"/>
    <col min="258" max="258" width="6.140625" style="224" customWidth="1"/>
    <col min="259" max="259" width="43.5703125" style="224" customWidth="1"/>
    <col min="260" max="260" width="6.28515625" style="224" customWidth="1"/>
    <col min="261" max="261" width="8.42578125" style="224" bestFit="1" customWidth="1"/>
    <col min="262" max="262" width="9.28515625" style="224" customWidth="1"/>
    <col min="263" max="263" width="13.28515625" style="224" customWidth="1"/>
    <col min="264" max="264" width="16.42578125" style="224" customWidth="1"/>
    <col min="265" max="265" width="2.5703125" style="224" bestFit="1" customWidth="1"/>
    <col min="266" max="266" width="9.140625" style="224"/>
    <col min="267" max="267" width="9" style="224" customWidth="1"/>
    <col min="268" max="512" width="9.140625" style="224"/>
    <col min="513" max="513" width="2.5703125" style="224" customWidth="1"/>
    <col min="514" max="514" width="6.140625" style="224" customWidth="1"/>
    <col min="515" max="515" width="43.5703125" style="224" customWidth="1"/>
    <col min="516" max="516" width="6.28515625" style="224" customWidth="1"/>
    <col min="517" max="517" width="8.42578125" style="224" bestFit="1" customWidth="1"/>
    <col min="518" max="518" width="9.28515625" style="224" customWidth="1"/>
    <col min="519" max="519" width="13.28515625" style="224" customWidth="1"/>
    <col min="520" max="520" width="16.42578125" style="224" customWidth="1"/>
    <col min="521" max="521" width="2.5703125" style="224" bestFit="1" customWidth="1"/>
    <col min="522" max="522" width="9.140625" style="224"/>
    <col min="523" max="523" width="9" style="224" customWidth="1"/>
    <col min="524" max="768" width="9.140625" style="224"/>
    <col min="769" max="769" width="2.5703125" style="224" customWidth="1"/>
    <col min="770" max="770" width="6.140625" style="224" customWidth="1"/>
    <col min="771" max="771" width="43.5703125" style="224" customWidth="1"/>
    <col min="772" max="772" width="6.28515625" style="224" customWidth="1"/>
    <col min="773" max="773" width="8.42578125" style="224" bestFit="1" customWidth="1"/>
    <col min="774" max="774" width="9.28515625" style="224" customWidth="1"/>
    <col min="775" max="775" width="13.28515625" style="224" customWidth="1"/>
    <col min="776" max="776" width="16.42578125" style="224" customWidth="1"/>
    <col min="777" max="777" width="2.5703125" style="224" bestFit="1" customWidth="1"/>
    <col min="778" max="778" width="9.140625" style="224"/>
    <col min="779" max="779" width="9" style="224" customWidth="1"/>
    <col min="780" max="1024" width="9.140625" style="224"/>
    <col min="1025" max="1025" width="2.5703125" style="224" customWidth="1"/>
    <col min="1026" max="1026" width="6.140625" style="224" customWidth="1"/>
    <col min="1027" max="1027" width="43.5703125" style="224" customWidth="1"/>
    <col min="1028" max="1028" width="6.28515625" style="224" customWidth="1"/>
    <col min="1029" max="1029" width="8.42578125" style="224" bestFit="1" customWidth="1"/>
    <col min="1030" max="1030" width="9.28515625" style="224" customWidth="1"/>
    <col min="1031" max="1031" width="13.28515625" style="224" customWidth="1"/>
    <col min="1032" max="1032" width="16.42578125" style="224" customWidth="1"/>
    <col min="1033" max="1033" width="2.5703125" style="224" bestFit="1" customWidth="1"/>
    <col min="1034" max="1034" width="9.140625" style="224"/>
    <col min="1035" max="1035" width="9" style="224" customWidth="1"/>
    <col min="1036" max="1280" width="9.140625" style="224"/>
    <col min="1281" max="1281" width="2.5703125" style="224" customWidth="1"/>
    <col min="1282" max="1282" width="6.140625" style="224" customWidth="1"/>
    <col min="1283" max="1283" width="43.5703125" style="224" customWidth="1"/>
    <col min="1284" max="1284" width="6.28515625" style="224" customWidth="1"/>
    <col min="1285" max="1285" width="8.42578125" style="224" bestFit="1" customWidth="1"/>
    <col min="1286" max="1286" width="9.28515625" style="224" customWidth="1"/>
    <col min="1287" max="1287" width="13.28515625" style="224" customWidth="1"/>
    <col min="1288" max="1288" width="16.42578125" style="224" customWidth="1"/>
    <col min="1289" max="1289" width="2.5703125" style="224" bestFit="1" customWidth="1"/>
    <col min="1290" max="1290" width="9.140625" style="224"/>
    <col min="1291" max="1291" width="9" style="224" customWidth="1"/>
    <col min="1292" max="1536" width="9.140625" style="224"/>
    <col min="1537" max="1537" width="2.5703125" style="224" customWidth="1"/>
    <col min="1538" max="1538" width="6.140625" style="224" customWidth="1"/>
    <col min="1539" max="1539" width="43.5703125" style="224" customWidth="1"/>
    <col min="1540" max="1540" width="6.28515625" style="224" customWidth="1"/>
    <col min="1541" max="1541" width="8.42578125" style="224" bestFit="1" customWidth="1"/>
    <col min="1542" max="1542" width="9.28515625" style="224" customWidth="1"/>
    <col min="1543" max="1543" width="13.28515625" style="224" customWidth="1"/>
    <col min="1544" max="1544" width="16.42578125" style="224" customWidth="1"/>
    <col min="1545" max="1545" width="2.5703125" style="224" bestFit="1" customWidth="1"/>
    <col min="1546" max="1546" width="9.140625" style="224"/>
    <col min="1547" max="1547" width="9" style="224" customWidth="1"/>
    <col min="1548" max="1792" width="9.140625" style="224"/>
    <col min="1793" max="1793" width="2.5703125" style="224" customWidth="1"/>
    <col min="1794" max="1794" width="6.140625" style="224" customWidth="1"/>
    <col min="1795" max="1795" width="43.5703125" style="224" customWidth="1"/>
    <col min="1796" max="1796" width="6.28515625" style="224" customWidth="1"/>
    <col min="1797" max="1797" width="8.42578125" style="224" bestFit="1" customWidth="1"/>
    <col min="1798" max="1798" width="9.28515625" style="224" customWidth="1"/>
    <col min="1799" max="1799" width="13.28515625" style="224" customWidth="1"/>
    <col min="1800" max="1800" width="16.42578125" style="224" customWidth="1"/>
    <col min="1801" max="1801" width="2.5703125" style="224" bestFit="1" customWidth="1"/>
    <col min="1802" max="1802" width="9.140625" style="224"/>
    <col min="1803" max="1803" width="9" style="224" customWidth="1"/>
    <col min="1804" max="2048" width="9.140625" style="224"/>
    <col min="2049" max="2049" width="2.5703125" style="224" customWidth="1"/>
    <col min="2050" max="2050" width="6.140625" style="224" customWidth="1"/>
    <col min="2051" max="2051" width="43.5703125" style="224" customWidth="1"/>
    <col min="2052" max="2052" width="6.28515625" style="224" customWidth="1"/>
    <col min="2053" max="2053" width="8.42578125" style="224" bestFit="1" customWidth="1"/>
    <col min="2054" max="2054" width="9.28515625" style="224" customWidth="1"/>
    <col min="2055" max="2055" width="13.28515625" style="224" customWidth="1"/>
    <col min="2056" max="2056" width="16.42578125" style="224" customWidth="1"/>
    <col min="2057" max="2057" width="2.5703125" style="224" bestFit="1" customWidth="1"/>
    <col min="2058" max="2058" width="9.140625" style="224"/>
    <col min="2059" max="2059" width="9" style="224" customWidth="1"/>
    <col min="2060" max="2304" width="9.140625" style="224"/>
    <col min="2305" max="2305" width="2.5703125" style="224" customWidth="1"/>
    <col min="2306" max="2306" width="6.140625" style="224" customWidth="1"/>
    <col min="2307" max="2307" width="43.5703125" style="224" customWidth="1"/>
    <col min="2308" max="2308" width="6.28515625" style="224" customWidth="1"/>
    <col min="2309" max="2309" width="8.42578125" style="224" bestFit="1" customWidth="1"/>
    <col min="2310" max="2310" width="9.28515625" style="224" customWidth="1"/>
    <col min="2311" max="2311" width="13.28515625" style="224" customWidth="1"/>
    <col min="2312" max="2312" width="16.42578125" style="224" customWidth="1"/>
    <col min="2313" max="2313" width="2.5703125" style="224" bestFit="1" customWidth="1"/>
    <col min="2314" max="2314" width="9.140625" style="224"/>
    <col min="2315" max="2315" width="9" style="224" customWidth="1"/>
    <col min="2316" max="2560" width="9.140625" style="224"/>
    <col min="2561" max="2561" width="2.5703125" style="224" customWidth="1"/>
    <col min="2562" max="2562" width="6.140625" style="224" customWidth="1"/>
    <col min="2563" max="2563" width="43.5703125" style="224" customWidth="1"/>
    <col min="2564" max="2564" width="6.28515625" style="224" customWidth="1"/>
    <col min="2565" max="2565" width="8.42578125" style="224" bestFit="1" customWidth="1"/>
    <col min="2566" max="2566" width="9.28515625" style="224" customWidth="1"/>
    <col min="2567" max="2567" width="13.28515625" style="224" customWidth="1"/>
    <col min="2568" max="2568" width="16.42578125" style="224" customWidth="1"/>
    <col min="2569" max="2569" width="2.5703125" style="224" bestFit="1" customWidth="1"/>
    <col min="2570" max="2570" width="9.140625" style="224"/>
    <col min="2571" max="2571" width="9" style="224" customWidth="1"/>
    <col min="2572" max="2816" width="9.140625" style="224"/>
    <col min="2817" max="2817" width="2.5703125" style="224" customWidth="1"/>
    <col min="2818" max="2818" width="6.140625" style="224" customWidth="1"/>
    <col min="2819" max="2819" width="43.5703125" style="224" customWidth="1"/>
    <col min="2820" max="2820" width="6.28515625" style="224" customWidth="1"/>
    <col min="2821" max="2821" width="8.42578125" style="224" bestFit="1" customWidth="1"/>
    <col min="2822" max="2822" width="9.28515625" style="224" customWidth="1"/>
    <col min="2823" max="2823" width="13.28515625" style="224" customWidth="1"/>
    <col min="2824" max="2824" width="16.42578125" style="224" customWidth="1"/>
    <col min="2825" max="2825" width="2.5703125" style="224" bestFit="1" customWidth="1"/>
    <col min="2826" max="2826" width="9.140625" style="224"/>
    <col min="2827" max="2827" width="9" style="224" customWidth="1"/>
    <col min="2828" max="3072" width="9.140625" style="224"/>
    <col min="3073" max="3073" width="2.5703125" style="224" customWidth="1"/>
    <col min="3074" max="3074" width="6.140625" style="224" customWidth="1"/>
    <col min="3075" max="3075" width="43.5703125" style="224" customWidth="1"/>
    <col min="3076" max="3076" width="6.28515625" style="224" customWidth="1"/>
    <col min="3077" max="3077" width="8.42578125" style="224" bestFit="1" customWidth="1"/>
    <col min="3078" max="3078" width="9.28515625" style="224" customWidth="1"/>
    <col min="3079" max="3079" width="13.28515625" style="224" customWidth="1"/>
    <col min="3080" max="3080" width="16.42578125" style="224" customWidth="1"/>
    <col min="3081" max="3081" width="2.5703125" style="224" bestFit="1" customWidth="1"/>
    <col min="3082" max="3082" width="9.140625" style="224"/>
    <col min="3083" max="3083" width="9" style="224" customWidth="1"/>
    <col min="3084" max="3328" width="9.140625" style="224"/>
    <col min="3329" max="3329" width="2.5703125" style="224" customWidth="1"/>
    <col min="3330" max="3330" width="6.140625" style="224" customWidth="1"/>
    <col min="3331" max="3331" width="43.5703125" style="224" customWidth="1"/>
    <col min="3332" max="3332" width="6.28515625" style="224" customWidth="1"/>
    <col min="3333" max="3333" width="8.42578125" style="224" bestFit="1" customWidth="1"/>
    <col min="3334" max="3334" width="9.28515625" style="224" customWidth="1"/>
    <col min="3335" max="3335" width="13.28515625" style="224" customWidth="1"/>
    <col min="3336" max="3336" width="16.42578125" style="224" customWidth="1"/>
    <col min="3337" max="3337" width="2.5703125" style="224" bestFit="1" customWidth="1"/>
    <col min="3338" max="3338" width="9.140625" style="224"/>
    <col min="3339" max="3339" width="9" style="224" customWidth="1"/>
    <col min="3340" max="3584" width="9.140625" style="224"/>
    <col min="3585" max="3585" width="2.5703125" style="224" customWidth="1"/>
    <col min="3586" max="3586" width="6.140625" style="224" customWidth="1"/>
    <col min="3587" max="3587" width="43.5703125" style="224" customWidth="1"/>
    <col min="3588" max="3588" width="6.28515625" style="224" customWidth="1"/>
    <col min="3589" max="3589" width="8.42578125" style="224" bestFit="1" customWidth="1"/>
    <col min="3590" max="3590" width="9.28515625" style="224" customWidth="1"/>
    <col min="3591" max="3591" width="13.28515625" style="224" customWidth="1"/>
    <col min="3592" max="3592" width="16.42578125" style="224" customWidth="1"/>
    <col min="3593" max="3593" width="2.5703125" style="224" bestFit="1" customWidth="1"/>
    <col min="3594" max="3594" width="9.140625" style="224"/>
    <col min="3595" max="3595" width="9" style="224" customWidth="1"/>
    <col min="3596" max="3840" width="9.140625" style="224"/>
    <col min="3841" max="3841" width="2.5703125" style="224" customWidth="1"/>
    <col min="3842" max="3842" width="6.140625" style="224" customWidth="1"/>
    <col min="3843" max="3843" width="43.5703125" style="224" customWidth="1"/>
    <col min="3844" max="3844" width="6.28515625" style="224" customWidth="1"/>
    <col min="3845" max="3845" width="8.42578125" style="224" bestFit="1" customWidth="1"/>
    <col min="3846" max="3846" width="9.28515625" style="224" customWidth="1"/>
    <col min="3847" max="3847" width="13.28515625" style="224" customWidth="1"/>
    <col min="3848" max="3848" width="16.42578125" style="224" customWidth="1"/>
    <col min="3849" max="3849" width="2.5703125" style="224" bestFit="1" customWidth="1"/>
    <col min="3850" max="3850" width="9.140625" style="224"/>
    <col min="3851" max="3851" width="9" style="224" customWidth="1"/>
    <col min="3852" max="4096" width="9.140625" style="224"/>
    <col min="4097" max="4097" width="2.5703125" style="224" customWidth="1"/>
    <col min="4098" max="4098" width="6.140625" style="224" customWidth="1"/>
    <col min="4099" max="4099" width="43.5703125" style="224" customWidth="1"/>
    <col min="4100" max="4100" width="6.28515625" style="224" customWidth="1"/>
    <col min="4101" max="4101" width="8.42578125" style="224" bestFit="1" customWidth="1"/>
    <col min="4102" max="4102" width="9.28515625" style="224" customWidth="1"/>
    <col min="4103" max="4103" width="13.28515625" style="224" customWidth="1"/>
    <col min="4104" max="4104" width="16.42578125" style="224" customWidth="1"/>
    <col min="4105" max="4105" width="2.5703125" style="224" bestFit="1" customWidth="1"/>
    <col min="4106" max="4106" width="9.140625" style="224"/>
    <col min="4107" max="4107" width="9" style="224" customWidth="1"/>
    <col min="4108" max="4352" width="9.140625" style="224"/>
    <col min="4353" max="4353" width="2.5703125" style="224" customWidth="1"/>
    <col min="4354" max="4354" width="6.140625" style="224" customWidth="1"/>
    <col min="4355" max="4355" width="43.5703125" style="224" customWidth="1"/>
    <col min="4356" max="4356" width="6.28515625" style="224" customWidth="1"/>
    <col min="4357" max="4357" width="8.42578125" style="224" bestFit="1" customWidth="1"/>
    <col min="4358" max="4358" width="9.28515625" style="224" customWidth="1"/>
    <col min="4359" max="4359" width="13.28515625" style="224" customWidth="1"/>
    <col min="4360" max="4360" width="16.42578125" style="224" customWidth="1"/>
    <col min="4361" max="4361" width="2.5703125" style="224" bestFit="1" customWidth="1"/>
    <col min="4362" max="4362" width="9.140625" style="224"/>
    <col min="4363" max="4363" width="9" style="224" customWidth="1"/>
    <col min="4364" max="4608" width="9.140625" style="224"/>
    <col min="4609" max="4609" width="2.5703125" style="224" customWidth="1"/>
    <col min="4610" max="4610" width="6.140625" style="224" customWidth="1"/>
    <col min="4611" max="4611" width="43.5703125" style="224" customWidth="1"/>
    <col min="4612" max="4612" width="6.28515625" style="224" customWidth="1"/>
    <col min="4613" max="4613" width="8.42578125" style="224" bestFit="1" customWidth="1"/>
    <col min="4614" max="4614" width="9.28515625" style="224" customWidth="1"/>
    <col min="4615" max="4615" width="13.28515625" style="224" customWidth="1"/>
    <col min="4616" max="4616" width="16.42578125" style="224" customWidth="1"/>
    <col min="4617" max="4617" width="2.5703125" style="224" bestFit="1" customWidth="1"/>
    <col min="4618" max="4618" width="9.140625" style="224"/>
    <col min="4619" max="4619" width="9" style="224" customWidth="1"/>
    <col min="4620" max="4864" width="9.140625" style="224"/>
    <col min="4865" max="4865" width="2.5703125" style="224" customWidth="1"/>
    <col min="4866" max="4866" width="6.140625" style="224" customWidth="1"/>
    <col min="4867" max="4867" width="43.5703125" style="224" customWidth="1"/>
    <col min="4868" max="4868" width="6.28515625" style="224" customWidth="1"/>
    <col min="4869" max="4869" width="8.42578125" style="224" bestFit="1" customWidth="1"/>
    <col min="4870" max="4870" width="9.28515625" style="224" customWidth="1"/>
    <col min="4871" max="4871" width="13.28515625" style="224" customWidth="1"/>
    <col min="4872" max="4872" width="16.42578125" style="224" customWidth="1"/>
    <col min="4873" max="4873" width="2.5703125" style="224" bestFit="1" customWidth="1"/>
    <col min="4874" max="4874" width="9.140625" style="224"/>
    <col min="4875" max="4875" width="9" style="224" customWidth="1"/>
    <col min="4876" max="5120" width="9.140625" style="224"/>
    <col min="5121" max="5121" width="2.5703125" style="224" customWidth="1"/>
    <col min="5122" max="5122" width="6.140625" style="224" customWidth="1"/>
    <col min="5123" max="5123" width="43.5703125" style="224" customWidth="1"/>
    <col min="5124" max="5124" width="6.28515625" style="224" customWidth="1"/>
    <col min="5125" max="5125" width="8.42578125" style="224" bestFit="1" customWidth="1"/>
    <col min="5126" max="5126" width="9.28515625" style="224" customWidth="1"/>
    <col min="5127" max="5127" width="13.28515625" style="224" customWidth="1"/>
    <col min="5128" max="5128" width="16.42578125" style="224" customWidth="1"/>
    <col min="5129" max="5129" width="2.5703125" style="224" bestFit="1" customWidth="1"/>
    <col min="5130" max="5130" width="9.140625" style="224"/>
    <col min="5131" max="5131" width="9" style="224" customWidth="1"/>
    <col min="5132" max="5376" width="9.140625" style="224"/>
    <col min="5377" max="5377" width="2.5703125" style="224" customWidth="1"/>
    <col min="5378" max="5378" width="6.140625" style="224" customWidth="1"/>
    <col min="5379" max="5379" width="43.5703125" style="224" customWidth="1"/>
    <col min="5380" max="5380" width="6.28515625" style="224" customWidth="1"/>
    <col min="5381" max="5381" width="8.42578125" style="224" bestFit="1" customWidth="1"/>
    <col min="5382" max="5382" width="9.28515625" style="224" customWidth="1"/>
    <col min="5383" max="5383" width="13.28515625" style="224" customWidth="1"/>
    <col min="5384" max="5384" width="16.42578125" style="224" customWidth="1"/>
    <col min="5385" max="5385" width="2.5703125" style="224" bestFit="1" customWidth="1"/>
    <col min="5386" max="5386" width="9.140625" style="224"/>
    <col min="5387" max="5387" width="9" style="224" customWidth="1"/>
    <col min="5388" max="5632" width="9.140625" style="224"/>
    <col min="5633" max="5633" width="2.5703125" style="224" customWidth="1"/>
    <col min="5634" max="5634" width="6.140625" style="224" customWidth="1"/>
    <col min="5635" max="5635" width="43.5703125" style="224" customWidth="1"/>
    <col min="5636" max="5636" width="6.28515625" style="224" customWidth="1"/>
    <col min="5637" max="5637" width="8.42578125" style="224" bestFit="1" customWidth="1"/>
    <col min="5638" max="5638" width="9.28515625" style="224" customWidth="1"/>
    <col min="5639" max="5639" width="13.28515625" style="224" customWidth="1"/>
    <col min="5640" max="5640" width="16.42578125" style="224" customWidth="1"/>
    <col min="5641" max="5641" width="2.5703125" style="224" bestFit="1" customWidth="1"/>
    <col min="5642" max="5642" width="9.140625" style="224"/>
    <col min="5643" max="5643" width="9" style="224" customWidth="1"/>
    <col min="5644" max="5888" width="9.140625" style="224"/>
    <col min="5889" max="5889" width="2.5703125" style="224" customWidth="1"/>
    <col min="5890" max="5890" width="6.140625" style="224" customWidth="1"/>
    <col min="5891" max="5891" width="43.5703125" style="224" customWidth="1"/>
    <col min="5892" max="5892" width="6.28515625" style="224" customWidth="1"/>
    <col min="5893" max="5893" width="8.42578125" style="224" bestFit="1" customWidth="1"/>
    <col min="5894" max="5894" width="9.28515625" style="224" customWidth="1"/>
    <col min="5895" max="5895" width="13.28515625" style="224" customWidth="1"/>
    <col min="5896" max="5896" width="16.42578125" style="224" customWidth="1"/>
    <col min="5897" max="5897" width="2.5703125" style="224" bestFit="1" customWidth="1"/>
    <col min="5898" max="5898" width="9.140625" style="224"/>
    <col min="5899" max="5899" width="9" style="224" customWidth="1"/>
    <col min="5900" max="6144" width="9.140625" style="224"/>
    <col min="6145" max="6145" width="2.5703125" style="224" customWidth="1"/>
    <col min="6146" max="6146" width="6.140625" style="224" customWidth="1"/>
    <col min="6147" max="6147" width="43.5703125" style="224" customWidth="1"/>
    <col min="6148" max="6148" width="6.28515625" style="224" customWidth="1"/>
    <col min="6149" max="6149" width="8.42578125" style="224" bestFit="1" customWidth="1"/>
    <col min="6150" max="6150" width="9.28515625" style="224" customWidth="1"/>
    <col min="6151" max="6151" width="13.28515625" style="224" customWidth="1"/>
    <col min="6152" max="6152" width="16.42578125" style="224" customWidth="1"/>
    <col min="6153" max="6153" width="2.5703125" style="224" bestFit="1" customWidth="1"/>
    <col min="6154" max="6154" width="9.140625" style="224"/>
    <col min="6155" max="6155" width="9" style="224" customWidth="1"/>
    <col min="6156" max="6400" width="9.140625" style="224"/>
    <col min="6401" max="6401" width="2.5703125" style="224" customWidth="1"/>
    <col min="6402" max="6402" width="6.140625" style="224" customWidth="1"/>
    <col min="6403" max="6403" width="43.5703125" style="224" customWidth="1"/>
    <col min="6404" max="6404" width="6.28515625" style="224" customWidth="1"/>
    <col min="6405" max="6405" width="8.42578125" style="224" bestFit="1" customWidth="1"/>
    <col min="6406" max="6406" width="9.28515625" style="224" customWidth="1"/>
    <col min="6407" max="6407" width="13.28515625" style="224" customWidth="1"/>
    <col min="6408" max="6408" width="16.42578125" style="224" customWidth="1"/>
    <col min="6409" max="6409" width="2.5703125" style="224" bestFit="1" customWidth="1"/>
    <col min="6410" max="6410" width="9.140625" style="224"/>
    <col min="6411" max="6411" width="9" style="224" customWidth="1"/>
    <col min="6412" max="6656" width="9.140625" style="224"/>
    <col min="6657" max="6657" width="2.5703125" style="224" customWidth="1"/>
    <col min="6658" max="6658" width="6.140625" style="224" customWidth="1"/>
    <col min="6659" max="6659" width="43.5703125" style="224" customWidth="1"/>
    <col min="6660" max="6660" width="6.28515625" style="224" customWidth="1"/>
    <col min="6661" max="6661" width="8.42578125" style="224" bestFit="1" customWidth="1"/>
    <col min="6662" max="6662" width="9.28515625" style="224" customWidth="1"/>
    <col min="6663" max="6663" width="13.28515625" style="224" customWidth="1"/>
    <col min="6664" max="6664" width="16.42578125" style="224" customWidth="1"/>
    <col min="6665" max="6665" width="2.5703125" style="224" bestFit="1" customWidth="1"/>
    <col min="6666" max="6666" width="9.140625" style="224"/>
    <col min="6667" max="6667" width="9" style="224" customWidth="1"/>
    <col min="6668" max="6912" width="9.140625" style="224"/>
    <col min="6913" max="6913" width="2.5703125" style="224" customWidth="1"/>
    <col min="6914" max="6914" width="6.140625" style="224" customWidth="1"/>
    <col min="6915" max="6915" width="43.5703125" style="224" customWidth="1"/>
    <col min="6916" max="6916" width="6.28515625" style="224" customWidth="1"/>
    <col min="6917" max="6917" width="8.42578125" style="224" bestFit="1" customWidth="1"/>
    <col min="6918" max="6918" width="9.28515625" style="224" customWidth="1"/>
    <col min="6919" max="6919" width="13.28515625" style="224" customWidth="1"/>
    <col min="6920" max="6920" width="16.42578125" style="224" customWidth="1"/>
    <col min="6921" max="6921" width="2.5703125" style="224" bestFit="1" customWidth="1"/>
    <col min="6922" max="6922" width="9.140625" style="224"/>
    <col min="6923" max="6923" width="9" style="224" customWidth="1"/>
    <col min="6924" max="7168" width="9.140625" style="224"/>
    <col min="7169" max="7169" width="2.5703125" style="224" customWidth="1"/>
    <col min="7170" max="7170" width="6.140625" style="224" customWidth="1"/>
    <col min="7171" max="7171" width="43.5703125" style="224" customWidth="1"/>
    <col min="7172" max="7172" width="6.28515625" style="224" customWidth="1"/>
    <col min="7173" max="7173" width="8.42578125" style="224" bestFit="1" customWidth="1"/>
    <col min="7174" max="7174" width="9.28515625" style="224" customWidth="1"/>
    <col min="7175" max="7175" width="13.28515625" style="224" customWidth="1"/>
    <col min="7176" max="7176" width="16.42578125" style="224" customWidth="1"/>
    <col min="7177" max="7177" width="2.5703125" style="224" bestFit="1" customWidth="1"/>
    <col min="7178" max="7178" width="9.140625" style="224"/>
    <col min="7179" max="7179" width="9" style="224" customWidth="1"/>
    <col min="7180" max="7424" width="9.140625" style="224"/>
    <col min="7425" max="7425" width="2.5703125" style="224" customWidth="1"/>
    <col min="7426" max="7426" width="6.140625" style="224" customWidth="1"/>
    <col min="7427" max="7427" width="43.5703125" style="224" customWidth="1"/>
    <col min="7428" max="7428" width="6.28515625" style="224" customWidth="1"/>
    <col min="7429" max="7429" width="8.42578125" style="224" bestFit="1" customWidth="1"/>
    <col min="7430" max="7430" width="9.28515625" style="224" customWidth="1"/>
    <col min="7431" max="7431" width="13.28515625" style="224" customWidth="1"/>
    <col min="7432" max="7432" width="16.42578125" style="224" customWidth="1"/>
    <col min="7433" max="7433" width="2.5703125" style="224" bestFit="1" customWidth="1"/>
    <col min="7434" max="7434" width="9.140625" style="224"/>
    <col min="7435" max="7435" width="9" style="224" customWidth="1"/>
    <col min="7436" max="7680" width="9.140625" style="224"/>
    <col min="7681" max="7681" width="2.5703125" style="224" customWidth="1"/>
    <col min="7682" max="7682" width="6.140625" style="224" customWidth="1"/>
    <col min="7683" max="7683" width="43.5703125" style="224" customWidth="1"/>
    <col min="7684" max="7684" width="6.28515625" style="224" customWidth="1"/>
    <col min="7685" max="7685" width="8.42578125" style="224" bestFit="1" customWidth="1"/>
    <col min="7686" max="7686" width="9.28515625" style="224" customWidth="1"/>
    <col min="7687" max="7687" width="13.28515625" style="224" customWidth="1"/>
    <col min="7688" max="7688" width="16.42578125" style="224" customWidth="1"/>
    <col min="7689" max="7689" width="2.5703125" style="224" bestFit="1" customWidth="1"/>
    <col min="7690" max="7690" width="9.140625" style="224"/>
    <col min="7691" max="7691" width="9" style="224" customWidth="1"/>
    <col min="7692" max="7936" width="9.140625" style="224"/>
    <col min="7937" max="7937" width="2.5703125" style="224" customWidth="1"/>
    <col min="7938" max="7938" width="6.140625" style="224" customWidth="1"/>
    <col min="7939" max="7939" width="43.5703125" style="224" customWidth="1"/>
    <col min="7940" max="7940" width="6.28515625" style="224" customWidth="1"/>
    <col min="7941" max="7941" width="8.42578125" style="224" bestFit="1" customWidth="1"/>
    <col min="7942" max="7942" width="9.28515625" style="224" customWidth="1"/>
    <col min="7943" max="7943" width="13.28515625" style="224" customWidth="1"/>
    <col min="7944" max="7944" width="16.42578125" style="224" customWidth="1"/>
    <col min="7945" max="7945" width="2.5703125" style="224" bestFit="1" customWidth="1"/>
    <col min="7946" max="7946" width="9.140625" style="224"/>
    <col min="7947" max="7947" width="9" style="224" customWidth="1"/>
    <col min="7948" max="8192" width="9.140625" style="224"/>
    <col min="8193" max="8193" width="2.5703125" style="224" customWidth="1"/>
    <col min="8194" max="8194" width="6.140625" style="224" customWidth="1"/>
    <col min="8195" max="8195" width="43.5703125" style="224" customWidth="1"/>
    <col min="8196" max="8196" width="6.28515625" style="224" customWidth="1"/>
    <col min="8197" max="8197" width="8.42578125" style="224" bestFit="1" customWidth="1"/>
    <col min="8198" max="8198" width="9.28515625" style="224" customWidth="1"/>
    <col min="8199" max="8199" width="13.28515625" style="224" customWidth="1"/>
    <col min="8200" max="8200" width="16.42578125" style="224" customWidth="1"/>
    <col min="8201" max="8201" width="2.5703125" style="224" bestFit="1" customWidth="1"/>
    <col min="8202" max="8202" width="9.140625" style="224"/>
    <col min="8203" max="8203" width="9" style="224" customWidth="1"/>
    <col min="8204" max="8448" width="9.140625" style="224"/>
    <col min="8449" max="8449" width="2.5703125" style="224" customWidth="1"/>
    <col min="8450" max="8450" width="6.140625" style="224" customWidth="1"/>
    <col min="8451" max="8451" width="43.5703125" style="224" customWidth="1"/>
    <col min="8452" max="8452" width="6.28515625" style="224" customWidth="1"/>
    <col min="8453" max="8453" width="8.42578125" style="224" bestFit="1" customWidth="1"/>
    <col min="8454" max="8454" width="9.28515625" style="224" customWidth="1"/>
    <col min="8455" max="8455" width="13.28515625" style="224" customWidth="1"/>
    <col min="8456" max="8456" width="16.42578125" style="224" customWidth="1"/>
    <col min="8457" max="8457" width="2.5703125" style="224" bestFit="1" customWidth="1"/>
    <col min="8458" max="8458" width="9.140625" style="224"/>
    <col min="8459" max="8459" width="9" style="224" customWidth="1"/>
    <col min="8460" max="8704" width="9.140625" style="224"/>
    <col min="8705" max="8705" width="2.5703125" style="224" customWidth="1"/>
    <col min="8706" max="8706" width="6.140625" style="224" customWidth="1"/>
    <col min="8707" max="8707" width="43.5703125" style="224" customWidth="1"/>
    <col min="8708" max="8708" width="6.28515625" style="224" customWidth="1"/>
    <col min="8709" max="8709" width="8.42578125" style="224" bestFit="1" customWidth="1"/>
    <col min="8710" max="8710" width="9.28515625" style="224" customWidth="1"/>
    <col min="8711" max="8711" width="13.28515625" style="224" customWidth="1"/>
    <col min="8712" max="8712" width="16.42578125" style="224" customWidth="1"/>
    <col min="8713" max="8713" width="2.5703125" style="224" bestFit="1" customWidth="1"/>
    <col min="8714" max="8714" width="9.140625" style="224"/>
    <col min="8715" max="8715" width="9" style="224" customWidth="1"/>
    <col min="8716" max="8960" width="9.140625" style="224"/>
    <col min="8961" max="8961" width="2.5703125" style="224" customWidth="1"/>
    <col min="8962" max="8962" width="6.140625" style="224" customWidth="1"/>
    <col min="8963" max="8963" width="43.5703125" style="224" customWidth="1"/>
    <col min="8964" max="8964" width="6.28515625" style="224" customWidth="1"/>
    <col min="8965" max="8965" width="8.42578125" style="224" bestFit="1" customWidth="1"/>
    <col min="8966" max="8966" width="9.28515625" style="224" customWidth="1"/>
    <col min="8967" max="8967" width="13.28515625" style="224" customWidth="1"/>
    <col min="8968" max="8968" width="16.42578125" style="224" customWidth="1"/>
    <col min="8969" max="8969" width="2.5703125" style="224" bestFit="1" customWidth="1"/>
    <col min="8970" max="8970" width="9.140625" style="224"/>
    <col min="8971" max="8971" width="9" style="224" customWidth="1"/>
    <col min="8972" max="9216" width="9.140625" style="224"/>
    <col min="9217" max="9217" width="2.5703125" style="224" customWidth="1"/>
    <col min="9218" max="9218" width="6.140625" style="224" customWidth="1"/>
    <col min="9219" max="9219" width="43.5703125" style="224" customWidth="1"/>
    <col min="9220" max="9220" width="6.28515625" style="224" customWidth="1"/>
    <col min="9221" max="9221" width="8.42578125" style="224" bestFit="1" customWidth="1"/>
    <col min="9222" max="9222" width="9.28515625" style="224" customWidth="1"/>
    <col min="9223" max="9223" width="13.28515625" style="224" customWidth="1"/>
    <col min="9224" max="9224" width="16.42578125" style="224" customWidth="1"/>
    <col min="9225" max="9225" width="2.5703125" style="224" bestFit="1" customWidth="1"/>
    <col min="9226" max="9226" width="9.140625" style="224"/>
    <col min="9227" max="9227" width="9" style="224" customWidth="1"/>
    <col min="9228" max="9472" width="9.140625" style="224"/>
    <col min="9473" max="9473" width="2.5703125" style="224" customWidth="1"/>
    <col min="9474" max="9474" width="6.140625" style="224" customWidth="1"/>
    <col min="9475" max="9475" width="43.5703125" style="224" customWidth="1"/>
    <col min="9476" max="9476" width="6.28515625" style="224" customWidth="1"/>
    <col min="9477" max="9477" width="8.42578125" style="224" bestFit="1" customWidth="1"/>
    <col min="9478" max="9478" width="9.28515625" style="224" customWidth="1"/>
    <col min="9479" max="9479" width="13.28515625" style="224" customWidth="1"/>
    <col min="9480" max="9480" width="16.42578125" style="224" customWidth="1"/>
    <col min="9481" max="9481" width="2.5703125" style="224" bestFit="1" customWidth="1"/>
    <col min="9482" max="9482" width="9.140625" style="224"/>
    <col min="9483" max="9483" width="9" style="224" customWidth="1"/>
    <col min="9484" max="9728" width="9.140625" style="224"/>
    <col min="9729" max="9729" width="2.5703125" style="224" customWidth="1"/>
    <col min="9730" max="9730" width="6.140625" style="224" customWidth="1"/>
    <col min="9731" max="9731" width="43.5703125" style="224" customWidth="1"/>
    <col min="9732" max="9732" width="6.28515625" style="224" customWidth="1"/>
    <col min="9733" max="9733" width="8.42578125" style="224" bestFit="1" customWidth="1"/>
    <col min="9734" max="9734" width="9.28515625" style="224" customWidth="1"/>
    <col min="9735" max="9735" width="13.28515625" style="224" customWidth="1"/>
    <col min="9736" max="9736" width="16.42578125" style="224" customWidth="1"/>
    <col min="9737" max="9737" width="2.5703125" style="224" bestFit="1" customWidth="1"/>
    <col min="9738" max="9738" width="9.140625" style="224"/>
    <col min="9739" max="9739" width="9" style="224" customWidth="1"/>
    <col min="9740" max="9984" width="9.140625" style="224"/>
    <col min="9985" max="9985" width="2.5703125" style="224" customWidth="1"/>
    <col min="9986" max="9986" width="6.140625" style="224" customWidth="1"/>
    <col min="9987" max="9987" width="43.5703125" style="224" customWidth="1"/>
    <col min="9988" max="9988" width="6.28515625" style="224" customWidth="1"/>
    <col min="9989" max="9989" width="8.42578125" style="224" bestFit="1" customWidth="1"/>
    <col min="9990" max="9990" width="9.28515625" style="224" customWidth="1"/>
    <col min="9991" max="9991" width="13.28515625" style="224" customWidth="1"/>
    <col min="9992" max="9992" width="16.42578125" style="224" customWidth="1"/>
    <col min="9993" max="9993" width="2.5703125" style="224" bestFit="1" customWidth="1"/>
    <col min="9994" max="9994" width="9.140625" style="224"/>
    <col min="9995" max="9995" width="9" style="224" customWidth="1"/>
    <col min="9996" max="10240" width="9.140625" style="224"/>
    <col min="10241" max="10241" width="2.5703125" style="224" customWidth="1"/>
    <col min="10242" max="10242" width="6.140625" style="224" customWidth="1"/>
    <col min="10243" max="10243" width="43.5703125" style="224" customWidth="1"/>
    <col min="10244" max="10244" width="6.28515625" style="224" customWidth="1"/>
    <col min="10245" max="10245" width="8.42578125" style="224" bestFit="1" customWidth="1"/>
    <col min="10246" max="10246" width="9.28515625" style="224" customWidth="1"/>
    <col min="10247" max="10247" width="13.28515625" style="224" customWidth="1"/>
    <col min="10248" max="10248" width="16.42578125" style="224" customWidth="1"/>
    <col min="10249" max="10249" width="2.5703125" style="224" bestFit="1" customWidth="1"/>
    <col min="10250" max="10250" width="9.140625" style="224"/>
    <col min="10251" max="10251" width="9" style="224" customWidth="1"/>
    <col min="10252" max="10496" width="9.140625" style="224"/>
    <col min="10497" max="10497" width="2.5703125" style="224" customWidth="1"/>
    <col min="10498" max="10498" width="6.140625" style="224" customWidth="1"/>
    <col min="10499" max="10499" width="43.5703125" style="224" customWidth="1"/>
    <col min="10500" max="10500" width="6.28515625" style="224" customWidth="1"/>
    <col min="10501" max="10501" width="8.42578125" style="224" bestFit="1" customWidth="1"/>
    <col min="10502" max="10502" width="9.28515625" style="224" customWidth="1"/>
    <col min="10503" max="10503" width="13.28515625" style="224" customWidth="1"/>
    <col min="10504" max="10504" width="16.42578125" style="224" customWidth="1"/>
    <col min="10505" max="10505" width="2.5703125" style="224" bestFit="1" customWidth="1"/>
    <col min="10506" max="10506" width="9.140625" style="224"/>
    <col min="10507" max="10507" width="9" style="224" customWidth="1"/>
    <col min="10508" max="10752" width="9.140625" style="224"/>
    <col min="10753" max="10753" width="2.5703125" style="224" customWidth="1"/>
    <col min="10754" max="10754" width="6.140625" style="224" customWidth="1"/>
    <col min="10755" max="10755" width="43.5703125" style="224" customWidth="1"/>
    <col min="10756" max="10756" width="6.28515625" style="224" customWidth="1"/>
    <col min="10757" max="10757" width="8.42578125" style="224" bestFit="1" customWidth="1"/>
    <col min="10758" max="10758" width="9.28515625" style="224" customWidth="1"/>
    <col min="10759" max="10759" width="13.28515625" style="224" customWidth="1"/>
    <col min="10760" max="10760" width="16.42578125" style="224" customWidth="1"/>
    <col min="10761" max="10761" width="2.5703125" style="224" bestFit="1" customWidth="1"/>
    <col min="10762" max="10762" width="9.140625" style="224"/>
    <col min="10763" max="10763" width="9" style="224" customWidth="1"/>
    <col min="10764" max="11008" width="9.140625" style="224"/>
    <col min="11009" max="11009" width="2.5703125" style="224" customWidth="1"/>
    <col min="11010" max="11010" width="6.140625" style="224" customWidth="1"/>
    <col min="11011" max="11011" width="43.5703125" style="224" customWidth="1"/>
    <col min="11012" max="11012" width="6.28515625" style="224" customWidth="1"/>
    <col min="11013" max="11013" width="8.42578125" style="224" bestFit="1" customWidth="1"/>
    <col min="11014" max="11014" width="9.28515625" style="224" customWidth="1"/>
    <col min="11015" max="11015" width="13.28515625" style="224" customWidth="1"/>
    <col min="11016" max="11016" width="16.42578125" style="224" customWidth="1"/>
    <col min="11017" max="11017" width="2.5703125" style="224" bestFit="1" customWidth="1"/>
    <col min="11018" max="11018" width="9.140625" style="224"/>
    <col min="11019" max="11019" width="9" style="224" customWidth="1"/>
    <col min="11020" max="11264" width="9.140625" style="224"/>
    <col min="11265" max="11265" width="2.5703125" style="224" customWidth="1"/>
    <col min="11266" max="11266" width="6.140625" style="224" customWidth="1"/>
    <col min="11267" max="11267" width="43.5703125" style="224" customWidth="1"/>
    <col min="11268" max="11268" width="6.28515625" style="224" customWidth="1"/>
    <col min="11269" max="11269" width="8.42578125" style="224" bestFit="1" customWidth="1"/>
    <col min="11270" max="11270" width="9.28515625" style="224" customWidth="1"/>
    <col min="11271" max="11271" width="13.28515625" style="224" customWidth="1"/>
    <col min="11272" max="11272" width="16.42578125" style="224" customWidth="1"/>
    <col min="11273" max="11273" width="2.5703125" style="224" bestFit="1" customWidth="1"/>
    <col min="11274" max="11274" width="9.140625" style="224"/>
    <col min="11275" max="11275" width="9" style="224" customWidth="1"/>
    <col min="11276" max="11520" width="9.140625" style="224"/>
    <col min="11521" max="11521" width="2.5703125" style="224" customWidth="1"/>
    <col min="11522" max="11522" width="6.140625" style="224" customWidth="1"/>
    <col min="11523" max="11523" width="43.5703125" style="224" customWidth="1"/>
    <col min="11524" max="11524" width="6.28515625" style="224" customWidth="1"/>
    <col min="11525" max="11525" width="8.42578125" style="224" bestFit="1" customWidth="1"/>
    <col min="11526" max="11526" width="9.28515625" style="224" customWidth="1"/>
    <col min="11527" max="11527" width="13.28515625" style="224" customWidth="1"/>
    <col min="11528" max="11528" width="16.42578125" style="224" customWidth="1"/>
    <col min="11529" max="11529" width="2.5703125" style="224" bestFit="1" customWidth="1"/>
    <col min="11530" max="11530" width="9.140625" style="224"/>
    <col min="11531" max="11531" width="9" style="224" customWidth="1"/>
    <col min="11532" max="11776" width="9.140625" style="224"/>
    <col min="11777" max="11777" width="2.5703125" style="224" customWidth="1"/>
    <col min="11778" max="11778" width="6.140625" style="224" customWidth="1"/>
    <col min="11779" max="11779" width="43.5703125" style="224" customWidth="1"/>
    <col min="11780" max="11780" width="6.28515625" style="224" customWidth="1"/>
    <col min="11781" max="11781" width="8.42578125" style="224" bestFit="1" customWidth="1"/>
    <col min="11782" max="11782" width="9.28515625" style="224" customWidth="1"/>
    <col min="11783" max="11783" width="13.28515625" style="224" customWidth="1"/>
    <col min="11784" max="11784" width="16.42578125" style="224" customWidth="1"/>
    <col min="11785" max="11785" width="2.5703125" style="224" bestFit="1" customWidth="1"/>
    <col min="11786" max="11786" width="9.140625" style="224"/>
    <col min="11787" max="11787" width="9" style="224" customWidth="1"/>
    <col min="11788" max="12032" width="9.140625" style="224"/>
    <col min="12033" max="12033" width="2.5703125" style="224" customWidth="1"/>
    <col min="12034" max="12034" width="6.140625" style="224" customWidth="1"/>
    <col min="12035" max="12035" width="43.5703125" style="224" customWidth="1"/>
    <col min="12036" max="12036" width="6.28515625" style="224" customWidth="1"/>
    <col min="12037" max="12037" width="8.42578125" style="224" bestFit="1" customWidth="1"/>
    <col min="12038" max="12038" width="9.28515625" style="224" customWidth="1"/>
    <col min="12039" max="12039" width="13.28515625" style="224" customWidth="1"/>
    <col min="12040" max="12040" width="16.42578125" style="224" customWidth="1"/>
    <col min="12041" max="12041" width="2.5703125" style="224" bestFit="1" customWidth="1"/>
    <col min="12042" max="12042" width="9.140625" style="224"/>
    <col min="12043" max="12043" width="9" style="224" customWidth="1"/>
    <col min="12044" max="12288" width="9.140625" style="224"/>
    <col min="12289" max="12289" width="2.5703125" style="224" customWidth="1"/>
    <col min="12290" max="12290" width="6.140625" style="224" customWidth="1"/>
    <col min="12291" max="12291" width="43.5703125" style="224" customWidth="1"/>
    <col min="12292" max="12292" width="6.28515625" style="224" customWidth="1"/>
    <col min="12293" max="12293" width="8.42578125" style="224" bestFit="1" customWidth="1"/>
    <col min="12294" max="12294" width="9.28515625" style="224" customWidth="1"/>
    <col min="12295" max="12295" width="13.28515625" style="224" customWidth="1"/>
    <col min="12296" max="12296" width="16.42578125" style="224" customWidth="1"/>
    <col min="12297" max="12297" width="2.5703125" style="224" bestFit="1" customWidth="1"/>
    <col min="12298" max="12298" width="9.140625" style="224"/>
    <col min="12299" max="12299" width="9" style="224" customWidth="1"/>
    <col min="12300" max="12544" width="9.140625" style="224"/>
    <col min="12545" max="12545" width="2.5703125" style="224" customWidth="1"/>
    <col min="12546" max="12546" width="6.140625" style="224" customWidth="1"/>
    <col min="12547" max="12547" width="43.5703125" style="224" customWidth="1"/>
    <col min="12548" max="12548" width="6.28515625" style="224" customWidth="1"/>
    <col min="12549" max="12549" width="8.42578125" style="224" bestFit="1" customWidth="1"/>
    <col min="12550" max="12550" width="9.28515625" style="224" customWidth="1"/>
    <col min="12551" max="12551" width="13.28515625" style="224" customWidth="1"/>
    <col min="12552" max="12552" width="16.42578125" style="224" customWidth="1"/>
    <col min="12553" max="12553" width="2.5703125" style="224" bestFit="1" customWidth="1"/>
    <col min="12554" max="12554" width="9.140625" style="224"/>
    <col min="12555" max="12555" width="9" style="224" customWidth="1"/>
    <col min="12556" max="12800" width="9.140625" style="224"/>
    <col min="12801" max="12801" width="2.5703125" style="224" customWidth="1"/>
    <col min="12802" max="12802" width="6.140625" style="224" customWidth="1"/>
    <col min="12803" max="12803" width="43.5703125" style="224" customWidth="1"/>
    <col min="12804" max="12804" width="6.28515625" style="224" customWidth="1"/>
    <col min="12805" max="12805" width="8.42578125" style="224" bestFit="1" customWidth="1"/>
    <col min="12806" max="12806" width="9.28515625" style="224" customWidth="1"/>
    <col min="12807" max="12807" width="13.28515625" style="224" customWidth="1"/>
    <col min="12808" max="12808" width="16.42578125" style="224" customWidth="1"/>
    <col min="12809" max="12809" width="2.5703125" style="224" bestFit="1" customWidth="1"/>
    <col min="12810" max="12810" width="9.140625" style="224"/>
    <col min="12811" max="12811" width="9" style="224" customWidth="1"/>
    <col min="12812" max="13056" width="9.140625" style="224"/>
    <col min="13057" max="13057" width="2.5703125" style="224" customWidth="1"/>
    <col min="13058" max="13058" width="6.140625" style="224" customWidth="1"/>
    <col min="13059" max="13059" width="43.5703125" style="224" customWidth="1"/>
    <col min="13060" max="13060" width="6.28515625" style="224" customWidth="1"/>
    <col min="13061" max="13061" width="8.42578125" style="224" bestFit="1" customWidth="1"/>
    <col min="13062" max="13062" width="9.28515625" style="224" customWidth="1"/>
    <col min="13063" max="13063" width="13.28515625" style="224" customWidth="1"/>
    <col min="13064" max="13064" width="16.42578125" style="224" customWidth="1"/>
    <col min="13065" max="13065" width="2.5703125" style="224" bestFit="1" customWidth="1"/>
    <col min="13066" max="13066" width="9.140625" style="224"/>
    <col min="13067" max="13067" width="9" style="224" customWidth="1"/>
    <col min="13068" max="13312" width="9.140625" style="224"/>
    <col min="13313" max="13313" width="2.5703125" style="224" customWidth="1"/>
    <col min="13314" max="13314" width="6.140625" style="224" customWidth="1"/>
    <col min="13315" max="13315" width="43.5703125" style="224" customWidth="1"/>
    <col min="13316" max="13316" width="6.28515625" style="224" customWidth="1"/>
    <col min="13317" max="13317" width="8.42578125" style="224" bestFit="1" customWidth="1"/>
    <col min="13318" max="13318" width="9.28515625" style="224" customWidth="1"/>
    <col min="13319" max="13319" width="13.28515625" style="224" customWidth="1"/>
    <col min="13320" max="13320" width="16.42578125" style="224" customWidth="1"/>
    <col min="13321" max="13321" width="2.5703125" style="224" bestFit="1" customWidth="1"/>
    <col min="13322" max="13322" width="9.140625" style="224"/>
    <col min="13323" max="13323" width="9" style="224" customWidth="1"/>
    <col min="13324" max="13568" width="9.140625" style="224"/>
    <col min="13569" max="13569" width="2.5703125" style="224" customWidth="1"/>
    <col min="13570" max="13570" width="6.140625" style="224" customWidth="1"/>
    <col min="13571" max="13571" width="43.5703125" style="224" customWidth="1"/>
    <col min="13572" max="13572" width="6.28515625" style="224" customWidth="1"/>
    <col min="13573" max="13573" width="8.42578125" style="224" bestFit="1" customWidth="1"/>
    <col min="13574" max="13574" width="9.28515625" style="224" customWidth="1"/>
    <col min="13575" max="13575" width="13.28515625" style="224" customWidth="1"/>
    <col min="13576" max="13576" width="16.42578125" style="224" customWidth="1"/>
    <col min="13577" max="13577" width="2.5703125" style="224" bestFit="1" customWidth="1"/>
    <col min="13578" max="13578" width="9.140625" style="224"/>
    <col min="13579" max="13579" width="9" style="224" customWidth="1"/>
    <col min="13580" max="13824" width="9.140625" style="224"/>
    <col min="13825" max="13825" width="2.5703125" style="224" customWidth="1"/>
    <col min="13826" max="13826" width="6.140625" style="224" customWidth="1"/>
    <col min="13827" max="13827" width="43.5703125" style="224" customWidth="1"/>
    <col min="13828" max="13828" width="6.28515625" style="224" customWidth="1"/>
    <col min="13829" max="13829" width="8.42578125" style="224" bestFit="1" customWidth="1"/>
    <col min="13830" max="13830" width="9.28515625" style="224" customWidth="1"/>
    <col min="13831" max="13831" width="13.28515625" style="224" customWidth="1"/>
    <col min="13832" max="13832" width="16.42578125" style="224" customWidth="1"/>
    <col min="13833" max="13833" width="2.5703125" style="224" bestFit="1" customWidth="1"/>
    <col min="13834" max="13834" width="9.140625" style="224"/>
    <col min="13835" max="13835" width="9" style="224" customWidth="1"/>
    <col min="13836" max="14080" width="9.140625" style="224"/>
    <col min="14081" max="14081" width="2.5703125" style="224" customWidth="1"/>
    <col min="14082" max="14082" width="6.140625" style="224" customWidth="1"/>
    <col min="14083" max="14083" width="43.5703125" style="224" customWidth="1"/>
    <col min="14084" max="14084" width="6.28515625" style="224" customWidth="1"/>
    <col min="14085" max="14085" width="8.42578125" style="224" bestFit="1" customWidth="1"/>
    <col min="14086" max="14086" width="9.28515625" style="224" customWidth="1"/>
    <col min="14087" max="14087" width="13.28515625" style="224" customWidth="1"/>
    <col min="14088" max="14088" width="16.42578125" style="224" customWidth="1"/>
    <col min="14089" max="14089" width="2.5703125" style="224" bestFit="1" customWidth="1"/>
    <col min="14090" max="14090" width="9.140625" style="224"/>
    <col min="14091" max="14091" width="9" style="224" customWidth="1"/>
    <col min="14092" max="14336" width="9.140625" style="224"/>
    <col min="14337" max="14337" width="2.5703125" style="224" customWidth="1"/>
    <col min="14338" max="14338" width="6.140625" style="224" customWidth="1"/>
    <col min="14339" max="14339" width="43.5703125" style="224" customWidth="1"/>
    <col min="14340" max="14340" width="6.28515625" style="224" customWidth="1"/>
    <col min="14341" max="14341" width="8.42578125" style="224" bestFit="1" customWidth="1"/>
    <col min="14342" max="14342" width="9.28515625" style="224" customWidth="1"/>
    <col min="14343" max="14343" width="13.28515625" style="224" customWidth="1"/>
    <col min="14344" max="14344" width="16.42578125" style="224" customWidth="1"/>
    <col min="14345" max="14345" width="2.5703125" style="224" bestFit="1" customWidth="1"/>
    <col min="14346" max="14346" width="9.140625" style="224"/>
    <col min="14347" max="14347" width="9" style="224" customWidth="1"/>
    <col min="14348" max="14592" width="9.140625" style="224"/>
    <col min="14593" max="14593" width="2.5703125" style="224" customWidth="1"/>
    <col min="14594" max="14594" width="6.140625" style="224" customWidth="1"/>
    <col min="14595" max="14595" width="43.5703125" style="224" customWidth="1"/>
    <col min="14596" max="14596" width="6.28515625" style="224" customWidth="1"/>
    <col min="14597" max="14597" width="8.42578125" style="224" bestFit="1" customWidth="1"/>
    <col min="14598" max="14598" width="9.28515625" style="224" customWidth="1"/>
    <col min="14599" max="14599" width="13.28515625" style="224" customWidth="1"/>
    <col min="14600" max="14600" width="16.42578125" style="224" customWidth="1"/>
    <col min="14601" max="14601" width="2.5703125" style="224" bestFit="1" customWidth="1"/>
    <col min="14602" max="14602" width="9.140625" style="224"/>
    <col min="14603" max="14603" width="9" style="224" customWidth="1"/>
    <col min="14604" max="14848" width="9.140625" style="224"/>
    <col min="14849" max="14849" width="2.5703125" style="224" customWidth="1"/>
    <col min="14850" max="14850" width="6.140625" style="224" customWidth="1"/>
    <col min="14851" max="14851" width="43.5703125" style="224" customWidth="1"/>
    <col min="14852" max="14852" width="6.28515625" style="224" customWidth="1"/>
    <col min="14853" max="14853" width="8.42578125" style="224" bestFit="1" customWidth="1"/>
    <col min="14854" max="14854" width="9.28515625" style="224" customWidth="1"/>
    <col min="14855" max="14855" width="13.28515625" style="224" customWidth="1"/>
    <col min="14856" max="14856" width="16.42578125" style="224" customWidth="1"/>
    <col min="14857" max="14857" width="2.5703125" style="224" bestFit="1" customWidth="1"/>
    <col min="14858" max="14858" width="9.140625" style="224"/>
    <col min="14859" max="14859" width="9" style="224" customWidth="1"/>
    <col min="14860" max="15104" width="9.140625" style="224"/>
    <col min="15105" max="15105" width="2.5703125" style="224" customWidth="1"/>
    <col min="15106" max="15106" width="6.140625" style="224" customWidth="1"/>
    <col min="15107" max="15107" width="43.5703125" style="224" customWidth="1"/>
    <col min="15108" max="15108" width="6.28515625" style="224" customWidth="1"/>
    <col min="15109" max="15109" width="8.42578125" style="224" bestFit="1" customWidth="1"/>
    <col min="15110" max="15110" width="9.28515625" style="224" customWidth="1"/>
    <col min="15111" max="15111" width="13.28515625" style="224" customWidth="1"/>
    <col min="15112" max="15112" width="16.42578125" style="224" customWidth="1"/>
    <col min="15113" max="15113" width="2.5703125" style="224" bestFit="1" customWidth="1"/>
    <col min="15114" max="15114" width="9.140625" style="224"/>
    <col min="15115" max="15115" width="9" style="224" customWidth="1"/>
    <col min="15116" max="15360" width="9.140625" style="224"/>
    <col min="15361" max="15361" width="2.5703125" style="224" customWidth="1"/>
    <col min="15362" max="15362" width="6.140625" style="224" customWidth="1"/>
    <col min="15363" max="15363" width="43.5703125" style="224" customWidth="1"/>
    <col min="15364" max="15364" width="6.28515625" style="224" customWidth="1"/>
    <col min="15365" max="15365" width="8.42578125" style="224" bestFit="1" customWidth="1"/>
    <col min="15366" max="15366" width="9.28515625" style="224" customWidth="1"/>
    <col min="15367" max="15367" width="13.28515625" style="224" customWidth="1"/>
    <col min="15368" max="15368" width="16.42578125" style="224" customWidth="1"/>
    <col min="15369" max="15369" width="2.5703125" style="224" bestFit="1" customWidth="1"/>
    <col min="15370" max="15370" width="9.140625" style="224"/>
    <col min="15371" max="15371" width="9" style="224" customWidth="1"/>
    <col min="15372" max="15616" width="9.140625" style="224"/>
    <col min="15617" max="15617" width="2.5703125" style="224" customWidth="1"/>
    <col min="15618" max="15618" width="6.140625" style="224" customWidth="1"/>
    <col min="15619" max="15619" width="43.5703125" style="224" customWidth="1"/>
    <col min="15620" max="15620" width="6.28515625" style="224" customWidth="1"/>
    <col min="15621" max="15621" width="8.42578125" style="224" bestFit="1" customWidth="1"/>
    <col min="15622" max="15622" width="9.28515625" style="224" customWidth="1"/>
    <col min="15623" max="15623" width="13.28515625" style="224" customWidth="1"/>
    <col min="15624" max="15624" width="16.42578125" style="224" customWidth="1"/>
    <col min="15625" max="15625" width="2.5703125" style="224" bestFit="1" customWidth="1"/>
    <col min="15626" max="15626" width="9.140625" style="224"/>
    <col min="15627" max="15627" width="9" style="224" customWidth="1"/>
    <col min="15628" max="15872" width="9.140625" style="224"/>
    <col min="15873" max="15873" width="2.5703125" style="224" customWidth="1"/>
    <col min="15874" max="15874" width="6.140625" style="224" customWidth="1"/>
    <col min="15875" max="15875" width="43.5703125" style="224" customWidth="1"/>
    <col min="15876" max="15876" width="6.28515625" style="224" customWidth="1"/>
    <col min="15877" max="15877" width="8.42578125" style="224" bestFit="1" customWidth="1"/>
    <col min="15878" max="15878" width="9.28515625" style="224" customWidth="1"/>
    <col min="15879" max="15879" width="13.28515625" style="224" customWidth="1"/>
    <col min="15880" max="15880" width="16.42578125" style="224" customWidth="1"/>
    <col min="15881" max="15881" width="2.5703125" style="224" bestFit="1" customWidth="1"/>
    <col min="15882" max="15882" width="9.140625" style="224"/>
    <col min="15883" max="15883" width="9" style="224" customWidth="1"/>
    <col min="15884" max="16128" width="9.140625" style="224"/>
    <col min="16129" max="16129" width="2.5703125" style="224" customWidth="1"/>
    <col min="16130" max="16130" width="6.140625" style="224" customWidth="1"/>
    <col min="16131" max="16131" width="43.5703125" style="224" customWidth="1"/>
    <col min="16132" max="16132" width="6.28515625" style="224" customWidth="1"/>
    <col min="16133" max="16133" width="8.42578125" style="224" bestFit="1" customWidth="1"/>
    <col min="16134" max="16134" width="9.28515625" style="224" customWidth="1"/>
    <col min="16135" max="16135" width="13.28515625" style="224" customWidth="1"/>
    <col min="16136" max="16136" width="16.42578125" style="224" customWidth="1"/>
    <col min="16137" max="16137" width="2.5703125" style="224" bestFit="1" customWidth="1"/>
    <col min="16138" max="16138" width="9.140625" style="224"/>
    <col min="16139" max="16139" width="9" style="224" customWidth="1"/>
    <col min="16140" max="16384" width="9.140625" style="224"/>
  </cols>
  <sheetData>
    <row r="1" spans="1:11" s="213" customFormat="1" ht="18" x14ac:dyDescent="0.25">
      <c r="A1" s="212"/>
      <c r="B1" s="318"/>
      <c r="C1" s="212"/>
      <c r="D1" s="603"/>
      <c r="E1" s="604"/>
      <c r="F1" s="1932"/>
      <c r="G1" s="605"/>
      <c r="H1" s="217"/>
    </row>
    <row r="2" spans="1:11" s="330" customFormat="1" ht="18" x14ac:dyDescent="0.25">
      <c r="A2" s="751" t="s">
        <v>1045</v>
      </c>
      <c r="B2" s="321"/>
      <c r="C2" s="322" t="s">
        <v>1056</v>
      </c>
      <c r="D2" s="674"/>
      <c r="E2" s="673"/>
      <c r="F2" s="1933"/>
      <c r="G2" s="611"/>
      <c r="H2" s="329"/>
    </row>
    <row r="3" spans="1:11" s="330" customFormat="1" ht="18" x14ac:dyDescent="0.25">
      <c r="A3" s="322"/>
      <c r="B3" s="321"/>
      <c r="D3" s="674"/>
      <c r="E3" s="673"/>
      <c r="F3" s="1933"/>
      <c r="G3" s="611"/>
      <c r="H3" s="329"/>
    </row>
    <row r="4" spans="1:11" ht="12.75" customHeight="1" x14ac:dyDescent="0.25">
      <c r="A4" s="218" t="s">
        <v>63</v>
      </c>
      <c r="B4" s="218"/>
      <c r="C4" s="219"/>
      <c r="D4" s="218"/>
      <c r="E4" s="218"/>
      <c r="F4" s="1934"/>
      <c r="G4" s="218"/>
      <c r="H4" s="223"/>
    </row>
    <row r="5" spans="1:11" s="230" customFormat="1" x14ac:dyDescent="0.25">
      <c r="A5" s="675" t="s">
        <v>26</v>
      </c>
      <c r="B5" s="675"/>
      <c r="C5" s="676" t="s">
        <v>27</v>
      </c>
      <c r="D5" s="675" t="s">
        <v>28</v>
      </c>
      <c r="E5" s="677" t="s">
        <v>29</v>
      </c>
      <c r="F5" s="1935" t="s">
        <v>30</v>
      </c>
      <c r="G5" s="678" t="s">
        <v>31</v>
      </c>
      <c r="H5" s="224"/>
      <c r="J5" s="231"/>
      <c r="K5" s="231"/>
    </row>
    <row r="6" spans="1:11" s="246" customFormat="1" ht="12" x14ac:dyDescent="0.25">
      <c r="A6" s="245"/>
      <c r="B6" s="348"/>
      <c r="C6" s="679"/>
      <c r="D6" s="261"/>
      <c r="E6" s="242"/>
      <c r="F6" s="1934"/>
      <c r="G6" s="218"/>
    </row>
    <row r="7" spans="1:11" s="239" customFormat="1" ht="16.5" thickBot="1" x14ac:dyDescent="0.3">
      <c r="A7" s="342"/>
      <c r="B7" s="343" t="s">
        <v>20</v>
      </c>
      <c r="C7" s="236" t="s">
        <v>1011</v>
      </c>
      <c r="D7" s="680"/>
      <c r="E7" s="681"/>
      <c r="F7" s="1936"/>
      <c r="G7" s="682"/>
    </row>
    <row r="8" spans="1:11" s="239" customFormat="1" ht="15.75" x14ac:dyDescent="0.25">
      <c r="A8" s="683"/>
      <c r="B8" s="684"/>
      <c r="C8" s="685"/>
      <c r="D8" s="651"/>
      <c r="E8" s="686"/>
      <c r="F8" s="1937"/>
      <c r="G8" s="687"/>
    </row>
    <row r="9" spans="1:11" x14ac:dyDescent="0.25">
      <c r="A9" s="240"/>
      <c r="B9" s="688"/>
      <c r="C9" s="689" t="s">
        <v>1012</v>
      </c>
      <c r="E9" s="690"/>
      <c r="G9" s="691"/>
    </row>
    <row r="10" spans="1:11" x14ac:dyDescent="0.25">
      <c r="A10" s="240"/>
      <c r="B10" s="688"/>
      <c r="C10" s="689"/>
      <c r="E10" s="690"/>
      <c r="G10" s="691"/>
    </row>
    <row r="11" spans="1:11" x14ac:dyDescent="0.25">
      <c r="A11" s="240"/>
      <c r="B11" s="688"/>
      <c r="C11" s="692"/>
      <c r="E11" s="690"/>
      <c r="G11" s="691"/>
    </row>
    <row r="12" spans="1:11" s="246" customFormat="1" ht="27.75" customHeight="1" x14ac:dyDescent="0.25">
      <c r="A12" s="693" t="str">
        <f>$B$7</f>
        <v>I.</v>
      </c>
      <c r="B12" s="348">
        <f>1</f>
        <v>1</v>
      </c>
      <c r="C12" s="694" t="s">
        <v>1013</v>
      </c>
      <c r="D12" s="695" t="s">
        <v>65</v>
      </c>
      <c r="E12" s="696">
        <v>900</v>
      </c>
      <c r="F12" s="1939"/>
      <c r="G12" s="697">
        <f>ROUND(F12*E12,2)</f>
        <v>0</v>
      </c>
      <c r="H12" s="248"/>
      <c r="I12" s="249"/>
    </row>
    <row r="13" spans="1:11" s="260" customFormat="1" x14ac:dyDescent="0.2">
      <c r="A13" s="254"/>
      <c r="B13" s="358"/>
      <c r="C13" s="694"/>
      <c r="D13" s="695"/>
      <c r="E13" s="696"/>
      <c r="F13" s="1939"/>
      <c r="G13" s="697"/>
      <c r="H13" s="248"/>
      <c r="I13" s="259"/>
    </row>
    <row r="14" spans="1:11" s="246" customFormat="1" ht="41.25" customHeight="1" x14ac:dyDescent="0.25">
      <c r="A14" s="693" t="str">
        <f>$B$7</f>
        <v>I.</v>
      </c>
      <c r="B14" s="348">
        <f>COUNT($A$12:B12)+1</f>
        <v>2</v>
      </c>
      <c r="C14" s="694" t="s">
        <v>1014</v>
      </c>
      <c r="D14" s="695" t="s">
        <v>1015</v>
      </c>
      <c r="E14" s="696">
        <v>3</v>
      </c>
      <c r="F14" s="1939"/>
      <c r="G14" s="697">
        <f>ROUND(F14*E14,2)</f>
        <v>0</v>
      </c>
      <c r="H14" s="248"/>
      <c r="I14" s="249"/>
    </row>
    <row r="15" spans="1:11" s="260" customFormat="1" ht="12" x14ac:dyDescent="0.2">
      <c r="A15" s="254"/>
      <c r="B15" s="358"/>
      <c r="F15" s="1940"/>
      <c r="G15" s="697"/>
      <c r="I15" s="259"/>
    </row>
    <row r="16" spans="1:11" s="246" customFormat="1" ht="104.25" customHeight="1" x14ac:dyDescent="0.25">
      <c r="A16" s="693" t="str">
        <f>$B$7</f>
        <v>I.</v>
      </c>
      <c r="B16" s="348">
        <f>COUNT($A$12:B14)+1</f>
        <v>3</v>
      </c>
      <c r="C16" s="694" t="s">
        <v>1016</v>
      </c>
      <c r="D16" s="695" t="s">
        <v>58</v>
      </c>
      <c r="E16" s="696">
        <v>1</v>
      </c>
      <c r="F16" s="1939"/>
      <c r="G16" s="697">
        <f>ROUND(F16*E16,2)</f>
        <v>0</v>
      </c>
      <c r="I16" s="249"/>
    </row>
    <row r="17" spans="1:11" s="246" customFormat="1" ht="39.75" customHeight="1" x14ac:dyDescent="0.25">
      <c r="A17" s="693"/>
      <c r="B17" s="348"/>
      <c r="C17" s="694" t="s">
        <v>1017</v>
      </c>
      <c r="D17" s="695"/>
      <c r="E17" s="696" t="s">
        <v>1018</v>
      </c>
      <c r="F17" s="1941"/>
      <c r="G17" s="697"/>
      <c r="I17" s="249"/>
    </row>
    <row r="18" spans="1:11" s="246" customFormat="1" ht="64.5" customHeight="1" x14ac:dyDescent="0.25">
      <c r="C18" s="694" t="s">
        <v>1019</v>
      </c>
      <c r="D18" s="695"/>
      <c r="E18" s="696" t="s">
        <v>1020</v>
      </c>
      <c r="F18" s="1941"/>
      <c r="G18" s="697"/>
      <c r="I18" s="249"/>
    </row>
    <row r="19" spans="1:11" s="246" customFormat="1" ht="63.75" x14ac:dyDescent="0.2">
      <c r="C19" s="694" t="s">
        <v>1021</v>
      </c>
      <c r="D19" s="695"/>
      <c r="E19" s="696" t="s">
        <v>1018</v>
      </c>
      <c r="F19" s="1939"/>
      <c r="G19" s="697"/>
      <c r="H19" s="248"/>
      <c r="I19" s="249"/>
      <c r="J19" s="250"/>
      <c r="K19" s="698"/>
    </row>
    <row r="20" spans="1:11" s="246" customFormat="1" x14ac:dyDescent="0.2">
      <c r="C20" s="699" t="s">
        <v>1022</v>
      </c>
      <c r="D20" s="695"/>
      <c r="E20" s="696" t="s">
        <v>1018</v>
      </c>
      <c r="F20" s="1941"/>
      <c r="G20" s="697"/>
      <c r="I20" s="249"/>
      <c r="J20" s="250"/>
      <c r="K20" s="698"/>
    </row>
    <row r="21" spans="1:11" s="246" customFormat="1" x14ac:dyDescent="0.2">
      <c r="C21" s="700" t="s">
        <v>1023</v>
      </c>
      <c r="D21" s="695"/>
      <c r="E21" s="696" t="s">
        <v>1018</v>
      </c>
      <c r="F21" s="1941"/>
      <c r="G21" s="697"/>
      <c r="I21" s="249"/>
      <c r="J21" s="250"/>
      <c r="K21" s="698"/>
    </row>
    <row r="22" spans="1:11" s="246" customFormat="1" x14ac:dyDescent="0.2">
      <c r="C22" s="700" t="s">
        <v>1024</v>
      </c>
      <c r="D22" s="695"/>
      <c r="E22" s="696" t="s">
        <v>1025</v>
      </c>
      <c r="F22" s="1941"/>
      <c r="G22" s="697"/>
      <c r="I22" s="249"/>
      <c r="J22" s="250"/>
      <c r="K22" s="698"/>
    </row>
    <row r="23" spans="1:11" s="246" customFormat="1" x14ac:dyDescent="0.2">
      <c r="A23" s="693"/>
      <c r="B23" s="348"/>
      <c r="C23" s="700" t="s">
        <v>1026</v>
      </c>
      <c r="D23" s="695"/>
      <c r="E23" s="696" t="s">
        <v>1025</v>
      </c>
      <c r="F23" s="1939"/>
      <c r="G23" s="697"/>
      <c r="H23" s="248"/>
      <c r="I23" s="249"/>
      <c r="J23" s="250"/>
      <c r="K23" s="698"/>
    </row>
    <row r="24" spans="1:11" s="246" customFormat="1" x14ac:dyDescent="0.2">
      <c r="A24" s="693"/>
      <c r="B24" s="348"/>
      <c r="C24" s="701" t="s">
        <v>1027</v>
      </c>
      <c r="D24" s="695"/>
      <c r="E24" s="696" t="s">
        <v>1028</v>
      </c>
      <c r="F24" s="1939"/>
      <c r="G24" s="697"/>
      <c r="H24" s="248"/>
      <c r="I24" s="249"/>
      <c r="J24" s="250"/>
      <c r="K24" s="698"/>
    </row>
    <row r="25" spans="1:11" s="246" customFormat="1" ht="25.5" x14ac:dyDescent="0.2">
      <c r="A25" s="693"/>
      <c r="B25" s="348"/>
      <c r="C25" s="701" t="s">
        <v>1029</v>
      </c>
      <c r="D25" s="695"/>
      <c r="E25" s="696" t="s">
        <v>1028</v>
      </c>
      <c r="F25" s="1939"/>
      <c r="G25" s="697"/>
      <c r="H25" s="248"/>
      <c r="I25" s="249"/>
      <c r="J25" s="250"/>
      <c r="K25" s="698"/>
    </row>
    <row r="26" spans="1:11" s="246" customFormat="1" ht="25.5" x14ac:dyDescent="0.2">
      <c r="A26" s="693"/>
      <c r="B26" s="348"/>
      <c r="C26" s="700" t="s">
        <v>1030</v>
      </c>
      <c r="D26" s="695"/>
      <c r="E26" s="696" t="s">
        <v>1025</v>
      </c>
      <c r="F26" s="1939"/>
      <c r="G26" s="697"/>
      <c r="H26" s="248"/>
      <c r="I26" s="249"/>
      <c r="J26" s="250"/>
      <c r="K26" s="698"/>
    </row>
    <row r="27" spans="1:11" s="246" customFormat="1" x14ac:dyDescent="0.2">
      <c r="A27" s="693"/>
      <c r="B27" s="348"/>
      <c r="C27" s="702" t="s">
        <v>1031</v>
      </c>
      <c r="D27" s="695"/>
      <c r="E27" s="696" t="s">
        <v>1018</v>
      </c>
      <c r="F27" s="1939"/>
      <c r="G27" s="697"/>
      <c r="H27" s="248"/>
      <c r="I27" s="249"/>
      <c r="J27" s="250"/>
      <c r="K27" s="698"/>
    </row>
    <row r="28" spans="1:11" s="246" customFormat="1" x14ac:dyDescent="0.2">
      <c r="A28" s="693"/>
      <c r="B28" s="348"/>
      <c r="C28" s="700" t="s">
        <v>1032</v>
      </c>
      <c r="D28" s="695"/>
      <c r="E28" s="696" t="s">
        <v>1020</v>
      </c>
      <c r="F28" s="1939"/>
      <c r="G28" s="697"/>
      <c r="H28" s="248"/>
      <c r="I28" s="249"/>
      <c r="J28" s="250"/>
      <c r="K28" s="698"/>
    </row>
    <row r="29" spans="1:11" s="246" customFormat="1" ht="25.5" x14ac:dyDescent="0.2">
      <c r="A29" s="693"/>
      <c r="B29" s="348"/>
      <c r="C29" s="700" t="s">
        <v>1033</v>
      </c>
      <c r="D29" s="695"/>
      <c r="E29" s="696" t="s">
        <v>1018</v>
      </c>
      <c r="F29" s="1939"/>
      <c r="G29" s="697"/>
      <c r="H29" s="248"/>
      <c r="I29" s="249"/>
      <c r="J29" s="250"/>
      <c r="K29" s="698"/>
    </row>
    <row r="30" spans="1:11" s="246" customFormat="1" x14ac:dyDescent="0.2">
      <c r="A30" s="693"/>
      <c r="B30" s="348"/>
      <c r="C30" s="703" t="s">
        <v>1034</v>
      </c>
      <c r="D30" s="695"/>
      <c r="E30" s="696" t="s">
        <v>1018</v>
      </c>
      <c r="F30" s="1939"/>
      <c r="G30" s="697"/>
      <c r="H30" s="248"/>
      <c r="I30" s="249"/>
      <c r="J30" s="250"/>
      <c r="K30" s="698"/>
    </row>
    <row r="31" spans="1:11" s="246" customFormat="1" x14ac:dyDescent="0.2">
      <c r="A31" s="693"/>
      <c r="B31" s="348"/>
      <c r="C31" s="703" t="s">
        <v>1035</v>
      </c>
      <c r="D31" s="695"/>
      <c r="E31" s="696" t="s">
        <v>1018</v>
      </c>
      <c r="F31" s="1939"/>
      <c r="G31" s="697"/>
      <c r="H31" s="248"/>
      <c r="I31" s="249"/>
      <c r="J31" s="250"/>
      <c r="K31" s="698"/>
    </row>
    <row r="32" spans="1:11" s="246" customFormat="1" ht="25.5" x14ac:dyDescent="0.2">
      <c r="A32" s="693"/>
      <c r="B32" s="348"/>
      <c r="C32" s="701" t="s">
        <v>1036</v>
      </c>
      <c r="D32" s="695"/>
      <c r="E32" s="696"/>
      <c r="F32" s="1939"/>
      <c r="G32" s="697"/>
      <c r="H32" s="248"/>
      <c r="I32" s="249"/>
      <c r="J32" s="250"/>
      <c r="K32" s="698"/>
    </row>
    <row r="33" spans="1:11" s="246" customFormat="1" x14ac:dyDescent="0.2">
      <c r="A33" s="693"/>
      <c r="B33" s="348"/>
      <c r="C33" s="694"/>
      <c r="D33" s="695"/>
      <c r="E33" s="696"/>
      <c r="F33" s="1939"/>
      <c r="G33" s="697"/>
      <c r="H33" s="248"/>
      <c r="I33" s="249"/>
      <c r="J33" s="250"/>
      <c r="K33" s="698"/>
    </row>
    <row r="34" spans="1:11" s="246" customFormat="1" ht="83.25" customHeight="1" x14ac:dyDescent="0.2">
      <c r="A34" s="693" t="str">
        <f>$B$7</f>
        <v>I.</v>
      </c>
      <c r="B34" s="348">
        <f>COUNT($A$12:B16)+1</f>
        <v>4</v>
      </c>
      <c r="C34" s="704" t="s">
        <v>1037</v>
      </c>
      <c r="D34" s="705" t="s">
        <v>58</v>
      </c>
      <c r="E34" s="706">
        <v>11</v>
      </c>
      <c r="F34" s="1939"/>
      <c r="G34" s="697">
        <f>ROUND(F34*E34,2)</f>
        <v>0</v>
      </c>
      <c r="H34" s="248"/>
      <c r="I34" s="249"/>
      <c r="J34" s="250"/>
      <c r="K34" s="698"/>
    </row>
    <row r="35" spans="1:11" s="246" customFormat="1" x14ac:dyDescent="0.2">
      <c r="A35" s="693"/>
      <c r="B35" s="348"/>
      <c r="C35" s="704"/>
      <c r="D35" s="705"/>
      <c r="E35" s="706"/>
      <c r="F35" s="1939"/>
      <c r="G35" s="697"/>
      <c r="H35" s="258"/>
      <c r="I35" s="249"/>
      <c r="J35" s="250"/>
      <c r="K35" s="698"/>
    </row>
    <row r="36" spans="1:11" s="246" customFormat="1" ht="83.25" customHeight="1" x14ac:dyDescent="0.2">
      <c r="A36" s="693" t="str">
        <f>$B$7</f>
        <v>I.</v>
      </c>
      <c r="B36" s="348">
        <f>COUNT($A$12:B34)+1</f>
        <v>5</v>
      </c>
      <c r="C36" s="704" t="s">
        <v>1037</v>
      </c>
      <c r="D36" s="705" t="s">
        <v>58</v>
      </c>
      <c r="E36" s="706">
        <v>15</v>
      </c>
      <c r="F36" s="1939"/>
      <c r="G36" s="697">
        <f>ROUND(F36*E36,2)</f>
        <v>0</v>
      </c>
      <c r="H36" s="248"/>
      <c r="I36" s="249"/>
      <c r="J36" s="250"/>
      <c r="K36" s="698"/>
    </row>
    <row r="37" spans="1:11" s="246" customFormat="1" x14ac:dyDescent="0.2">
      <c r="A37" s="693"/>
      <c r="B37" s="348"/>
      <c r="C37" s="704"/>
      <c r="D37" s="705"/>
      <c r="E37" s="706"/>
      <c r="F37" s="1939"/>
      <c r="G37" s="697"/>
      <c r="H37" s="258"/>
      <c r="I37" s="249"/>
      <c r="J37" s="250"/>
      <c r="K37" s="698"/>
    </row>
    <row r="38" spans="1:11" s="246" customFormat="1" ht="107.25" customHeight="1" x14ac:dyDescent="0.2">
      <c r="A38" s="693" t="str">
        <f>$B$7</f>
        <v>I.</v>
      </c>
      <c r="B38" s="348">
        <f>COUNT($A$12:B36)+1</f>
        <v>6</v>
      </c>
      <c r="C38" s="704" t="s">
        <v>1038</v>
      </c>
      <c r="D38" s="705" t="s">
        <v>58</v>
      </c>
      <c r="E38" s="706">
        <v>6</v>
      </c>
      <c r="F38" s="1939"/>
      <c r="G38" s="697">
        <f>ROUND(F38*E38,2)</f>
        <v>0</v>
      </c>
      <c r="H38" s="248"/>
      <c r="I38" s="249"/>
      <c r="J38" s="250"/>
      <c r="K38" s="698"/>
    </row>
    <row r="39" spans="1:11" s="246" customFormat="1" x14ac:dyDescent="0.2">
      <c r="A39" s="693"/>
      <c r="B39" s="348"/>
      <c r="C39" s="704"/>
      <c r="D39" s="705"/>
      <c r="E39" s="706"/>
      <c r="F39" s="1939"/>
      <c r="G39" s="697"/>
      <c r="H39" s="248"/>
      <c r="I39" s="249"/>
      <c r="J39" s="250"/>
      <c r="K39" s="698"/>
    </row>
    <row r="40" spans="1:11" s="246" customFormat="1" ht="96" x14ac:dyDescent="0.2">
      <c r="A40" s="693" t="str">
        <f>$B$7</f>
        <v>I.</v>
      </c>
      <c r="B40" s="348">
        <f>COUNT($A$12:B38)+1</f>
        <v>7</v>
      </c>
      <c r="C40" s="707" t="s">
        <v>1039</v>
      </c>
      <c r="D40" s="705" t="s">
        <v>58</v>
      </c>
      <c r="E40" s="706">
        <v>27</v>
      </c>
      <c r="F40" s="1939"/>
      <c r="G40" s="697">
        <f>ROUND(F40*E40,2)</f>
        <v>0</v>
      </c>
      <c r="H40" s="248"/>
      <c r="I40" s="249"/>
      <c r="J40" s="250"/>
      <c r="K40" s="698"/>
    </row>
    <row r="41" spans="1:11" s="246" customFormat="1" x14ac:dyDescent="0.2">
      <c r="A41" s="693"/>
      <c r="B41" s="348"/>
      <c r="C41" s="704"/>
      <c r="D41" s="705"/>
      <c r="E41" s="706"/>
      <c r="F41" s="1939"/>
      <c r="G41" s="697"/>
      <c r="H41" s="248"/>
      <c r="I41" s="249"/>
      <c r="J41" s="250"/>
      <c r="K41" s="698"/>
    </row>
    <row r="42" spans="1:11" s="246" customFormat="1" x14ac:dyDescent="0.2">
      <c r="A42" s="693" t="str">
        <f>$B$7</f>
        <v>I.</v>
      </c>
      <c r="B42" s="348">
        <f>COUNT($A$12:B41)+1</f>
        <v>8</v>
      </c>
      <c r="C42" s="708" t="s">
        <v>1040</v>
      </c>
      <c r="D42" s="705" t="s">
        <v>58</v>
      </c>
      <c r="E42" s="706">
        <v>1</v>
      </c>
      <c r="F42" s="1939"/>
      <c r="G42" s="697">
        <f>ROUND(F42*E42,2)</f>
        <v>0</v>
      </c>
      <c r="H42" s="248"/>
      <c r="I42" s="249"/>
      <c r="J42" s="250"/>
      <c r="K42" s="698"/>
    </row>
    <row r="43" spans="1:11" s="246" customFormat="1" x14ac:dyDescent="0.2">
      <c r="A43" s="693"/>
      <c r="B43" s="348"/>
      <c r="C43" s="709"/>
      <c r="D43" s="615"/>
      <c r="E43" s="710"/>
      <c r="F43" s="1942"/>
      <c r="G43" s="697"/>
      <c r="H43" s="248"/>
      <c r="I43" s="249"/>
      <c r="J43" s="250"/>
      <c r="K43" s="698"/>
    </row>
    <row r="44" spans="1:11" s="246" customFormat="1" x14ac:dyDescent="0.2">
      <c r="A44" s="693"/>
      <c r="B44" s="348"/>
      <c r="C44" s="708"/>
      <c r="D44" s="705"/>
      <c r="E44" s="706"/>
      <c r="F44" s="1939"/>
      <c r="G44" s="697"/>
      <c r="H44" s="248"/>
      <c r="I44" s="249"/>
      <c r="J44" s="250"/>
      <c r="K44" s="698"/>
    </row>
    <row r="45" spans="1:11" x14ac:dyDescent="0.25">
      <c r="A45" s="240"/>
      <c r="B45" s="688"/>
      <c r="C45" s="689"/>
      <c r="E45" s="690"/>
      <c r="G45" s="1364"/>
    </row>
    <row r="46" spans="1:11" s="246" customFormat="1" x14ac:dyDescent="0.2">
      <c r="A46" s="693"/>
      <c r="B46" s="348"/>
      <c r="C46" s="709"/>
      <c r="D46" s="615"/>
      <c r="E46" s="710"/>
      <c r="F46" s="1942"/>
      <c r="G46" s="697"/>
      <c r="H46" s="248"/>
      <c r="I46" s="249"/>
      <c r="J46" s="250"/>
      <c r="K46" s="698"/>
    </row>
    <row r="47" spans="1:11" s="369" customFormat="1" ht="13.5" thickBot="1" x14ac:dyDescent="0.3">
      <c r="A47" s="362"/>
      <c r="B47" s="363"/>
      <c r="C47" s="366" t="str">
        <f>CONCATENATE(C9," - SKUPAJ:")</f>
        <v>ZUNANJA IN SPLOŠNA RAZSVETLJAVA - SKUPAJ:</v>
      </c>
      <c r="D47" s="366"/>
      <c r="E47" s="366"/>
      <c r="F47" s="1943"/>
      <c r="G47" s="712">
        <f>ROUND(SUM(G12:G44),2)</f>
        <v>0</v>
      </c>
    </row>
    <row r="48" spans="1:11" s="633" customFormat="1" ht="15" x14ac:dyDescent="0.25">
      <c r="A48" s="630"/>
      <c r="B48" s="630"/>
      <c r="C48" s="629"/>
      <c r="D48" s="630"/>
      <c r="E48" s="631"/>
      <c r="F48" s="1944"/>
      <c r="G48" s="632"/>
    </row>
    <row r="49" spans="1:11" s="246" customFormat="1" x14ac:dyDescent="0.2">
      <c r="A49" s="693"/>
      <c r="B49" s="348"/>
      <c r="C49" s="708"/>
      <c r="D49" s="705"/>
      <c r="E49" s="706"/>
      <c r="F49" s="1939"/>
      <c r="G49" s="697"/>
      <c r="H49" s="248"/>
      <c r="I49" s="249"/>
      <c r="J49" s="250"/>
      <c r="K49" s="698"/>
    </row>
    <row r="50" spans="1:11" x14ac:dyDescent="0.25">
      <c r="A50" s="240"/>
      <c r="B50" s="688"/>
      <c r="C50" s="689" t="s">
        <v>1041</v>
      </c>
      <c r="E50" s="690"/>
      <c r="G50" s="1364"/>
    </row>
    <row r="51" spans="1:11" s="246" customFormat="1" x14ac:dyDescent="0.2">
      <c r="A51" s="693"/>
      <c r="B51" s="268"/>
      <c r="C51" s="708"/>
      <c r="D51" s="705"/>
      <c r="E51" s="706"/>
      <c r="F51" s="1939"/>
      <c r="G51" s="697"/>
      <c r="H51" s="248"/>
      <c r="I51" s="249"/>
      <c r="J51" s="250"/>
      <c r="K51" s="698"/>
    </row>
    <row r="52" spans="1:11" x14ac:dyDescent="0.25">
      <c r="A52" s="240"/>
      <c r="B52" s="688"/>
      <c r="C52" s="692"/>
      <c r="E52" s="690"/>
      <c r="G52" s="1364"/>
    </row>
    <row r="53" spans="1:11" s="246" customFormat="1" ht="36" x14ac:dyDescent="0.2">
      <c r="A53" s="693" t="str">
        <f>$B$7</f>
        <v>I.</v>
      </c>
      <c r="B53" s="348">
        <f>COUNT($A$12:B51)+1</f>
        <v>9</v>
      </c>
      <c r="C53" s="707" t="s">
        <v>1042</v>
      </c>
      <c r="D53" s="705" t="s">
        <v>58</v>
      </c>
      <c r="E53" s="706">
        <v>3</v>
      </c>
      <c r="F53" s="1939"/>
      <c r="G53" s="697">
        <f>ROUND(F53*E53,2)</f>
        <v>0</v>
      </c>
      <c r="H53" s="248"/>
      <c r="I53" s="249"/>
      <c r="J53" s="250"/>
      <c r="K53" s="698"/>
    </row>
    <row r="54" spans="1:11" s="246" customFormat="1" x14ac:dyDescent="0.2">
      <c r="A54" s="693"/>
      <c r="B54" s="348"/>
      <c r="C54" s="707"/>
      <c r="D54" s="705"/>
      <c r="E54" s="706"/>
      <c r="F54" s="1939"/>
      <c r="G54" s="697"/>
      <c r="H54" s="248"/>
      <c r="I54" s="249"/>
      <c r="J54" s="250"/>
      <c r="K54" s="698"/>
    </row>
    <row r="55" spans="1:11" s="246" customFormat="1" x14ac:dyDescent="0.2">
      <c r="A55" s="693"/>
      <c r="B55" s="348"/>
      <c r="C55" s="704"/>
      <c r="D55" s="705"/>
      <c r="E55" s="706"/>
      <c r="F55" s="1939"/>
      <c r="G55" s="697"/>
      <c r="H55" s="248"/>
      <c r="I55" s="249"/>
      <c r="J55" s="250"/>
      <c r="K55" s="698"/>
    </row>
    <row r="56" spans="1:11" s="246" customFormat="1" x14ac:dyDescent="0.2">
      <c r="A56" s="693" t="str">
        <f>$B$7</f>
        <v>I.</v>
      </c>
      <c r="B56" s="348">
        <f>COUNT($A$12:B55)+1</f>
        <v>10</v>
      </c>
      <c r="C56" s="708" t="s">
        <v>1043</v>
      </c>
      <c r="D56" s="705" t="s">
        <v>58</v>
      </c>
      <c r="E56" s="706">
        <v>1</v>
      </c>
      <c r="F56" s="1939"/>
      <c r="G56" s="697">
        <f t="shared" ref="G56" si="0">ROUND(F56*E56,2)</f>
        <v>0</v>
      </c>
      <c r="H56" s="248"/>
      <c r="I56" s="249"/>
      <c r="J56" s="250"/>
      <c r="K56" s="698"/>
    </row>
    <row r="57" spans="1:11" s="246" customFormat="1" x14ac:dyDescent="0.2">
      <c r="A57" s="693"/>
      <c r="B57" s="348"/>
      <c r="C57" s="713"/>
      <c r="D57" s="615"/>
      <c r="E57" s="710"/>
      <c r="F57" s="1942"/>
      <c r="G57" s="697"/>
      <c r="H57" s="248"/>
      <c r="I57" s="249"/>
      <c r="J57" s="250"/>
      <c r="K57" s="698"/>
    </row>
    <row r="58" spans="1:11" s="246" customFormat="1" x14ac:dyDescent="0.2">
      <c r="A58" s="693"/>
      <c r="B58" s="348"/>
      <c r="C58" s="708"/>
      <c r="D58" s="705"/>
      <c r="E58" s="706"/>
      <c r="F58" s="1939"/>
      <c r="G58" s="697"/>
      <c r="H58" s="248"/>
      <c r="I58" s="249"/>
      <c r="J58" s="250"/>
      <c r="K58" s="698"/>
    </row>
    <row r="59" spans="1:11" x14ac:dyDescent="0.25">
      <c r="A59" s="240"/>
      <c r="B59" s="688"/>
      <c r="C59" s="692"/>
      <c r="E59" s="690"/>
      <c r="G59" s="1364"/>
    </row>
    <row r="60" spans="1:11" s="369" customFormat="1" ht="13.5" thickBot="1" x14ac:dyDescent="0.3">
      <c r="A60" s="362"/>
      <c r="B60" s="363"/>
      <c r="C60" s="366" t="str">
        <f>CONCATENATE(C50," - SKUPAJ:")</f>
        <v>VARNOSTNA RAZSVETLJAVA - SKUPAJ:</v>
      </c>
      <c r="D60" s="366"/>
      <c r="E60" s="366"/>
      <c r="F60" s="1943"/>
      <c r="G60" s="712">
        <f>ROUND(SUM(G53:G58),2)</f>
        <v>0</v>
      </c>
    </row>
    <row r="61" spans="1:11" s="633" customFormat="1" ht="15" x14ac:dyDescent="0.25">
      <c r="A61" s="630"/>
      <c r="B61" s="630"/>
      <c r="C61" s="629"/>
      <c r="D61" s="630"/>
      <c r="E61" s="631"/>
      <c r="F61" s="1944"/>
      <c r="G61" s="632"/>
    </row>
    <row r="62" spans="1:11" s="633" customFormat="1" ht="15" x14ac:dyDescent="0.25">
      <c r="A62" s="630"/>
      <c r="B62" s="630"/>
      <c r="C62" s="629"/>
      <c r="D62" s="630"/>
      <c r="E62" s="631"/>
      <c r="F62" s="1944"/>
      <c r="G62" s="632"/>
    </row>
    <row r="63" spans="1:11" s="720" customFormat="1" ht="19.5" thickBot="1" x14ac:dyDescent="0.3">
      <c r="A63" s="714"/>
      <c r="B63" s="715"/>
      <c r="C63" s="716"/>
      <c r="D63" s="717"/>
      <c r="E63" s="718"/>
      <c r="F63" s="1945"/>
      <c r="G63" s="1365"/>
    </row>
    <row r="64" spans="1:11" s="616" customFormat="1" ht="14.25" customHeight="1" x14ac:dyDescent="0.25">
      <c r="A64" s="721"/>
      <c r="B64" s="721"/>
      <c r="C64" s="722"/>
      <c r="D64" s="721"/>
      <c r="E64" s="723"/>
      <c r="F64" s="1946"/>
      <c r="G64" s="1366"/>
    </row>
    <row r="65" spans="1:11" s="616" customFormat="1" ht="12.75" customHeight="1" x14ac:dyDescent="0.25">
      <c r="A65" s="218" t="s">
        <v>1044</v>
      </c>
      <c r="B65" s="612"/>
      <c r="C65" s="613"/>
      <c r="D65" s="612"/>
      <c r="E65" s="612"/>
      <c r="F65" s="1947"/>
      <c r="G65" s="711"/>
    </row>
    <row r="66" spans="1:11" s="369" customFormat="1" x14ac:dyDescent="0.25">
      <c r="A66" s="725"/>
      <c r="B66" s="725"/>
      <c r="C66" s="726"/>
      <c r="D66" s="727"/>
      <c r="E66" s="728"/>
      <c r="F66" s="1948"/>
      <c r="G66" s="1367"/>
      <c r="H66" s="616"/>
      <c r="J66" s="628"/>
      <c r="K66" s="628"/>
    </row>
    <row r="67" spans="1:11" s="369" customFormat="1" x14ac:dyDescent="0.25">
      <c r="A67" s="625"/>
      <c r="B67" s="625"/>
      <c r="C67" s="626"/>
      <c r="E67" s="627"/>
      <c r="F67" s="1949"/>
      <c r="G67" s="730"/>
      <c r="H67" s="616"/>
      <c r="J67" s="628"/>
      <c r="K67" s="628"/>
    </row>
    <row r="68" spans="1:11" s="369" customFormat="1" ht="25.5" x14ac:dyDescent="0.25">
      <c r="A68" s="625"/>
      <c r="B68" s="625"/>
      <c r="C68" s="371" t="str">
        <f>C47</f>
        <v>ZUNANJA IN SPLOŠNA RAZSVETLJAVA - SKUPAJ:</v>
      </c>
      <c r="E68" s="627"/>
      <c r="F68" s="1949"/>
      <c r="G68" s="730">
        <f>ROUND(G47,2)</f>
        <v>0</v>
      </c>
      <c r="H68" s="616"/>
      <c r="J68" s="628"/>
      <c r="K68" s="628"/>
    </row>
    <row r="69" spans="1:11" s="369" customFormat="1" x14ac:dyDescent="0.25">
      <c r="A69" s="625"/>
      <c r="B69" s="625"/>
      <c r="C69" s="371"/>
      <c r="E69" s="627"/>
      <c r="F69" s="1949"/>
      <c r="G69" s="730"/>
      <c r="H69" s="616"/>
      <c r="J69" s="628"/>
      <c r="K69" s="628"/>
    </row>
    <row r="70" spans="1:11" s="369" customFormat="1" x14ac:dyDescent="0.25">
      <c r="A70" s="625"/>
      <c r="B70" s="625"/>
      <c r="C70" s="371" t="str">
        <f>C60</f>
        <v>VARNOSTNA RAZSVETLJAVA - SKUPAJ:</v>
      </c>
      <c r="E70" s="627"/>
      <c r="F70" s="1949"/>
      <c r="G70" s="730">
        <f>ROUND(G60,2)</f>
        <v>0</v>
      </c>
      <c r="H70" s="616"/>
      <c r="J70" s="628"/>
      <c r="K70" s="628"/>
    </row>
    <row r="71" spans="1:11" s="375" customFormat="1" ht="13.5" thickBot="1" x14ac:dyDescent="0.3">
      <c r="A71" s="731"/>
      <c r="B71" s="731"/>
      <c r="C71" s="732"/>
      <c r="D71" s="733"/>
      <c r="E71" s="734"/>
      <c r="F71" s="1950"/>
      <c r="G71" s="735"/>
    </row>
    <row r="72" spans="1:11" s="616" customFormat="1" ht="13.5" thickTop="1" x14ac:dyDescent="0.25">
      <c r="A72" s="736"/>
      <c r="B72" s="736"/>
      <c r="C72" s="737"/>
      <c r="D72" s="738"/>
      <c r="E72" s="739"/>
      <c r="F72" s="1951"/>
      <c r="G72" s="740"/>
      <c r="K72" s="741"/>
    </row>
    <row r="73" spans="1:11" s="375" customFormat="1" ht="25.5" x14ac:dyDescent="0.25">
      <c r="A73" s="742"/>
      <c r="B73" s="742"/>
      <c r="C73" s="752" t="s">
        <v>1057</v>
      </c>
      <c r="D73" s="744"/>
      <c r="E73" s="744"/>
      <c r="F73" s="1952"/>
      <c r="G73" s="746">
        <f>ROUND(SUM(G68:G70),2)</f>
        <v>0</v>
      </c>
    </row>
    <row r="74" spans="1:11" s="616" customFormat="1" x14ac:dyDescent="0.25">
      <c r="A74" s="747"/>
      <c r="B74" s="747"/>
      <c r="C74" s="748"/>
      <c r="D74" s="747"/>
      <c r="E74" s="749"/>
      <c r="F74" s="1953"/>
      <c r="G74" s="612"/>
    </row>
    <row r="75" spans="1:11" s="246" customFormat="1" ht="12" x14ac:dyDescent="0.25">
      <c r="A75" s="261"/>
      <c r="B75" s="261"/>
      <c r="C75" s="268"/>
      <c r="D75" s="261"/>
      <c r="E75" s="242"/>
      <c r="F75" s="1934"/>
      <c r="G75" s="218"/>
    </row>
    <row r="76" spans="1:11" s="246" customFormat="1" ht="12" x14ac:dyDescent="0.25">
      <c r="A76" s="261"/>
      <c r="B76" s="261"/>
      <c r="C76" s="268"/>
      <c r="D76" s="261"/>
      <c r="E76" s="242"/>
      <c r="F76" s="1934"/>
      <c r="G76" s="218"/>
    </row>
    <row r="77" spans="1:11" s="246" customFormat="1" ht="12" x14ac:dyDescent="0.25">
      <c r="A77" s="261"/>
      <c r="B77" s="261"/>
      <c r="C77" s="268"/>
      <c r="D77" s="261"/>
      <c r="E77" s="242"/>
      <c r="F77" s="1934"/>
      <c r="G77" s="218"/>
    </row>
    <row r="78" spans="1:11" s="246" customFormat="1" ht="12" x14ac:dyDescent="0.25">
      <c r="A78" s="261"/>
      <c r="B78" s="261"/>
      <c r="C78" s="268"/>
      <c r="D78" s="261"/>
      <c r="E78" s="242"/>
      <c r="F78" s="1934"/>
      <c r="G78" s="218"/>
    </row>
    <row r="79" spans="1:11" s="246" customFormat="1" ht="12" x14ac:dyDescent="0.25">
      <c r="A79" s="261"/>
      <c r="B79" s="261"/>
      <c r="C79" s="268"/>
      <c r="D79" s="261"/>
      <c r="E79" s="242"/>
      <c r="F79" s="1934"/>
      <c r="G79" s="218"/>
    </row>
    <row r="80" spans="1:11" s="246" customFormat="1" ht="12" x14ac:dyDescent="0.25">
      <c r="A80" s="261"/>
      <c r="B80" s="261"/>
      <c r="C80" s="268"/>
      <c r="D80" s="261"/>
      <c r="E80" s="242"/>
      <c r="F80" s="1934"/>
      <c r="G80" s="218"/>
    </row>
    <row r="81" spans="1:7" s="246" customFormat="1" ht="12" x14ac:dyDescent="0.25">
      <c r="A81" s="261"/>
      <c r="B81" s="261"/>
      <c r="C81" s="268"/>
      <c r="D81" s="261"/>
      <c r="E81" s="242"/>
      <c r="F81" s="1934"/>
      <c r="G81" s="218"/>
    </row>
    <row r="82" spans="1:7" s="246" customFormat="1" ht="12" x14ac:dyDescent="0.25">
      <c r="A82" s="261"/>
      <c r="B82" s="261"/>
      <c r="C82" s="268"/>
      <c r="D82" s="261"/>
      <c r="E82" s="242"/>
      <c r="F82" s="1934"/>
      <c r="G82" s="218"/>
    </row>
    <row r="83" spans="1:7" s="246" customFormat="1" ht="12" x14ac:dyDescent="0.25">
      <c r="A83" s="261"/>
      <c r="B83" s="261"/>
      <c r="C83" s="268"/>
      <c r="D83" s="261"/>
      <c r="E83" s="242"/>
      <c r="F83" s="1934"/>
      <c r="G83" s="218"/>
    </row>
    <row r="84" spans="1:7" s="246" customFormat="1" ht="12" x14ac:dyDescent="0.25">
      <c r="A84" s="261"/>
      <c r="B84" s="261"/>
      <c r="C84" s="268"/>
      <c r="D84" s="261"/>
      <c r="E84" s="242"/>
      <c r="F84" s="1934"/>
      <c r="G84" s="218"/>
    </row>
    <row r="85" spans="1:7" s="246" customFormat="1" ht="12" x14ac:dyDescent="0.25">
      <c r="A85" s="261"/>
      <c r="B85" s="261"/>
      <c r="C85" s="268"/>
      <c r="D85" s="261"/>
      <c r="E85" s="242"/>
      <c r="F85" s="1934"/>
      <c r="G85" s="218"/>
    </row>
    <row r="86" spans="1:7" s="246" customFormat="1" ht="12" x14ac:dyDescent="0.25">
      <c r="A86" s="261"/>
      <c r="B86" s="261"/>
      <c r="C86" s="268"/>
      <c r="D86" s="261"/>
      <c r="E86" s="242"/>
      <c r="F86" s="1934"/>
      <c r="G86" s="218"/>
    </row>
    <row r="87" spans="1:7" s="246" customFormat="1" ht="12" x14ac:dyDescent="0.25">
      <c r="A87" s="261"/>
      <c r="B87" s="261"/>
      <c r="C87" s="268"/>
      <c r="D87" s="261"/>
      <c r="E87" s="242"/>
      <c r="F87" s="1934"/>
      <c r="G87" s="218"/>
    </row>
    <row r="88" spans="1:7" s="246" customFormat="1" ht="12" x14ac:dyDescent="0.25">
      <c r="A88" s="261"/>
      <c r="B88" s="261"/>
      <c r="C88" s="268"/>
      <c r="D88" s="261"/>
      <c r="E88" s="242"/>
      <c r="F88" s="1934"/>
      <c r="G88" s="218"/>
    </row>
    <row r="89" spans="1:7" s="246" customFormat="1" ht="12" x14ac:dyDescent="0.25">
      <c r="A89" s="261"/>
      <c r="B89" s="261"/>
      <c r="C89" s="268"/>
      <c r="D89" s="261"/>
      <c r="E89" s="242"/>
      <c r="F89" s="1934"/>
      <c r="G89" s="218"/>
    </row>
    <row r="90" spans="1:7" s="246" customFormat="1" ht="12" x14ac:dyDescent="0.25">
      <c r="A90" s="261"/>
      <c r="B90" s="261"/>
      <c r="C90" s="268"/>
      <c r="D90" s="261"/>
      <c r="E90" s="242"/>
      <c r="F90" s="1934"/>
      <c r="G90" s="218"/>
    </row>
    <row r="91" spans="1:7" s="246" customFormat="1" ht="12" x14ac:dyDescent="0.25">
      <c r="A91" s="261"/>
      <c r="B91" s="261"/>
      <c r="C91" s="268"/>
      <c r="D91" s="261"/>
      <c r="E91" s="242"/>
      <c r="F91" s="1934"/>
      <c r="G91" s="218"/>
    </row>
    <row r="92" spans="1:7" s="246" customFormat="1" ht="12" x14ac:dyDescent="0.25">
      <c r="A92" s="261"/>
      <c r="B92" s="261"/>
      <c r="C92" s="268"/>
      <c r="D92" s="261"/>
      <c r="E92" s="242"/>
      <c r="F92" s="1934"/>
      <c r="G92" s="218"/>
    </row>
    <row r="93" spans="1:7" s="246" customFormat="1" ht="12" x14ac:dyDescent="0.25">
      <c r="A93" s="261"/>
      <c r="B93" s="261"/>
      <c r="C93" s="268"/>
      <c r="D93" s="261"/>
      <c r="E93" s="242"/>
      <c r="F93" s="1934"/>
      <c r="G93" s="218"/>
    </row>
    <row r="94" spans="1:7" s="246" customFormat="1" ht="12" x14ac:dyDescent="0.25">
      <c r="A94" s="261"/>
      <c r="B94" s="261"/>
      <c r="C94" s="268"/>
      <c r="D94" s="261"/>
      <c r="E94" s="242"/>
      <c r="F94" s="1934"/>
      <c r="G94" s="218"/>
    </row>
    <row r="95" spans="1:7" s="246" customFormat="1" ht="12" x14ac:dyDescent="0.25">
      <c r="A95" s="261"/>
      <c r="B95" s="261"/>
      <c r="C95" s="268"/>
      <c r="D95" s="261"/>
      <c r="E95" s="242"/>
      <c r="F95" s="1934"/>
      <c r="G95" s="218"/>
    </row>
    <row r="96" spans="1:7" s="246" customFormat="1" ht="12" x14ac:dyDescent="0.25">
      <c r="A96" s="261"/>
      <c r="B96" s="261"/>
      <c r="C96" s="268"/>
      <c r="D96" s="261"/>
      <c r="E96" s="242"/>
      <c r="F96" s="1934"/>
      <c r="G96" s="218"/>
    </row>
    <row r="97" spans="1:7" s="246" customFormat="1" ht="12" x14ac:dyDescent="0.25">
      <c r="A97" s="261"/>
      <c r="B97" s="261"/>
      <c r="C97" s="268"/>
      <c r="D97" s="261"/>
      <c r="E97" s="242"/>
      <c r="F97" s="1934"/>
      <c r="G97" s="218"/>
    </row>
    <row r="98" spans="1:7" s="246" customFormat="1" ht="12" x14ac:dyDescent="0.25">
      <c r="A98" s="261"/>
      <c r="B98" s="261"/>
      <c r="C98" s="268"/>
      <c r="D98" s="261"/>
      <c r="E98" s="242"/>
      <c r="F98" s="1934"/>
      <c r="G98" s="218"/>
    </row>
    <row r="99" spans="1:7" s="246" customFormat="1" ht="12" x14ac:dyDescent="0.25">
      <c r="A99" s="261"/>
      <c r="B99" s="261"/>
      <c r="C99" s="268"/>
      <c r="D99" s="261"/>
      <c r="E99" s="242"/>
      <c r="F99" s="1934"/>
      <c r="G99" s="218"/>
    </row>
    <row r="100" spans="1:7" s="246" customFormat="1" ht="12" x14ac:dyDescent="0.25">
      <c r="A100" s="261"/>
      <c r="B100" s="261"/>
      <c r="C100" s="268"/>
      <c r="D100" s="261"/>
      <c r="E100" s="242"/>
      <c r="F100" s="1934"/>
      <c r="G100" s="218"/>
    </row>
    <row r="101" spans="1:7" s="246" customFormat="1" ht="12" x14ac:dyDescent="0.25">
      <c r="A101" s="261"/>
      <c r="B101" s="261"/>
      <c r="C101" s="268"/>
      <c r="D101" s="261"/>
      <c r="E101" s="242"/>
      <c r="F101" s="1934"/>
      <c r="G101" s="218"/>
    </row>
    <row r="102" spans="1:7" s="246" customFormat="1" ht="12" x14ac:dyDescent="0.25">
      <c r="A102" s="261"/>
      <c r="B102" s="261"/>
      <c r="C102" s="268"/>
      <c r="D102" s="261"/>
      <c r="E102" s="242"/>
      <c r="F102" s="1934"/>
      <c r="G102" s="218"/>
    </row>
    <row r="103" spans="1:7" s="246" customFormat="1" ht="12" x14ac:dyDescent="0.25">
      <c r="A103" s="261"/>
      <c r="B103" s="261"/>
      <c r="C103" s="268"/>
      <c r="D103" s="261"/>
      <c r="E103" s="242"/>
      <c r="F103" s="1934"/>
      <c r="G103" s="218"/>
    </row>
    <row r="104" spans="1:7" s="246" customFormat="1" ht="12" x14ac:dyDescent="0.25">
      <c r="A104" s="261"/>
      <c r="B104" s="261"/>
      <c r="C104" s="268"/>
      <c r="D104" s="261"/>
      <c r="E104" s="242"/>
      <c r="F104" s="1934"/>
      <c r="G104" s="218"/>
    </row>
    <row r="105" spans="1:7" s="246" customFormat="1" ht="12" x14ac:dyDescent="0.25">
      <c r="A105" s="261"/>
      <c r="B105" s="261"/>
      <c r="C105" s="268"/>
      <c r="D105" s="261"/>
      <c r="E105" s="242"/>
      <c r="F105" s="1934"/>
      <c r="G105" s="218"/>
    </row>
    <row r="106" spans="1:7" s="246" customFormat="1" ht="12" x14ac:dyDescent="0.25">
      <c r="A106" s="261"/>
      <c r="B106" s="261"/>
      <c r="C106" s="268"/>
      <c r="D106" s="261"/>
      <c r="E106" s="242"/>
      <c r="F106" s="1934"/>
      <c r="G106" s="218"/>
    </row>
    <row r="107" spans="1:7" s="246" customFormat="1" ht="12" x14ac:dyDescent="0.25">
      <c r="A107" s="261"/>
      <c r="B107" s="261"/>
      <c r="C107" s="268"/>
      <c r="D107" s="261"/>
      <c r="E107" s="242"/>
      <c r="F107" s="1934"/>
      <c r="G107" s="218"/>
    </row>
    <row r="108" spans="1:7" s="246" customFormat="1" ht="12" x14ac:dyDescent="0.25">
      <c r="A108" s="261"/>
      <c r="B108" s="261"/>
      <c r="C108" s="268"/>
      <c r="D108" s="261"/>
      <c r="E108" s="242"/>
      <c r="F108" s="1934"/>
      <c r="G108" s="218"/>
    </row>
    <row r="109" spans="1:7" s="246" customFormat="1" ht="12" x14ac:dyDescent="0.25">
      <c r="A109" s="261"/>
      <c r="B109" s="261"/>
      <c r="C109" s="268"/>
      <c r="D109" s="261"/>
      <c r="E109" s="242"/>
      <c r="F109" s="1934"/>
      <c r="G109" s="218"/>
    </row>
    <row r="110" spans="1:7" s="246" customFormat="1" ht="12" x14ac:dyDescent="0.25">
      <c r="A110" s="261"/>
      <c r="B110" s="261"/>
      <c r="C110" s="268"/>
      <c r="D110" s="261"/>
      <c r="E110" s="242"/>
      <c r="F110" s="1934"/>
      <c r="G110" s="218"/>
    </row>
    <row r="111" spans="1:7" s="246" customFormat="1" ht="12" x14ac:dyDescent="0.25">
      <c r="A111" s="261"/>
      <c r="B111" s="261"/>
      <c r="C111" s="268"/>
      <c r="D111" s="261"/>
      <c r="E111" s="242"/>
      <c r="F111" s="1934"/>
      <c r="G111" s="218"/>
    </row>
    <row r="112" spans="1:7" s="246" customFormat="1" ht="12" x14ac:dyDescent="0.25">
      <c r="A112" s="261"/>
      <c r="B112" s="261"/>
      <c r="C112" s="268"/>
      <c r="D112" s="261"/>
      <c r="E112" s="242"/>
      <c r="F112" s="1934"/>
      <c r="G112" s="218"/>
    </row>
    <row r="113" spans="1:7" s="246" customFormat="1" ht="12" x14ac:dyDescent="0.25">
      <c r="A113" s="261"/>
      <c r="B113" s="261"/>
      <c r="C113" s="268"/>
      <c r="D113" s="261"/>
      <c r="E113" s="242"/>
      <c r="F113" s="1934"/>
      <c r="G113" s="218"/>
    </row>
    <row r="114" spans="1:7" s="246" customFormat="1" ht="12" x14ac:dyDescent="0.25">
      <c r="A114" s="261"/>
      <c r="B114" s="261"/>
      <c r="C114" s="268"/>
      <c r="D114" s="261"/>
      <c r="E114" s="242"/>
      <c r="F114" s="1934"/>
      <c r="G114" s="218"/>
    </row>
    <row r="115" spans="1:7" s="246" customFormat="1" ht="12" x14ac:dyDescent="0.25">
      <c r="A115" s="261"/>
      <c r="B115" s="261"/>
      <c r="C115" s="268"/>
      <c r="D115" s="261"/>
      <c r="E115" s="242"/>
      <c r="F115" s="1934"/>
      <c r="G115" s="218"/>
    </row>
    <row r="116" spans="1:7" s="246" customFormat="1" ht="12" x14ac:dyDescent="0.25">
      <c r="A116" s="261"/>
      <c r="B116" s="261"/>
      <c r="C116" s="268"/>
      <c r="D116" s="261"/>
      <c r="E116" s="242"/>
      <c r="F116" s="1934"/>
      <c r="G116" s="218"/>
    </row>
    <row r="117" spans="1:7" s="246" customFormat="1" ht="12" x14ac:dyDescent="0.25">
      <c r="A117" s="261"/>
      <c r="B117" s="261"/>
      <c r="C117" s="268"/>
      <c r="D117" s="261"/>
      <c r="E117" s="242"/>
      <c r="F117" s="1934"/>
      <c r="G117" s="218"/>
    </row>
    <row r="118" spans="1:7" s="246" customFormat="1" ht="12" x14ac:dyDescent="0.25">
      <c r="A118" s="261"/>
      <c r="B118" s="261"/>
      <c r="C118" s="268"/>
      <c r="D118" s="261"/>
      <c r="E118" s="242"/>
      <c r="F118" s="1934"/>
      <c r="G118" s="218"/>
    </row>
    <row r="119" spans="1:7" s="246" customFormat="1" ht="12" x14ac:dyDescent="0.25">
      <c r="A119" s="261"/>
      <c r="B119" s="261"/>
      <c r="C119" s="268"/>
      <c r="D119" s="261"/>
      <c r="E119" s="242"/>
      <c r="F119" s="1934"/>
      <c r="G119" s="218"/>
    </row>
    <row r="120" spans="1:7" s="246" customFormat="1" ht="12" x14ac:dyDescent="0.25">
      <c r="A120" s="261"/>
      <c r="B120" s="261"/>
      <c r="C120" s="268"/>
      <c r="D120" s="261"/>
      <c r="E120" s="242"/>
      <c r="F120" s="1934"/>
      <c r="G120" s="218"/>
    </row>
    <row r="121" spans="1:7" s="246" customFormat="1" ht="12" x14ac:dyDescent="0.25">
      <c r="A121" s="261"/>
      <c r="B121" s="261"/>
      <c r="C121" s="268"/>
      <c r="D121" s="261"/>
      <c r="E121" s="242"/>
      <c r="F121" s="1934"/>
      <c r="G121" s="218"/>
    </row>
    <row r="122" spans="1:7" s="246" customFormat="1" ht="12" x14ac:dyDescent="0.25">
      <c r="A122" s="261"/>
      <c r="B122" s="261"/>
      <c r="C122" s="268"/>
      <c r="D122" s="261"/>
      <c r="E122" s="242"/>
      <c r="F122" s="1934"/>
      <c r="G122" s="218"/>
    </row>
    <row r="123" spans="1:7" s="246" customFormat="1" ht="12" x14ac:dyDescent="0.25">
      <c r="A123" s="261"/>
      <c r="B123" s="261"/>
      <c r="C123" s="268"/>
      <c r="D123" s="261"/>
      <c r="E123" s="242"/>
      <c r="F123" s="1934"/>
      <c r="G123" s="218"/>
    </row>
    <row r="124" spans="1:7" s="246" customFormat="1" ht="12" x14ac:dyDescent="0.25">
      <c r="A124" s="261"/>
      <c r="B124" s="261"/>
      <c r="C124" s="268"/>
      <c r="D124" s="261"/>
      <c r="E124" s="242"/>
      <c r="F124" s="1934"/>
      <c r="G124" s="218"/>
    </row>
    <row r="125" spans="1:7" s="246" customFormat="1" ht="12" x14ac:dyDescent="0.25">
      <c r="A125" s="261"/>
      <c r="B125" s="261"/>
      <c r="C125" s="268"/>
      <c r="D125" s="261"/>
      <c r="E125" s="242"/>
      <c r="F125" s="1934"/>
      <c r="G125" s="218"/>
    </row>
    <row r="126" spans="1:7" s="246" customFormat="1" ht="12" x14ac:dyDescent="0.25">
      <c r="A126" s="261"/>
      <c r="B126" s="261"/>
      <c r="C126" s="268"/>
      <c r="D126" s="261"/>
      <c r="E126" s="242"/>
      <c r="F126" s="1934"/>
      <c r="G126" s="218"/>
    </row>
    <row r="127" spans="1:7" s="246" customFormat="1" ht="12" x14ac:dyDescent="0.25">
      <c r="A127" s="261"/>
      <c r="B127" s="261"/>
      <c r="C127" s="268"/>
      <c r="D127" s="261"/>
      <c r="E127" s="242"/>
      <c r="F127" s="1934"/>
      <c r="G127" s="218"/>
    </row>
    <row r="128" spans="1:7" s="246" customFormat="1" ht="12" x14ac:dyDescent="0.25">
      <c r="A128" s="261"/>
      <c r="B128" s="261"/>
      <c r="C128" s="268"/>
      <c r="D128" s="261"/>
      <c r="E128" s="242"/>
      <c r="F128" s="1934"/>
      <c r="G128" s="218"/>
    </row>
    <row r="129" spans="1:7" s="246" customFormat="1" ht="12" x14ac:dyDescent="0.25">
      <c r="A129" s="261"/>
      <c r="B129" s="261"/>
      <c r="C129" s="268"/>
      <c r="D129" s="261"/>
      <c r="E129" s="242"/>
      <c r="F129" s="1934"/>
      <c r="G129" s="218"/>
    </row>
    <row r="130" spans="1:7" s="246" customFormat="1" ht="12" x14ac:dyDescent="0.25">
      <c r="A130" s="261"/>
      <c r="B130" s="261"/>
      <c r="C130" s="268"/>
      <c r="D130" s="261"/>
      <c r="E130" s="242"/>
      <c r="F130" s="1934"/>
      <c r="G130" s="218"/>
    </row>
    <row r="131" spans="1:7" s="246" customFormat="1" ht="12" x14ac:dyDescent="0.25">
      <c r="A131" s="261"/>
      <c r="B131" s="261"/>
      <c r="C131" s="268"/>
      <c r="D131" s="261"/>
      <c r="E131" s="242"/>
      <c r="F131" s="1934"/>
      <c r="G131" s="218"/>
    </row>
    <row r="132" spans="1:7" s="246" customFormat="1" ht="12" x14ac:dyDescent="0.25">
      <c r="A132" s="261"/>
      <c r="B132" s="261"/>
      <c r="C132" s="268"/>
      <c r="D132" s="261"/>
      <c r="E132" s="242"/>
      <c r="F132" s="1934"/>
      <c r="G132" s="218"/>
    </row>
    <row r="133" spans="1:7" s="246" customFormat="1" ht="12" x14ac:dyDescent="0.25">
      <c r="A133" s="261"/>
      <c r="B133" s="261"/>
      <c r="C133" s="268"/>
      <c r="D133" s="261"/>
      <c r="E133" s="242"/>
      <c r="F133" s="1934"/>
      <c r="G133" s="218"/>
    </row>
    <row r="134" spans="1:7" s="246" customFormat="1" ht="12" x14ac:dyDescent="0.25">
      <c r="A134" s="261"/>
      <c r="B134" s="261"/>
      <c r="C134" s="268"/>
      <c r="D134" s="261"/>
      <c r="E134" s="242"/>
      <c r="F134" s="1934"/>
      <c r="G134" s="218"/>
    </row>
    <row r="135" spans="1:7" s="246" customFormat="1" ht="12" x14ac:dyDescent="0.25">
      <c r="A135" s="261"/>
      <c r="B135" s="261"/>
      <c r="C135" s="268"/>
      <c r="D135" s="261"/>
      <c r="E135" s="242"/>
      <c r="F135" s="1934"/>
      <c r="G135" s="218"/>
    </row>
    <row r="136" spans="1:7" s="246" customFormat="1" ht="12" x14ac:dyDescent="0.25">
      <c r="A136" s="261"/>
      <c r="B136" s="261"/>
      <c r="C136" s="268"/>
      <c r="D136" s="261"/>
      <c r="E136" s="242"/>
      <c r="F136" s="1934"/>
      <c r="G136" s="218"/>
    </row>
    <row r="137" spans="1:7" s="246" customFormat="1" ht="12" x14ac:dyDescent="0.25">
      <c r="A137" s="261"/>
      <c r="B137" s="261"/>
      <c r="C137" s="268"/>
      <c r="D137" s="261"/>
      <c r="E137" s="242"/>
      <c r="F137" s="1934"/>
      <c r="G137" s="218"/>
    </row>
    <row r="138" spans="1:7" s="246" customFormat="1" ht="12" x14ac:dyDescent="0.25">
      <c r="A138" s="261"/>
      <c r="B138" s="261"/>
      <c r="C138" s="268"/>
      <c r="D138" s="261"/>
      <c r="E138" s="242"/>
      <c r="F138" s="1934"/>
      <c r="G138" s="218"/>
    </row>
    <row r="139" spans="1:7" s="246" customFormat="1" ht="12" x14ac:dyDescent="0.25">
      <c r="A139" s="261"/>
      <c r="B139" s="261"/>
      <c r="C139" s="268"/>
      <c r="D139" s="261"/>
      <c r="E139" s="242"/>
      <c r="F139" s="1934"/>
      <c r="G139" s="218"/>
    </row>
    <row r="140" spans="1:7" s="246" customFormat="1" ht="12" x14ac:dyDescent="0.25">
      <c r="A140" s="261"/>
      <c r="B140" s="261"/>
      <c r="C140" s="268"/>
      <c r="D140" s="261"/>
      <c r="E140" s="242"/>
      <c r="F140" s="1934"/>
      <c r="G140" s="218"/>
    </row>
    <row r="141" spans="1:7" s="246" customFormat="1" ht="12" x14ac:dyDescent="0.25">
      <c r="A141" s="261"/>
      <c r="B141" s="261"/>
      <c r="C141" s="268"/>
      <c r="D141" s="261"/>
      <c r="E141" s="242"/>
      <c r="F141" s="1934"/>
      <c r="G141" s="218"/>
    </row>
    <row r="142" spans="1:7" s="246" customFormat="1" ht="12" x14ac:dyDescent="0.25">
      <c r="A142" s="261"/>
      <c r="B142" s="261"/>
      <c r="C142" s="268"/>
      <c r="D142" s="261"/>
      <c r="E142" s="242"/>
      <c r="F142" s="1934"/>
      <c r="G142" s="218"/>
    </row>
    <row r="143" spans="1:7" s="246" customFormat="1" ht="12" x14ac:dyDescent="0.25">
      <c r="A143" s="261"/>
      <c r="B143" s="261"/>
      <c r="C143" s="268"/>
      <c r="D143" s="261"/>
      <c r="E143" s="242"/>
      <c r="F143" s="1934"/>
      <c r="G143" s="218"/>
    </row>
    <row r="144" spans="1:7" s="246" customFormat="1" ht="12" x14ac:dyDescent="0.25">
      <c r="A144" s="261"/>
      <c r="B144" s="261"/>
      <c r="C144" s="268"/>
      <c r="D144" s="261"/>
      <c r="E144" s="242"/>
      <c r="F144" s="1934"/>
      <c r="G144" s="218"/>
    </row>
    <row r="145" spans="1:7" s="246" customFormat="1" ht="12" x14ac:dyDescent="0.25">
      <c r="A145" s="261"/>
      <c r="B145" s="261"/>
      <c r="C145" s="268"/>
      <c r="D145" s="261"/>
      <c r="E145" s="242"/>
      <c r="F145" s="1934"/>
      <c r="G145" s="218"/>
    </row>
    <row r="146" spans="1:7" s="246" customFormat="1" ht="12" x14ac:dyDescent="0.25">
      <c r="A146" s="261"/>
      <c r="B146" s="261"/>
      <c r="C146" s="268"/>
      <c r="D146" s="261"/>
      <c r="E146" s="242"/>
      <c r="F146" s="1934"/>
      <c r="G146" s="218"/>
    </row>
    <row r="147" spans="1:7" s="246" customFormat="1" ht="12" x14ac:dyDescent="0.25">
      <c r="A147" s="261"/>
      <c r="B147" s="261"/>
      <c r="C147" s="268"/>
      <c r="D147" s="261"/>
      <c r="E147" s="242"/>
      <c r="F147" s="1934"/>
      <c r="G147" s="218"/>
    </row>
    <row r="148" spans="1:7" s="246" customFormat="1" ht="12" x14ac:dyDescent="0.25">
      <c r="A148" s="261"/>
      <c r="B148" s="261"/>
      <c r="C148" s="268"/>
      <c r="D148" s="261"/>
      <c r="E148" s="242"/>
      <c r="F148" s="1934"/>
      <c r="G148" s="218"/>
    </row>
    <row r="149" spans="1:7" s="246" customFormat="1" ht="12" x14ac:dyDescent="0.25">
      <c r="A149" s="261"/>
      <c r="B149" s="261"/>
      <c r="C149" s="268"/>
      <c r="D149" s="261"/>
      <c r="E149" s="242"/>
      <c r="F149" s="1934"/>
      <c r="G149" s="218"/>
    </row>
    <row r="150" spans="1:7" s="246" customFormat="1" ht="12" x14ac:dyDescent="0.25">
      <c r="A150" s="261"/>
      <c r="B150" s="261"/>
      <c r="C150" s="268"/>
      <c r="D150" s="261"/>
      <c r="E150" s="242"/>
      <c r="F150" s="1934"/>
      <c r="G150" s="218"/>
    </row>
    <row r="151" spans="1:7" s="246" customFormat="1" ht="12" x14ac:dyDescent="0.25">
      <c r="A151" s="261"/>
      <c r="B151" s="261"/>
      <c r="C151" s="268"/>
      <c r="D151" s="261"/>
      <c r="E151" s="242"/>
      <c r="F151" s="1934"/>
      <c r="G151" s="218"/>
    </row>
    <row r="152" spans="1:7" s="246" customFormat="1" ht="12" x14ac:dyDescent="0.25">
      <c r="A152" s="261"/>
      <c r="B152" s="261"/>
      <c r="C152" s="268"/>
      <c r="D152" s="261"/>
      <c r="E152" s="242"/>
      <c r="F152" s="1934"/>
      <c r="G152" s="218"/>
    </row>
    <row r="153" spans="1:7" s="246" customFormat="1" ht="12" x14ac:dyDescent="0.25">
      <c r="A153" s="261"/>
      <c r="B153" s="261"/>
      <c r="C153" s="268"/>
      <c r="D153" s="261"/>
      <c r="E153" s="242"/>
      <c r="F153" s="1934"/>
      <c r="G153" s="218"/>
    </row>
    <row r="154" spans="1:7" s="246" customFormat="1" ht="12" x14ac:dyDescent="0.25">
      <c r="A154" s="261"/>
      <c r="B154" s="261"/>
      <c r="C154" s="268"/>
      <c r="D154" s="261"/>
      <c r="E154" s="242"/>
      <c r="F154" s="1934"/>
      <c r="G154" s="218"/>
    </row>
    <row r="155" spans="1:7" s="246" customFormat="1" ht="12" x14ac:dyDescent="0.25">
      <c r="A155" s="261"/>
      <c r="B155" s="261"/>
      <c r="C155" s="268"/>
      <c r="D155" s="261"/>
      <c r="E155" s="242"/>
      <c r="F155" s="1934"/>
      <c r="G155" s="218"/>
    </row>
    <row r="156" spans="1:7" s="246" customFormat="1" ht="12" x14ac:dyDescent="0.25">
      <c r="A156" s="261"/>
      <c r="B156" s="261"/>
      <c r="C156" s="268"/>
      <c r="D156" s="261"/>
      <c r="E156" s="242"/>
      <c r="F156" s="1934"/>
      <c r="G156" s="218"/>
    </row>
    <row r="157" spans="1:7" s="246" customFormat="1" ht="12" x14ac:dyDescent="0.25">
      <c r="A157" s="261"/>
      <c r="B157" s="261"/>
      <c r="C157" s="268"/>
      <c r="D157" s="261"/>
      <c r="E157" s="242"/>
      <c r="F157" s="1934"/>
      <c r="G157" s="218"/>
    </row>
    <row r="158" spans="1:7" s="246" customFormat="1" ht="12" x14ac:dyDescent="0.25">
      <c r="A158" s="261"/>
      <c r="B158" s="261"/>
      <c r="C158" s="268"/>
      <c r="D158" s="261"/>
      <c r="E158" s="242"/>
      <c r="F158" s="1934"/>
      <c r="G158" s="218"/>
    </row>
    <row r="159" spans="1:7" s="246" customFormat="1" ht="12" x14ac:dyDescent="0.25">
      <c r="A159" s="261"/>
      <c r="B159" s="261"/>
      <c r="C159" s="268"/>
      <c r="D159" s="261"/>
      <c r="E159" s="242"/>
      <c r="F159" s="1934"/>
      <c r="G159" s="218"/>
    </row>
    <row r="160" spans="1:7" s="246" customFormat="1" ht="12" x14ac:dyDescent="0.25">
      <c r="A160" s="261"/>
      <c r="B160" s="261"/>
      <c r="C160" s="268"/>
      <c r="D160" s="261"/>
      <c r="E160" s="242"/>
      <c r="F160" s="1934"/>
      <c r="G160" s="218"/>
    </row>
    <row r="161" spans="1:7" s="246" customFormat="1" ht="12" x14ac:dyDescent="0.25">
      <c r="A161" s="261"/>
      <c r="B161" s="261"/>
      <c r="C161" s="268"/>
      <c r="D161" s="261"/>
      <c r="E161" s="242"/>
      <c r="F161" s="1934"/>
      <c r="G161" s="218"/>
    </row>
    <row r="162" spans="1:7" s="246" customFormat="1" ht="12" x14ac:dyDescent="0.25">
      <c r="A162" s="261"/>
      <c r="B162" s="261"/>
      <c r="C162" s="268"/>
      <c r="D162" s="261"/>
      <c r="E162" s="242"/>
      <c r="F162" s="1934"/>
      <c r="G162" s="218"/>
    </row>
    <row r="163" spans="1:7" s="246" customFormat="1" ht="12" x14ac:dyDescent="0.25">
      <c r="A163" s="261"/>
      <c r="B163" s="261"/>
      <c r="C163" s="268"/>
      <c r="D163" s="261"/>
      <c r="E163" s="242"/>
      <c r="F163" s="1934"/>
      <c r="G163" s="218"/>
    </row>
    <row r="164" spans="1:7" s="246" customFormat="1" ht="12" x14ac:dyDescent="0.25">
      <c r="A164" s="261"/>
      <c r="B164" s="261"/>
      <c r="C164" s="268"/>
      <c r="D164" s="261"/>
      <c r="E164" s="242"/>
      <c r="F164" s="1934"/>
      <c r="G164" s="218"/>
    </row>
    <row r="165" spans="1:7" s="246" customFormat="1" ht="12" x14ac:dyDescent="0.25">
      <c r="A165" s="261"/>
      <c r="B165" s="261"/>
      <c r="C165" s="268"/>
      <c r="D165" s="261"/>
      <c r="E165" s="242"/>
      <c r="F165" s="1934"/>
      <c r="G165" s="218"/>
    </row>
    <row r="166" spans="1:7" s="246" customFormat="1" ht="12" x14ac:dyDescent="0.25">
      <c r="A166" s="261"/>
      <c r="B166" s="261"/>
      <c r="C166" s="268"/>
      <c r="D166" s="261"/>
      <c r="E166" s="242"/>
      <c r="F166" s="1934"/>
      <c r="G166" s="218"/>
    </row>
    <row r="167" spans="1:7" s="246" customFormat="1" ht="12" x14ac:dyDescent="0.25">
      <c r="A167" s="261"/>
      <c r="B167" s="261"/>
      <c r="C167" s="268"/>
      <c r="D167" s="261"/>
      <c r="E167" s="242"/>
      <c r="F167" s="1934"/>
      <c r="G167" s="218"/>
    </row>
    <row r="168" spans="1:7" s="246" customFormat="1" ht="12" x14ac:dyDescent="0.25">
      <c r="A168" s="261"/>
      <c r="B168" s="261"/>
      <c r="C168" s="268"/>
      <c r="D168" s="261"/>
      <c r="E168" s="242"/>
      <c r="F168" s="1934"/>
      <c r="G168" s="218"/>
    </row>
    <row r="169" spans="1:7" s="246" customFormat="1" ht="12" x14ac:dyDescent="0.25">
      <c r="A169" s="261"/>
      <c r="B169" s="261"/>
      <c r="C169" s="268"/>
      <c r="D169" s="261"/>
      <c r="E169" s="242"/>
      <c r="F169" s="1934"/>
      <c r="G169" s="218"/>
    </row>
    <row r="170" spans="1:7" s="246" customFormat="1" ht="12" x14ac:dyDescent="0.25">
      <c r="A170" s="261"/>
      <c r="B170" s="261"/>
      <c r="C170" s="268"/>
      <c r="D170" s="261"/>
      <c r="E170" s="242"/>
      <c r="F170" s="1934"/>
      <c r="G170" s="218"/>
    </row>
    <row r="171" spans="1:7" s="246" customFormat="1" ht="12" x14ac:dyDescent="0.25">
      <c r="A171" s="261"/>
      <c r="B171" s="261"/>
      <c r="C171" s="268"/>
      <c r="D171" s="261"/>
      <c r="E171" s="242"/>
      <c r="F171" s="1934"/>
      <c r="G171" s="218"/>
    </row>
    <row r="172" spans="1:7" s="246" customFormat="1" ht="12" x14ac:dyDescent="0.25">
      <c r="A172" s="261"/>
      <c r="B172" s="261"/>
      <c r="C172" s="268"/>
      <c r="D172" s="261"/>
      <c r="E172" s="242"/>
      <c r="F172" s="1934"/>
      <c r="G172" s="218"/>
    </row>
    <row r="173" spans="1:7" s="246" customFormat="1" ht="12" x14ac:dyDescent="0.25">
      <c r="A173" s="261"/>
      <c r="B173" s="261"/>
      <c r="C173" s="268"/>
      <c r="D173" s="261"/>
      <c r="E173" s="242"/>
      <c r="F173" s="1934"/>
      <c r="G173" s="218"/>
    </row>
    <row r="174" spans="1:7" s="246" customFormat="1" ht="12" x14ac:dyDescent="0.25">
      <c r="A174" s="261"/>
      <c r="B174" s="261"/>
      <c r="C174" s="268"/>
      <c r="D174" s="261"/>
      <c r="E174" s="242"/>
      <c r="F174" s="1934"/>
      <c r="G174" s="218"/>
    </row>
    <row r="175" spans="1:7" s="246" customFormat="1" ht="12" x14ac:dyDescent="0.25">
      <c r="A175" s="261"/>
      <c r="B175" s="261"/>
      <c r="C175" s="268"/>
      <c r="D175" s="261"/>
      <c r="E175" s="242"/>
      <c r="F175" s="1934"/>
      <c r="G175" s="218"/>
    </row>
    <row r="176" spans="1:7" s="246" customFormat="1" ht="12" x14ac:dyDescent="0.25">
      <c r="A176" s="261"/>
      <c r="B176" s="261"/>
      <c r="C176" s="268"/>
      <c r="D176" s="261"/>
      <c r="E176" s="242"/>
      <c r="F176" s="1934"/>
      <c r="G176" s="218"/>
    </row>
    <row r="177" spans="1:7" s="246" customFormat="1" ht="12" x14ac:dyDescent="0.25">
      <c r="A177" s="261"/>
      <c r="B177" s="261"/>
      <c r="C177" s="268"/>
      <c r="D177" s="261"/>
      <c r="E177" s="242"/>
      <c r="F177" s="1934"/>
      <c r="G177" s="218"/>
    </row>
  </sheetData>
  <sheetProtection algorithmName="SHA-512" hashValue="HcdXg5D01+Oul3tvvxDJqsTnCTazoHhjclk4O/ZF2d6XugQ3kFAcJqEc1zQFHn7edIxsdHYKxfGReZWBe1v5LA==" saltValue="A3IBq1YDl7+cEGjVGUP8vQ==" spinCount="100000" sheet="1" objects="1" scenarios="1"/>
  <pageMargins left="0.98425196850393704" right="0.39370078740157483" top="0.98425196850393704" bottom="0.74803149606299213" header="0" footer="0.39370078740157483"/>
  <pageSetup paperSize="9" scale="98" firstPageNumber="0" orientation="portrait" r:id="rId1"/>
  <headerFooter alignWithMargins="0">
    <oddHeader>&amp;R&amp;"Projekt,Običajno"&amp;72p&amp;L_x000D__x000D_&amp;9</oddHeader>
    <oddFooter>&amp;C&amp;6 &amp; List: &amp;A&amp;R &amp;  &amp; Stran: &amp;P/&amp;N</oddFooter>
  </headerFooter>
  <rowBreaks count="1" manualBreakCount="1">
    <brk id="49"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tabColor theme="6" tint="-0.249977111117893"/>
  </sheetPr>
  <dimension ref="A1:K148"/>
  <sheetViews>
    <sheetView view="pageBreakPreview" zoomScale="115" zoomScaleNormal="85" zoomScaleSheetLayoutView="115" workbookViewId="0"/>
  </sheetViews>
  <sheetFormatPr defaultRowHeight="12.75" x14ac:dyDescent="0.25"/>
  <cols>
    <col min="1" max="1" width="2.5703125" style="224" customWidth="1"/>
    <col min="2" max="2" width="5.28515625" style="224" customWidth="1"/>
    <col min="3" max="3" width="43.28515625" style="818" customWidth="1"/>
    <col min="4" max="4" width="6.28515625" style="224" customWidth="1"/>
    <col min="5" max="5" width="7.5703125" style="764" customWidth="1"/>
    <col min="6" max="6" width="10" style="1956" customWidth="1"/>
    <col min="7" max="7" width="13.28515625" style="765" customWidth="1"/>
    <col min="8" max="8" width="9.85546875" style="224" customWidth="1"/>
    <col min="9" max="9" width="2.5703125" style="224" bestFit="1" customWidth="1"/>
    <col min="10" max="10" width="9.140625" style="224"/>
    <col min="11" max="11" width="9" style="224" customWidth="1"/>
    <col min="12" max="256" width="9.140625" style="224"/>
    <col min="257" max="257" width="2.5703125" style="224" customWidth="1"/>
    <col min="258" max="258" width="5.28515625" style="224" customWidth="1"/>
    <col min="259" max="259" width="43.7109375" style="224" customWidth="1"/>
    <col min="260" max="260" width="6.28515625" style="224" customWidth="1"/>
    <col min="261" max="261" width="7.5703125" style="224" customWidth="1"/>
    <col min="262" max="262" width="9.5703125" style="224" customWidth="1"/>
    <col min="263" max="263" width="13.28515625" style="224" customWidth="1"/>
    <col min="264" max="264" width="9.85546875" style="224" customWidth="1"/>
    <col min="265" max="265" width="2.5703125" style="224" bestFit="1" customWidth="1"/>
    <col min="266" max="266" width="9.140625" style="224"/>
    <col min="267" max="267" width="9" style="224" customWidth="1"/>
    <col min="268" max="512" width="9.140625" style="224"/>
    <col min="513" max="513" width="2.5703125" style="224" customWidth="1"/>
    <col min="514" max="514" width="5.28515625" style="224" customWidth="1"/>
    <col min="515" max="515" width="43.7109375" style="224" customWidth="1"/>
    <col min="516" max="516" width="6.28515625" style="224" customWidth="1"/>
    <col min="517" max="517" width="7.5703125" style="224" customWidth="1"/>
    <col min="518" max="518" width="9.5703125" style="224" customWidth="1"/>
    <col min="519" max="519" width="13.28515625" style="224" customWidth="1"/>
    <col min="520" max="520" width="9.85546875" style="224" customWidth="1"/>
    <col min="521" max="521" width="2.5703125" style="224" bestFit="1" customWidth="1"/>
    <col min="522" max="522" width="9.140625" style="224"/>
    <col min="523" max="523" width="9" style="224" customWidth="1"/>
    <col min="524" max="768" width="9.140625" style="224"/>
    <col min="769" max="769" width="2.5703125" style="224" customWidth="1"/>
    <col min="770" max="770" width="5.28515625" style="224" customWidth="1"/>
    <col min="771" max="771" width="43.7109375" style="224" customWidth="1"/>
    <col min="772" max="772" width="6.28515625" style="224" customWidth="1"/>
    <col min="773" max="773" width="7.5703125" style="224" customWidth="1"/>
    <col min="774" max="774" width="9.5703125" style="224" customWidth="1"/>
    <col min="775" max="775" width="13.28515625" style="224" customWidth="1"/>
    <col min="776" max="776" width="9.85546875" style="224" customWidth="1"/>
    <col min="777" max="777" width="2.5703125" style="224" bestFit="1" customWidth="1"/>
    <col min="778" max="778" width="9.140625" style="224"/>
    <col min="779" max="779" width="9" style="224" customWidth="1"/>
    <col min="780" max="1024" width="9.140625" style="224"/>
    <col min="1025" max="1025" width="2.5703125" style="224" customWidth="1"/>
    <col min="1026" max="1026" width="5.28515625" style="224" customWidth="1"/>
    <col min="1027" max="1027" width="43.7109375" style="224" customWidth="1"/>
    <col min="1028" max="1028" width="6.28515625" style="224" customWidth="1"/>
    <col min="1029" max="1029" width="7.5703125" style="224" customWidth="1"/>
    <col min="1030" max="1030" width="9.5703125" style="224" customWidth="1"/>
    <col min="1031" max="1031" width="13.28515625" style="224" customWidth="1"/>
    <col min="1032" max="1032" width="9.85546875" style="224" customWidth="1"/>
    <col min="1033" max="1033" width="2.5703125" style="224" bestFit="1" customWidth="1"/>
    <col min="1034" max="1034" width="9.140625" style="224"/>
    <col min="1035" max="1035" width="9" style="224" customWidth="1"/>
    <col min="1036" max="1280" width="9.140625" style="224"/>
    <col min="1281" max="1281" width="2.5703125" style="224" customWidth="1"/>
    <col min="1282" max="1282" width="5.28515625" style="224" customWidth="1"/>
    <col min="1283" max="1283" width="43.7109375" style="224" customWidth="1"/>
    <col min="1284" max="1284" width="6.28515625" style="224" customWidth="1"/>
    <col min="1285" max="1285" width="7.5703125" style="224" customWidth="1"/>
    <col min="1286" max="1286" width="9.5703125" style="224" customWidth="1"/>
    <col min="1287" max="1287" width="13.28515625" style="224" customWidth="1"/>
    <col min="1288" max="1288" width="9.85546875" style="224" customWidth="1"/>
    <col min="1289" max="1289" width="2.5703125" style="224" bestFit="1" customWidth="1"/>
    <col min="1290" max="1290" width="9.140625" style="224"/>
    <col min="1291" max="1291" width="9" style="224" customWidth="1"/>
    <col min="1292" max="1536" width="9.140625" style="224"/>
    <col min="1537" max="1537" width="2.5703125" style="224" customWidth="1"/>
    <col min="1538" max="1538" width="5.28515625" style="224" customWidth="1"/>
    <col min="1539" max="1539" width="43.7109375" style="224" customWidth="1"/>
    <col min="1540" max="1540" width="6.28515625" style="224" customWidth="1"/>
    <col min="1541" max="1541" width="7.5703125" style="224" customWidth="1"/>
    <col min="1542" max="1542" width="9.5703125" style="224" customWidth="1"/>
    <col min="1543" max="1543" width="13.28515625" style="224" customWidth="1"/>
    <col min="1544" max="1544" width="9.85546875" style="224" customWidth="1"/>
    <col min="1545" max="1545" width="2.5703125" style="224" bestFit="1" customWidth="1"/>
    <col min="1546" max="1546" width="9.140625" style="224"/>
    <col min="1547" max="1547" width="9" style="224" customWidth="1"/>
    <col min="1548" max="1792" width="9.140625" style="224"/>
    <col min="1793" max="1793" width="2.5703125" style="224" customWidth="1"/>
    <col min="1794" max="1794" width="5.28515625" style="224" customWidth="1"/>
    <col min="1795" max="1795" width="43.7109375" style="224" customWidth="1"/>
    <col min="1796" max="1796" width="6.28515625" style="224" customWidth="1"/>
    <col min="1797" max="1797" width="7.5703125" style="224" customWidth="1"/>
    <col min="1798" max="1798" width="9.5703125" style="224" customWidth="1"/>
    <col min="1799" max="1799" width="13.28515625" style="224" customWidth="1"/>
    <col min="1800" max="1800" width="9.85546875" style="224" customWidth="1"/>
    <col min="1801" max="1801" width="2.5703125" style="224" bestFit="1" customWidth="1"/>
    <col min="1802" max="1802" width="9.140625" style="224"/>
    <col min="1803" max="1803" width="9" style="224" customWidth="1"/>
    <col min="1804" max="2048" width="9.140625" style="224"/>
    <col min="2049" max="2049" width="2.5703125" style="224" customWidth="1"/>
    <col min="2050" max="2050" width="5.28515625" style="224" customWidth="1"/>
    <col min="2051" max="2051" width="43.7109375" style="224" customWidth="1"/>
    <col min="2052" max="2052" width="6.28515625" style="224" customWidth="1"/>
    <col min="2053" max="2053" width="7.5703125" style="224" customWidth="1"/>
    <col min="2054" max="2054" width="9.5703125" style="224" customWidth="1"/>
    <col min="2055" max="2055" width="13.28515625" style="224" customWidth="1"/>
    <col min="2056" max="2056" width="9.85546875" style="224" customWidth="1"/>
    <col min="2057" max="2057" width="2.5703125" style="224" bestFit="1" customWidth="1"/>
    <col min="2058" max="2058" width="9.140625" style="224"/>
    <col min="2059" max="2059" width="9" style="224" customWidth="1"/>
    <col min="2060" max="2304" width="9.140625" style="224"/>
    <col min="2305" max="2305" width="2.5703125" style="224" customWidth="1"/>
    <col min="2306" max="2306" width="5.28515625" style="224" customWidth="1"/>
    <col min="2307" max="2307" width="43.7109375" style="224" customWidth="1"/>
    <col min="2308" max="2308" width="6.28515625" style="224" customWidth="1"/>
    <col min="2309" max="2309" width="7.5703125" style="224" customWidth="1"/>
    <col min="2310" max="2310" width="9.5703125" style="224" customWidth="1"/>
    <col min="2311" max="2311" width="13.28515625" style="224" customWidth="1"/>
    <col min="2312" max="2312" width="9.85546875" style="224" customWidth="1"/>
    <col min="2313" max="2313" width="2.5703125" style="224" bestFit="1" customWidth="1"/>
    <col min="2314" max="2314" width="9.140625" style="224"/>
    <col min="2315" max="2315" width="9" style="224" customWidth="1"/>
    <col min="2316" max="2560" width="9.140625" style="224"/>
    <col min="2561" max="2561" width="2.5703125" style="224" customWidth="1"/>
    <col min="2562" max="2562" width="5.28515625" style="224" customWidth="1"/>
    <col min="2563" max="2563" width="43.7109375" style="224" customWidth="1"/>
    <col min="2564" max="2564" width="6.28515625" style="224" customWidth="1"/>
    <col min="2565" max="2565" width="7.5703125" style="224" customWidth="1"/>
    <col min="2566" max="2566" width="9.5703125" style="224" customWidth="1"/>
    <col min="2567" max="2567" width="13.28515625" style="224" customWidth="1"/>
    <col min="2568" max="2568" width="9.85546875" style="224" customWidth="1"/>
    <col min="2569" max="2569" width="2.5703125" style="224" bestFit="1" customWidth="1"/>
    <col min="2570" max="2570" width="9.140625" style="224"/>
    <col min="2571" max="2571" width="9" style="224" customWidth="1"/>
    <col min="2572" max="2816" width="9.140625" style="224"/>
    <col min="2817" max="2817" width="2.5703125" style="224" customWidth="1"/>
    <col min="2818" max="2818" width="5.28515625" style="224" customWidth="1"/>
    <col min="2819" max="2819" width="43.7109375" style="224" customWidth="1"/>
    <col min="2820" max="2820" width="6.28515625" style="224" customWidth="1"/>
    <col min="2821" max="2821" width="7.5703125" style="224" customWidth="1"/>
    <col min="2822" max="2822" width="9.5703125" style="224" customWidth="1"/>
    <col min="2823" max="2823" width="13.28515625" style="224" customWidth="1"/>
    <col min="2824" max="2824" width="9.85546875" style="224" customWidth="1"/>
    <col min="2825" max="2825" width="2.5703125" style="224" bestFit="1" customWidth="1"/>
    <col min="2826" max="2826" width="9.140625" style="224"/>
    <col min="2827" max="2827" width="9" style="224" customWidth="1"/>
    <col min="2828" max="3072" width="9.140625" style="224"/>
    <col min="3073" max="3073" width="2.5703125" style="224" customWidth="1"/>
    <col min="3074" max="3074" width="5.28515625" style="224" customWidth="1"/>
    <col min="3075" max="3075" width="43.7109375" style="224" customWidth="1"/>
    <col min="3076" max="3076" width="6.28515625" style="224" customWidth="1"/>
    <col min="3077" max="3077" width="7.5703125" style="224" customWidth="1"/>
    <col min="3078" max="3078" width="9.5703125" style="224" customWidth="1"/>
    <col min="3079" max="3079" width="13.28515625" style="224" customWidth="1"/>
    <col min="3080" max="3080" width="9.85546875" style="224" customWidth="1"/>
    <col min="3081" max="3081" width="2.5703125" style="224" bestFit="1" customWidth="1"/>
    <col min="3082" max="3082" width="9.140625" style="224"/>
    <col min="3083" max="3083" width="9" style="224" customWidth="1"/>
    <col min="3084" max="3328" width="9.140625" style="224"/>
    <col min="3329" max="3329" width="2.5703125" style="224" customWidth="1"/>
    <col min="3330" max="3330" width="5.28515625" style="224" customWidth="1"/>
    <col min="3331" max="3331" width="43.7109375" style="224" customWidth="1"/>
    <col min="3332" max="3332" width="6.28515625" style="224" customWidth="1"/>
    <col min="3333" max="3333" width="7.5703125" style="224" customWidth="1"/>
    <col min="3334" max="3334" width="9.5703125" style="224" customWidth="1"/>
    <col min="3335" max="3335" width="13.28515625" style="224" customWidth="1"/>
    <col min="3336" max="3336" width="9.85546875" style="224" customWidth="1"/>
    <col min="3337" max="3337" width="2.5703125" style="224" bestFit="1" customWidth="1"/>
    <col min="3338" max="3338" width="9.140625" style="224"/>
    <col min="3339" max="3339" width="9" style="224" customWidth="1"/>
    <col min="3340" max="3584" width="9.140625" style="224"/>
    <col min="3585" max="3585" width="2.5703125" style="224" customWidth="1"/>
    <col min="3586" max="3586" width="5.28515625" style="224" customWidth="1"/>
    <col min="3587" max="3587" width="43.7109375" style="224" customWidth="1"/>
    <col min="3588" max="3588" width="6.28515625" style="224" customWidth="1"/>
    <col min="3589" max="3589" width="7.5703125" style="224" customWidth="1"/>
    <col min="3590" max="3590" width="9.5703125" style="224" customWidth="1"/>
    <col min="3591" max="3591" width="13.28515625" style="224" customWidth="1"/>
    <col min="3592" max="3592" width="9.85546875" style="224" customWidth="1"/>
    <col min="3593" max="3593" width="2.5703125" style="224" bestFit="1" customWidth="1"/>
    <col min="3594" max="3594" width="9.140625" style="224"/>
    <col min="3595" max="3595" width="9" style="224" customWidth="1"/>
    <col min="3596" max="3840" width="9.140625" style="224"/>
    <col min="3841" max="3841" width="2.5703125" style="224" customWidth="1"/>
    <col min="3842" max="3842" width="5.28515625" style="224" customWidth="1"/>
    <col min="3843" max="3843" width="43.7109375" style="224" customWidth="1"/>
    <col min="3844" max="3844" width="6.28515625" style="224" customWidth="1"/>
    <col min="3845" max="3845" width="7.5703125" style="224" customWidth="1"/>
    <col min="3846" max="3846" width="9.5703125" style="224" customWidth="1"/>
    <col min="3847" max="3847" width="13.28515625" style="224" customWidth="1"/>
    <col min="3848" max="3848" width="9.85546875" style="224" customWidth="1"/>
    <col min="3849" max="3849" width="2.5703125" style="224" bestFit="1" customWidth="1"/>
    <col min="3850" max="3850" width="9.140625" style="224"/>
    <col min="3851" max="3851" width="9" style="224" customWidth="1"/>
    <col min="3852" max="4096" width="9.140625" style="224"/>
    <col min="4097" max="4097" width="2.5703125" style="224" customWidth="1"/>
    <col min="4098" max="4098" width="5.28515625" style="224" customWidth="1"/>
    <col min="4099" max="4099" width="43.7109375" style="224" customWidth="1"/>
    <col min="4100" max="4100" width="6.28515625" style="224" customWidth="1"/>
    <col min="4101" max="4101" width="7.5703125" style="224" customWidth="1"/>
    <col min="4102" max="4102" width="9.5703125" style="224" customWidth="1"/>
    <col min="4103" max="4103" width="13.28515625" style="224" customWidth="1"/>
    <col min="4104" max="4104" width="9.85546875" style="224" customWidth="1"/>
    <col min="4105" max="4105" width="2.5703125" style="224" bestFit="1" customWidth="1"/>
    <col min="4106" max="4106" width="9.140625" style="224"/>
    <col min="4107" max="4107" width="9" style="224" customWidth="1"/>
    <col min="4108" max="4352" width="9.140625" style="224"/>
    <col min="4353" max="4353" width="2.5703125" style="224" customWidth="1"/>
    <col min="4354" max="4354" width="5.28515625" style="224" customWidth="1"/>
    <col min="4355" max="4355" width="43.7109375" style="224" customWidth="1"/>
    <col min="4356" max="4356" width="6.28515625" style="224" customWidth="1"/>
    <col min="4357" max="4357" width="7.5703125" style="224" customWidth="1"/>
    <col min="4358" max="4358" width="9.5703125" style="224" customWidth="1"/>
    <col min="4359" max="4359" width="13.28515625" style="224" customWidth="1"/>
    <col min="4360" max="4360" width="9.85546875" style="224" customWidth="1"/>
    <col min="4361" max="4361" width="2.5703125" style="224" bestFit="1" customWidth="1"/>
    <col min="4362" max="4362" width="9.140625" style="224"/>
    <col min="4363" max="4363" width="9" style="224" customWidth="1"/>
    <col min="4364" max="4608" width="9.140625" style="224"/>
    <col min="4609" max="4609" width="2.5703125" style="224" customWidth="1"/>
    <col min="4610" max="4610" width="5.28515625" style="224" customWidth="1"/>
    <col min="4611" max="4611" width="43.7109375" style="224" customWidth="1"/>
    <col min="4612" max="4612" width="6.28515625" style="224" customWidth="1"/>
    <col min="4613" max="4613" width="7.5703125" style="224" customWidth="1"/>
    <col min="4614" max="4614" width="9.5703125" style="224" customWidth="1"/>
    <col min="4615" max="4615" width="13.28515625" style="224" customWidth="1"/>
    <col min="4616" max="4616" width="9.85546875" style="224" customWidth="1"/>
    <col min="4617" max="4617" width="2.5703125" style="224" bestFit="1" customWidth="1"/>
    <col min="4618" max="4618" width="9.140625" style="224"/>
    <col min="4619" max="4619" width="9" style="224" customWidth="1"/>
    <col min="4620" max="4864" width="9.140625" style="224"/>
    <col min="4865" max="4865" width="2.5703125" style="224" customWidth="1"/>
    <col min="4866" max="4866" width="5.28515625" style="224" customWidth="1"/>
    <col min="4867" max="4867" width="43.7109375" style="224" customWidth="1"/>
    <col min="4868" max="4868" width="6.28515625" style="224" customWidth="1"/>
    <col min="4869" max="4869" width="7.5703125" style="224" customWidth="1"/>
    <col min="4870" max="4870" width="9.5703125" style="224" customWidth="1"/>
    <col min="4871" max="4871" width="13.28515625" style="224" customWidth="1"/>
    <col min="4872" max="4872" width="9.85546875" style="224" customWidth="1"/>
    <col min="4873" max="4873" width="2.5703125" style="224" bestFit="1" customWidth="1"/>
    <col min="4874" max="4874" width="9.140625" style="224"/>
    <col min="4875" max="4875" width="9" style="224" customWidth="1"/>
    <col min="4876" max="5120" width="9.140625" style="224"/>
    <col min="5121" max="5121" width="2.5703125" style="224" customWidth="1"/>
    <col min="5122" max="5122" width="5.28515625" style="224" customWidth="1"/>
    <col min="5123" max="5123" width="43.7109375" style="224" customWidth="1"/>
    <col min="5124" max="5124" width="6.28515625" style="224" customWidth="1"/>
    <col min="5125" max="5125" width="7.5703125" style="224" customWidth="1"/>
    <col min="5126" max="5126" width="9.5703125" style="224" customWidth="1"/>
    <col min="5127" max="5127" width="13.28515625" style="224" customWidth="1"/>
    <col min="5128" max="5128" width="9.85546875" style="224" customWidth="1"/>
    <col min="5129" max="5129" width="2.5703125" style="224" bestFit="1" customWidth="1"/>
    <col min="5130" max="5130" width="9.140625" style="224"/>
    <col min="5131" max="5131" width="9" style="224" customWidth="1"/>
    <col min="5132" max="5376" width="9.140625" style="224"/>
    <col min="5377" max="5377" width="2.5703125" style="224" customWidth="1"/>
    <col min="5378" max="5378" width="5.28515625" style="224" customWidth="1"/>
    <col min="5379" max="5379" width="43.7109375" style="224" customWidth="1"/>
    <col min="5380" max="5380" width="6.28515625" style="224" customWidth="1"/>
    <col min="5381" max="5381" width="7.5703125" style="224" customWidth="1"/>
    <col min="5382" max="5382" width="9.5703125" style="224" customWidth="1"/>
    <col min="5383" max="5383" width="13.28515625" style="224" customWidth="1"/>
    <col min="5384" max="5384" width="9.85546875" style="224" customWidth="1"/>
    <col min="5385" max="5385" width="2.5703125" style="224" bestFit="1" customWidth="1"/>
    <col min="5386" max="5386" width="9.140625" style="224"/>
    <col min="5387" max="5387" width="9" style="224" customWidth="1"/>
    <col min="5388" max="5632" width="9.140625" style="224"/>
    <col min="5633" max="5633" width="2.5703125" style="224" customWidth="1"/>
    <col min="5634" max="5634" width="5.28515625" style="224" customWidth="1"/>
    <col min="5635" max="5635" width="43.7109375" style="224" customWidth="1"/>
    <col min="5636" max="5636" width="6.28515625" style="224" customWidth="1"/>
    <col min="5637" max="5637" width="7.5703125" style="224" customWidth="1"/>
    <col min="5638" max="5638" width="9.5703125" style="224" customWidth="1"/>
    <col min="5639" max="5639" width="13.28515625" style="224" customWidth="1"/>
    <col min="5640" max="5640" width="9.85546875" style="224" customWidth="1"/>
    <col min="5641" max="5641" width="2.5703125" style="224" bestFit="1" customWidth="1"/>
    <col min="5642" max="5642" width="9.140625" style="224"/>
    <col min="5643" max="5643" width="9" style="224" customWidth="1"/>
    <col min="5644" max="5888" width="9.140625" style="224"/>
    <col min="5889" max="5889" width="2.5703125" style="224" customWidth="1"/>
    <col min="5890" max="5890" width="5.28515625" style="224" customWidth="1"/>
    <col min="5891" max="5891" width="43.7109375" style="224" customWidth="1"/>
    <col min="5892" max="5892" width="6.28515625" style="224" customWidth="1"/>
    <col min="5893" max="5893" width="7.5703125" style="224" customWidth="1"/>
    <col min="5894" max="5894" width="9.5703125" style="224" customWidth="1"/>
    <col min="5895" max="5895" width="13.28515625" style="224" customWidth="1"/>
    <col min="5896" max="5896" width="9.85546875" style="224" customWidth="1"/>
    <col min="5897" max="5897" width="2.5703125" style="224" bestFit="1" customWidth="1"/>
    <col min="5898" max="5898" width="9.140625" style="224"/>
    <col min="5899" max="5899" width="9" style="224" customWidth="1"/>
    <col min="5900" max="6144" width="9.140625" style="224"/>
    <col min="6145" max="6145" width="2.5703125" style="224" customWidth="1"/>
    <col min="6146" max="6146" width="5.28515625" style="224" customWidth="1"/>
    <col min="6147" max="6147" width="43.7109375" style="224" customWidth="1"/>
    <col min="6148" max="6148" width="6.28515625" style="224" customWidth="1"/>
    <col min="6149" max="6149" width="7.5703125" style="224" customWidth="1"/>
    <col min="6150" max="6150" width="9.5703125" style="224" customWidth="1"/>
    <col min="6151" max="6151" width="13.28515625" style="224" customWidth="1"/>
    <col min="6152" max="6152" width="9.85546875" style="224" customWidth="1"/>
    <col min="6153" max="6153" width="2.5703125" style="224" bestFit="1" customWidth="1"/>
    <col min="6154" max="6154" width="9.140625" style="224"/>
    <col min="6155" max="6155" width="9" style="224" customWidth="1"/>
    <col min="6156" max="6400" width="9.140625" style="224"/>
    <col min="6401" max="6401" width="2.5703125" style="224" customWidth="1"/>
    <col min="6402" max="6402" width="5.28515625" style="224" customWidth="1"/>
    <col min="6403" max="6403" width="43.7109375" style="224" customWidth="1"/>
    <col min="6404" max="6404" width="6.28515625" style="224" customWidth="1"/>
    <col min="6405" max="6405" width="7.5703125" style="224" customWidth="1"/>
    <col min="6406" max="6406" width="9.5703125" style="224" customWidth="1"/>
    <col min="6407" max="6407" width="13.28515625" style="224" customWidth="1"/>
    <col min="6408" max="6408" width="9.85546875" style="224" customWidth="1"/>
    <col min="6409" max="6409" width="2.5703125" style="224" bestFit="1" customWidth="1"/>
    <col min="6410" max="6410" width="9.140625" style="224"/>
    <col min="6411" max="6411" width="9" style="224" customWidth="1"/>
    <col min="6412" max="6656" width="9.140625" style="224"/>
    <col min="6657" max="6657" width="2.5703125" style="224" customWidth="1"/>
    <col min="6658" max="6658" width="5.28515625" style="224" customWidth="1"/>
    <col min="6659" max="6659" width="43.7109375" style="224" customWidth="1"/>
    <col min="6660" max="6660" width="6.28515625" style="224" customWidth="1"/>
    <col min="6661" max="6661" width="7.5703125" style="224" customWidth="1"/>
    <col min="6662" max="6662" width="9.5703125" style="224" customWidth="1"/>
    <col min="6663" max="6663" width="13.28515625" style="224" customWidth="1"/>
    <col min="6664" max="6664" width="9.85546875" style="224" customWidth="1"/>
    <col min="6665" max="6665" width="2.5703125" style="224" bestFit="1" customWidth="1"/>
    <col min="6666" max="6666" width="9.140625" style="224"/>
    <col min="6667" max="6667" width="9" style="224" customWidth="1"/>
    <col min="6668" max="6912" width="9.140625" style="224"/>
    <col min="6913" max="6913" width="2.5703125" style="224" customWidth="1"/>
    <col min="6914" max="6914" width="5.28515625" style="224" customWidth="1"/>
    <col min="6915" max="6915" width="43.7109375" style="224" customWidth="1"/>
    <col min="6916" max="6916" width="6.28515625" style="224" customWidth="1"/>
    <col min="6917" max="6917" width="7.5703125" style="224" customWidth="1"/>
    <col min="6918" max="6918" width="9.5703125" style="224" customWidth="1"/>
    <col min="6919" max="6919" width="13.28515625" style="224" customWidth="1"/>
    <col min="6920" max="6920" width="9.85546875" style="224" customWidth="1"/>
    <col min="6921" max="6921" width="2.5703125" style="224" bestFit="1" customWidth="1"/>
    <col min="6922" max="6922" width="9.140625" style="224"/>
    <col min="6923" max="6923" width="9" style="224" customWidth="1"/>
    <col min="6924" max="7168" width="9.140625" style="224"/>
    <col min="7169" max="7169" width="2.5703125" style="224" customWidth="1"/>
    <col min="7170" max="7170" width="5.28515625" style="224" customWidth="1"/>
    <col min="7171" max="7171" width="43.7109375" style="224" customWidth="1"/>
    <col min="7172" max="7172" width="6.28515625" style="224" customWidth="1"/>
    <col min="7173" max="7173" width="7.5703125" style="224" customWidth="1"/>
    <col min="7174" max="7174" width="9.5703125" style="224" customWidth="1"/>
    <col min="7175" max="7175" width="13.28515625" style="224" customWidth="1"/>
    <col min="7176" max="7176" width="9.85546875" style="224" customWidth="1"/>
    <col min="7177" max="7177" width="2.5703125" style="224" bestFit="1" customWidth="1"/>
    <col min="7178" max="7178" width="9.140625" style="224"/>
    <col min="7179" max="7179" width="9" style="224" customWidth="1"/>
    <col min="7180" max="7424" width="9.140625" style="224"/>
    <col min="7425" max="7425" width="2.5703125" style="224" customWidth="1"/>
    <col min="7426" max="7426" width="5.28515625" style="224" customWidth="1"/>
    <col min="7427" max="7427" width="43.7109375" style="224" customWidth="1"/>
    <col min="7428" max="7428" width="6.28515625" style="224" customWidth="1"/>
    <col min="7429" max="7429" width="7.5703125" style="224" customWidth="1"/>
    <col min="7430" max="7430" width="9.5703125" style="224" customWidth="1"/>
    <col min="7431" max="7431" width="13.28515625" style="224" customWidth="1"/>
    <col min="7432" max="7432" width="9.85546875" style="224" customWidth="1"/>
    <col min="7433" max="7433" width="2.5703125" style="224" bestFit="1" customWidth="1"/>
    <col min="7434" max="7434" width="9.140625" style="224"/>
    <col min="7435" max="7435" width="9" style="224" customWidth="1"/>
    <col min="7436" max="7680" width="9.140625" style="224"/>
    <col min="7681" max="7681" width="2.5703125" style="224" customWidth="1"/>
    <col min="7682" max="7682" width="5.28515625" style="224" customWidth="1"/>
    <col min="7683" max="7683" width="43.7109375" style="224" customWidth="1"/>
    <col min="7684" max="7684" width="6.28515625" style="224" customWidth="1"/>
    <col min="7685" max="7685" width="7.5703125" style="224" customWidth="1"/>
    <col min="7686" max="7686" width="9.5703125" style="224" customWidth="1"/>
    <col min="7687" max="7687" width="13.28515625" style="224" customWidth="1"/>
    <col min="7688" max="7688" width="9.85546875" style="224" customWidth="1"/>
    <col min="7689" max="7689" width="2.5703125" style="224" bestFit="1" customWidth="1"/>
    <col min="7690" max="7690" width="9.140625" style="224"/>
    <col min="7691" max="7691" width="9" style="224" customWidth="1"/>
    <col min="7692" max="7936" width="9.140625" style="224"/>
    <col min="7937" max="7937" width="2.5703125" style="224" customWidth="1"/>
    <col min="7938" max="7938" width="5.28515625" style="224" customWidth="1"/>
    <col min="7939" max="7939" width="43.7109375" style="224" customWidth="1"/>
    <col min="7940" max="7940" width="6.28515625" style="224" customWidth="1"/>
    <col min="7941" max="7941" width="7.5703125" style="224" customWidth="1"/>
    <col min="7942" max="7942" width="9.5703125" style="224" customWidth="1"/>
    <col min="7943" max="7943" width="13.28515625" style="224" customWidth="1"/>
    <col min="7944" max="7944" width="9.85546875" style="224" customWidth="1"/>
    <col min="7945" max="7945" width="2.5703125" style="224" bestFit="1" customWidth="1"/>
    <col min="7946" max="7946" width="9.140625" style="224"/>
    <col min="7947" max="7947" width="9" style="224" customWidth="1"/>
    <col min="7948" max="8192" width="9.140625" style="224"/>
    <col min="8193" max="8193" width="2.5703125" style="224" customWidth="1"/>
    <col min="8194" max="8194" width="5.28515625" style="224" customWidth="1"/>
    <col min="8195" max="8195" width="43.7109375" style="224" customWidth="1"/>
    <col min="8196" max="8196" width="6.28515625" style="224" customWidth="1"/>
    <col min="8197" max="8197" width="7.5703125" style="224" customWidth="1"/>
    <col min="8198" max="8198" width="9.5703125" style="224" customWidth="1"/>
    <col min="8199" max="8199" width="13.28515625" style="224" customWidth="1"/>
    <col min="8200" max="8200" width="9.85546875" style="224" customWidth="1"/>
    <col min="8201" max="8201" width="2.5703125" style="224" bestFit="1" customWidth="1"/>
    <col min="8202" max="8202" width="9.140625" style="224"/>
    <col min="8203" max="8203" width="9" style="224" customWidth="1"/>
    <col min="8204" max="8448" width="9.140625" style="224"/>
    <col min="8449" max="8449" width="2.5703125" style="224" customWidth="1"/>
    <col min="8450" max="8450" width="5.28515625" style="224" customWidth="1"/>
    <col min="8451" max="8451" width="43.7109375" style="224" customWidth="1"/>
    <col min="8452" max="8452" width="6.28515625" style="224" customWidth="1"/>
    <col min="8453" max="8453" width="7.5703125" style="224" customWidth="1"/>
    <col min="8454" max="8454" width="9.5703125" style="224" customWidth="1"/>
    <col min="8455" max="8455" width="13.28515625" style="224" customWidth="1"/>
    <col min="8456" max="8456" width="9.85546875" style="224" customWidth="1"/>
    <col min="8457" max="8457" width="2.5703125" style="224" bestFit="1" customWidth="1"/>
    <col min="8458" max="8458" width="9.140625" style="224"/>
    <col min="8459" max="8459" width="9" style="224" customWidth="1"/>
    <col min="8460" max="8704" width="9.140625" style="224"/>
    <col min="8705" max="8705" width="2.5703125" style="224" customWidth="1"/>
    <col min="8706" max="8706" width="5.28515625" style="224" customWidth="1"/>
    <col min="8707" max="8707" width="43.7109375" style="224" customWidth="1"/>
    <col min="8708" max="8708" width="6.28515625" style="224" customWidth="1"/>
    <col min="8709" max="8709" width="7.5703125" style="224" customWidth="1"/>
    <col min="8710" max="8710" width="9.5703125" style="224" customWidth="1"/>
    <col min="8711" max="8711" width="13.28515625" style="224" customWidth="1"/>
    <col min="8712" max="8712" width="9.85546875" style="224" customWidth="1"/>
    <col min="8713" max="8713" width="2.5703125" style="224" bestFit="1" customWidth="1"/>
    <col min="8714" max="8714" width="9.140625" style="224"/>
    <col min="8715" max="8715" width="9" style="224" customWidth="1"/>
    <col min="8716" max="8960" width="9.140625" style="224"/>
    <col min="8961" max="8961" width="2.5703125" style="224" customWidth="1"/>
    <col min="8962" max="8962" width="5.28515625" style="224" customWidth="1"/>
    <col min="8963" max="8963" width="43.7109375" style="224" customWidth="1"/>
    <col min="8964" max="8964" width="6.28515625" style="224" customWidth="1"/>
    <col min="8965" max="8965" width="7.5703125" style="224" customWidth="1"/>
    <col min="8966" max="8966" width="9.5703125" style="224" customWidth="1"/>
    <col min="8967" max="8967" width="13.28515625" style="224" customWidth="1"/>
    <col min="8968" max="8968" width="9.85546875" style="224" customWidth="1"/>
    <col min="8969" max="8969" width="2.5703125" style="224" bestFit="1" customWidth="1"/>
    <col min="8970" max="8970" width="9.140625" style="224"/>
    <col min="8971" max="8971" width="9" style="224" customWidth="1"/>
    <col min="8972" max="9216" width="9.140625" style="224"/>
    <col min="9217" max="9217" width="2.5703125" style="224" customWidth="1"/>
    <col min="9218" max="9218" width="5.28515625" style="224" customWidth="1"/>
    <col min="9219" max="9219" width="43.7109375" style="224" customWidth="1"/>
    <col min="9220" max="9220" width="6.28515625" style="224" customWidth="1"/>
    <col min="9221" max="9221" width="7.5703125" style="224" customWidth="1"/>
    <col min="9222" max="9222" width="9.5703125" style="224" customWidth="1"/>
    <col min="9223" max="9223" width="13.28515625" style="224" customWidth="1"/>
    <col min="9224" max="9224" width="9.85546875" style="224" customWidth="1"/>
    <col min="9225" max="9225" width="2.5703125" style="224" bestFit="1" customWidth="1"/>
    <col min="9226" max="9226" width="9.140625" style="224"/>
    <col min="9227" max="9227" width="9" style="224" customWidth="1"/>
    <col min="9228" max="9472" width="9.140625" style="224"/>
    <col min="9473" max="9473" width="2.5703125" style="224" customWidth="1"/>
    <col min="9474" max="9474" width="5.28515625" style="224" customWidth="1"/>
    <col min="9475" max="9475" width="43.7109375" style="224" customWidth="1"/>
    <col min="9476" max="9476" width="6.28515625" style="224" customWidth="1"/>
    <col min="9477" max="9477" width="7.5703125" style="224" customWidth="1"/>
    <col min="9478" max="9478" width="9.5703125" style="224" customWidth="1"/>
    <col min="9479" max="9479" width="13.28515625" style="224" customWidth="1"/>
    <col min="9480" max="9480" width="9.85546875" style="224" customWidth="1"/>
    <col min="9481" max="9481" width="2.5703125" style="224" bestFit="1" customWidth="1"/>
    <col min="9482" max="9482" width="9.140625" style="224"/>
    <col min="9483" max="9483" width="9" style="224" customWidth="1"/>
    <col min="9484" max="9728" width="9.140625" style="224"/>
    <col min="9729" max="9729" width="2.5703125" style="224" customWidth="1"/>
    <col min="9730" max="9730" width="5.28515625" style="224" customWidth="1"/>
    <col min="9731" max="9731" width="43.7109375" style="224" customWidth="1"/>
    <col min="9732" max="9732" width="6.28515625" style="224" customWidth="1"/>
    <col min="9733" max="9733" width="7.5703125" style="224" customWidth="1"/>
    <col min="9734" max="9734" width="9.5703125" style="224" customWidth="1"/>
    <col min="9735" max="9735" width="13.28515625" style="224" customWidth="1"/>
    <col min="9736" max="9736" width="9.85546875" style="224" customWidth="1"/>
    <col min="9737" max="9737" width="2.5703125" style="224" bestFit="1" customWidth="1"/>
    <col min="9738" max="9738" width="9.140625" style="224"/>
    <col min="9739" max="9739" width="9" style="224" customWidth="1"/>
    <col min="9740" max="9984" width="9.140625" style="224"/>
    <col min="9985" max="9985" width="2.5703125" style="224" customWidth="1"/>
    <col min="9986" max="9986" width="5.28515625" style="224" customWidth="1"/>
    <col min="9987" max="9987" width="43.7109375" style="224" customWidth="1"/>
    <col min="9988" max="9988" width="6.28515625" style="224" customWidth="1"/>
    <col min="9989" max="9989" width="7.5703125" style="224" customWidth="1"/>
    <col min="9990" max="9990" width="9.5703125" style="224" customWidth="1"/>
    <col min="9991" max="9991" width="13.28515625" style="224" customWidth="1"/>
    <col min="9992" max="9992" width="9.85546875" style="224" customWidth="1"/>
    <col min="9993" max="9993" width="2.5703125" style="224" bestFit="1" customWidth="1"/>
    <col min="9994" max="9994" width="9.140625" style="224"/>
    <col min="9995" max="9995" width="9" style="224" customWidth="1"/>
    <col min="9996" max="10240" width="9.140625" style="224"/>
    <col min="10241" max="10241" width="2.5703125" style="224" customWidth="1"/>
    <col min="10242" max="10242" width="5.28515625" style="224" customWidth="1"/>
    <col min="10243" max="10243" width="43.7109375" style="224" customWidth="1"/>
    <col min="10244" max="10244" width="6.28515625" style="224" customWidth="1"/>
    <col min="10245" max="10245" width="7.5703125" style="224" customWidth="1"/>
    <col min="10246" max="10246" width="9.5703125" style="224" customWidth="1"/>
    <col min="10247" max="10247" width="13.28515625" style="224" customWidth="1"/>
    <col min="10248" max="10248" width="9.85546875" style="224" customWidth="1"/>
    <col min="10249" max="10249" width="2.5703125" style="224" bestFit="1" customWidth="1"/>
    <col min="10250" max="10250" width="9.140625" style="224"/>
    <col min="10251" max="10251" width="9" style="224" customWidth="1"/>
    <col min="10252" max="10496" width="9.140625" style="224"/>
    <col min="10497" max="10497" width="2.5703125" style="224" customWidth="1"/>
    <col min="10498" max="10498" width="5.28515625" style="224" customWidth="1"/>
    <col min="10499" max="10499" width="43.7109375" style="224" customWidth="1"/>
    <col min="10500" max="10500" width="6.28515625" style="224" customWidth="1"/>
    <col min="10501" max="10501" width="7.5703125" style="224" customWidth="1"/>
    <col min="10502" max="10502" width="9.5703125" style="224" customWidth="1"/>
    <col min="10503" max="10503" width="13.28515625" style="224" customWidth="1"/>
    <col min="10504" max="10504" width="9.85546875" style="224" customWidth="1"/>
    <col min="10505" max="10505" width="2.5703125" style="224" bestFit="1" customWidth="1"/>
    <col min="10506" max="10506" width="9.140625" style="224"/>
    <col min="10507" max="10507" width="9" style="224" customWidth="1"/>
    <col min="10508" max="10752" width="9.140625" style="224"/>
    <col min="10753" max="10753" width="2.5703125" style="224" customWidth="1"/>
    <col min="10754" max="10754" width="5.28515625" style="224" customWidth="1"/>
    <col min="10755" max="10755" width="43.7109375" style="224" customWidth="1"/>
    <col min="10756" max="10756" width="6.28515625" style="224" customWidth="1"/>
    <col min="10757" max="10757" width="7.5703125" style="224" customWidth="1"/>
    <col min="10758" max="10758" width="9.5703125" style="224" customWidth="1"/>
    <col min="10759" max="10759" width="13.28515625" style="224" customWidth="1"/>
    <col min="10760" max="10760" width="9.85546875" style="224" customWidth="1"/>
    <col min="10761" max="10761" width="2.5703125" style="224" bestFit="1" customWidth="1"/>
    <col min="10762" max="10762" width="9.140625" style="224"/>
    <col min="10763" max="10763" width="9" style="224" customWidth="1"/>
    <col min="10764" max="11008" width="9.140625" style="224"/>
    <col min="11009" max="11009" width="2.5703125" style="224" customWidth="1"/>
    <col min="11010" max="11010" width="5.28515625" style="224" customWidth="1"/>
    <col min="11011" max="11011" width="43.7109375" style="224" customWidth="1"/>
    <col min="11012" max="11012" width="6.28515625" style="224" customWidth="1"/>
    <col min="11013" max="11013" width="7.5703125" style="224" customWidth="1"/>
    <col min="11014" max="11014" width="9.5703125" style="224" customWidth="1"/>
    <col min="11015" max="11015" width="13.28515625" style="224" customWidth="1"/>
    <col min="11016" max="11016" width="9.85546875" style="224" customWidth="1"/>
    <col min="11017" max="11017" width="2.5703125" style="224" bestFit="1" customWidth="1"/>
    <col min="11018" max="11018" width="9.140625" style="224"/>
    <col min="11019" max="11019" width="9" style="224" customWidth="1"/>
    <col min="11020" max="11264" width="9.140625" style="224"/>
    <col min="11265" max="11265" width="2.5703125" style="224" customWidth="1"/>
    <col min="11266" max="11266" width="5.28515625" style="224" customWidth="1"/>
    <col min="11267" max="11267" width="43.7109375" style="224" customWidth="1"/>
    <col min="11268" max="11268" width="6.28515625" style="224" customWidth="1"/>
    <col min="11269" max="11269" width="7.5703125" style="224" customWidth="1"/>
    <col min="11270" max="11270" width="9.5703125" style="224" customWidth="1"/>
    <col min="11271" max="11271" width="13.28515625" style="224" customWidth="1"/>
    <col min="11272" max="11272" width="9.85546875" style="224" customWidth="1"/>
    <col min="11273" max="11273" width="2.5703125" style="224" bestFit="1" customWidth="1"/>
    <col min="11274" max="11274" width="9.140625" style="224"/>
    <col min="11275" max="11275" width="9" style="224" customWidth="1"/>
    <col min="11276" max="11520" width="9.140625" style="224"/>
    <col min="11521" max="11521" width="2.5703125" style="224" customWidth="1"/>
    <col min="11522" max="11522" width="5.28515625" style="224" customWidth="1"/>
    <col min="11523" max="11523" width="43.7109375" style="224" customWidth="1"/>
    <col min="11524" max="11524" width="6.28515625" style="224" customWidth="1"/>
    <col min="11525" max="11525" width="7.5703125" style="224" customWidth="1"/>
    <col min="11526" max="11526" width="9.5703125" style="224" customWidth="1"/>
    <col min="11527" max="11527" width="13.28515625" style="224" customWidth="1"/>
    <col min="11528" max="11528" width="9.85546875" style="224" customWidth="1"/>
    <col min="11529" max="11529" width="2.5703125" style="224" bestFit="1" customWidth="1"/>
    <col min="11530" max="11530" width="9.140625" style="224"/>
    <col min="11531" max="11531" width="9" style="224" customWidth="1"/>
    <col min="11532" max="11776" width="9.140625" style="224"/>
    <col min="11777" max="11777" width="2.5703125" style="224" customWidth="1"/>
    <col min="11778" max="11778" width="5.28515625" style="224" customWidth="1"/>
    <col min="11779" max="11779" width="43.7109375" style="224" customWidth="1"/>
    <col min="11780" max="11780" width="6.28515625" style="224" customWidth="1"/>
    <col min="11781" max="11781" width="7.5703125" style="224" customWidth="1"/>
    <col min="11782" max="11782" width="9.5703125" style="224" customWidth="1"/>
    <col min="11783" max="11783" width="13.28515625" style="224" customWidth="1"/>
    <col min="11784" max="11784" width="9.85546875" style="224" customWidth="1"/>
    <col min="11785" max="11785" width="2.5703125" style="224" bestFit="1" customWidth="1"/>
    <col min="11786" max="11786" width="9.140625" style="224"/>
    <col min="11787" max="11787" width="9" style="224" customWidth="1"/>
    <col min="11788" max="12032" width="9.140625" style="224"/>
    <col min="12033" max="12033" width="2.5703125" style="224" customWidth="1"/>
    <col min="12034" max="12034" width="5.28515625" style="224" customWidth="1"/>
    <col min="12035" max="12035" width="43.7109375" style="224" customWidth="1"/>
    <col min="12036" max="12036" width="6.28515625" style="224" customWidth="1"/>
    <col min="12037" max="12037" width="7.5703125" style="224" customWidth="1"/>
    <col min="12038" max="12038" width="9.5703125" style="224" customWidth="1"/>
    <col min="12039" max="12039" width="13.28515625" style="224" customWidth="1"/>
    <col min="12040" max="12040" width="9.85546875" style="224" customWidth="1"/>
    <col min="12041" max="12041" width="2.5703125" style="224" bestFit="1" customWidth="1"/>
    <col min="12042" max="12042" width="9.140625" style="224"/>
    <col min="12043" max="12043" width="9" style="224" customWidth="1"/>
    <col min="12044" max="12288" width="9.140625" style="224"/>
    <col min="12289" max="12289" width="2.5703125" style="224" customWidth="1"/>
    <col min="12290" max="12290" width="5.28515625" style="224" customWidth="1"/>
    <col min="12291" max="12291" width="43.7109375" style="224" customWidth="1"/>
    <col min="12292" max="12292" width="6.28515625" style="224" customWidth="1"/>
    <col min="12293" max="12293" width="7.5703125" style="224" customWidth="1"/>
    <col min="12294" max="12294" width="9.5703125" style="224" customWidth="1"/>
    <col min="12295" max="12295" width="13.28515625" style="224" customWidth="1"/>
    <col min="12296" max="12296" width="9.85546875" style="224" customWidth="1"/>
    <col min="12297" max="12297" width="2.5703125" style="224" bestFit="1" customWidth="1"/>
    <col min="12298" max="12298" width="9.140625" style="224"/>
    <col min="12299" max="12299" width="9" style="224" customWidth="1"/>
    <col min="12300" max="12544" width="9.140625" style="224"/>
    <col min="12545" max="12545" width="2.5703125" style="224" customWidth="1"/>
    <col min="12546" max="12546" width="5.28515625" style="224" customWidth="1"/>
    <col min="12547" max="12547" width="43.7109375" style="224" customWidth="1"/>
    <col min="12548" max="12548" width="6.28515625" style="224" customWidth="1"/>
    <col min="12549" max="12549" width="7.5703125" style="224" customWidth="1"/>
    <col min="12550" max="12550" width="9.5703125" style="224" customWidth="1"/>
    <col min="12551" max="12551" width="13.28515625" style="224" customWidth="1"/>
    <col min="12552" max="12552" width="9.85546875" style="224" customWidth="1"/>
    <col min="12553" max="12553" width="2.5703125" style="224" bestFit="1" customWidth="1"/>
    <col min="12554" max="12554" width="9.140625" style="224"/>
    <col min="12555" max="12555" width="9" style="224" customWidth="1"/>
    <col min="12556" max="12800" width="9.140625" style="224"/>
    <col min="12801" max="12801" width="2.5703125" style="224" customWidth="1"/>
    <col min="12802" max="12802" width="5.28515625" style="224" customWidth="1"/>
    <col min="12803" max="12803" width="43.7109375" style="224" customWidth="1"/>
    <col min="12804" max="12804" width="6.28515625" style="224" customWidth="1"/>
    <col min="12805" max="12805" width="7.5703125" style="224" customWidth="1"/>
    <col min="12806" max="12806" width="9.5703125" style="224" customWidth="1"/>
    <col min="12807" max="12807" width="13.28515625" style="224" customWidth="1"/>
    <col min="12808" max="12808" width="9.85546875" style="224" customWidth="1"/>
    <col min="12809" max="12809" width="2.5703125" style="224" bestFit="1" customWidth="1"/>
    <col min="12810" max="12810" width="9.140625" style="224"/>
    <col min="12811" max="12811" width="9" style="224" customWidth="1"/>
    <col min="12812" max="13056" width="9.140625" style="224"/>
    <col min="13057" max="13057" width="2.5703125" style="224" customWidth="1"/>
    <col min="13058" max="13058" width="5.28515625" style="224" customWidth="1"/>
    <col min="13059" max="13059" width="43.7109375" style="224" customWidth="1"/>
    <col min="13060" max="13060" width="6.28515625" style="224" customWidth="1"/>
    <col min="13061" max="13061" width="7.5703125" style="224" customWidth="1"/>
    <col min="13062" max="13062" width="9.5703125" style="224" customWidth="1"/>
    <col min="13063" max="13063" width="13.28515625" style="224" customWidth="1"/>
    <col min="13064" max="13064" width="9.85546875" style="224" customWidth="1"/>
    <col min="13065" max="13065" width="2.5703125" style="224" bestFit="1" customWidth="1"/>
    <col min="13066" max="13066" width="9.140625" style="224"/>
    <col min="13067" max="13067" width="9" style="224" customWidth="1"/>
    <col min="13068" max="13312" width="9.140625" style="224"/>
    <col min="13313" max="13313" width="2.5703125" style="224" customWidth="1"/>
    <col min="13314" max="13314" width="5.28515625" style="224" customWidth="1"/>
    <col min="13315" max="13315" width="43.7109375" style="224" customWidth="1"/>
    <col min="13316" max="13316" width="6.28515625" style="224" customWidth="1"/>
    <col min="13317" max="13317" width="7.5703125" style="224" customWidth="1"/>
    <col min="13318" max="13318" width="9.5703125" style="224" customWidth="1"/>
    <col min="13319" max="13319" width="13.28515625" style="224" customWidth="1"/>
    <col min="13320" max="13320" width="9.85546875" style="224" customWidth="1"/>
    <col min="13321" max="13321" width="2.5703125" style="224" bestFit="1" customWidth="1"/>
    <col min="13322" max="13322" width="9.140625" style="224"/>
    <col min="13323" max="13323" width="9" style="224" customWidth="1"/>
    <col min="13324" max="13568" width="9.140625" style="224"/>
    <col min="13569" max="13569" width="2.5703125" style="224" customWidth="1"/>
    <col min="13570" max="13570" width="5.28515625" style="224" customWidth="1"/>
    <col min="13571" max="13571" width="43.7109375" style="224" customWidth="1"/>
    <col min="13572" max="13572" width="6.28515625" style="224" customWidth="1"/>
    <col min="13573" max="13573" width="7.5703125" style="224" customWidth="1"/>
    <col min="13574" max="13574" width="9.5703125" style="224" customWidth="1"/>
    <col min="13575" max="13575" width="13.28515625" style="224" customWidth="1"/>
    <col min="13576" max="13576" width="9.85546875" style="224" customWidth="1"/>
    <col min="13577" max="13577" width="2.5703125" style="224" bestFit="1" customWidth="1"/>
    <col min="13578" max="13578" width="9.140625" style="224"/>
    <col min="13579" max="13579" width="9" style="224" customWidth="1"/>
    <col min="13580" max="13824" width="9.140625" style="224"/>
    <col min="13825" max="13825" width="2.5703125" style="224" customWidth="1"/>
    <col min="13826" max="13826" width="5.28515625" style="224" customWidth="1"/>
    <col min="13827" max="13827" width="43.7109375" style="224" customWidth="1"/>
    <col min="13828" max="13828" width="6.28515625" style="224" customWidth="1"/>
    <col min="13829" max="13829" width="7.5703125" style="224" customWidth="1"/>
    <col min="13830" max="13830" width="9.5703125" style="224" customWidth="1"/>
    <col min="13831" max="13831" width="13.28515625" style="224" customWidth="1"/>
    <col min="13832" max="13832" width="9.85546875" style="224" customWidth="1"/>
    <col min="13833" max="13833" width="2.5703125" style="224" bestFit="1" customWidth="1"/>
    <col min="13834" max="13834" width="9.140625" style="224"/>
    <col min="13835" max="13835" width="9" style="224" customWidth="1"/>
    <col min="13836" max="14080" width="9.140625" style="224"/>
    <col min="14081" max="14081" width="2.5703125" style="224" customWidth="1"/>
    <col min="14082" max="14082" width="5.28515625" style="224" customWidth="1"/>
    <col min="14083" max="14083" width="43.7109375" style="224" customWidth="1"/>
    <col min="14084" max="14084" width="6.28515625" style="224" customWidth="1"/>
    <col min="14085" max="14085" width="7.5703125" style="224" customWidth="1"/>
    <col min="14086" max="14086" width="9.5703125" style="224" customWidth="1"/>
    <col min="14087" max="14087" width="13.28515625" style="224" customWidth="1"/>
    <col min="14088" max="14088" width="9.85546875" style="224" customWidth="1"/>
    <col min="14089" max="14089" width="2.5703125" style="224" bestFit="1" customWidth="1"/>
    <col min="14090" max="14090" width="9.140625" style="224"/>
    <col min="14091" max="14091" width="9" style="224" customWidth="1"/>
    <col min="14092" max="14336" width="9.140625" style="224"/>
    <col min="14337" max="14337" width="2.5703125" style="224" customWidth="1"/>
    <col min="14338" max="14338" width="5.28515625" style="224" customWidth="1"/>
    <col min="14339" max="14339" width="43.7109375" style="224" customWidth="1"/>
    <col min="14340" max="14340" width="6.28515625" style="224" customWidth="1"/>
    <col min="14341" max="14341" width="7.5703125" style="224" customWidth="1"/>
    <col min="14342" max="14342" width="9.5703125" style="224" customWidth="1"/>
    <col min="14343" max="14343" width="13.28515625" style="224" customWidth="1"/>
    <col min="14344" max="14344" width="9.85546875" style="224" customWidth="1"/>
    <col min="14345" max="14345" width="2.5703125" style="224" bestFit="1" customWidth="1"/>
    <col min="14346" max="14346" width="9.140625" style="224"/>
    <col min="14347" max="14347" width="9" style="224" customWidth="1"/>
    <col min="14348" max="14592" width="9.140625" style="224"/>
    <col min="14593" max="14593" width="2.5703125" style="224" customWidth="1"/>
    <col min="14594" max="14594" width="5.28515625" style="224" customWidth="1"/>
    <col min="14595" max="14595" width="43.7109375" style="224" customWidth="1"/>
    <col min="14596" max="14596" width="6.28515625" style="224" customWidth="1"/>
    <col min="14597" max="14597" width="7.5703125" style="224" customWidth="1"/>
    <col min="14598" max="14598" width="9.5703125" style="224" customWidth="1"/>
    <col min="14599" max="14599" width="13.28515625" style="224" customWidth="1"/>
    <col min="14600" max="14600" width="9.85546875" style="224" customWidth="1"/>
    <col min="14601" max="14601" width="2.5703125" style="224" bestFit="1" customWidth="1"/>
    <col min="14602" max="14602" width="9.140625" style="224"/>
    <col min="14603" max="14603" width="9" style="224" customWidth="1"/>
    <col min="14604" max="14848" width="9.140625" style="224"/>
    <col min="14849" max="14849" width="2.5703125" style="224" customWidth="1"/>
    <col min="14850" max="14850" width="5.28515625" style="224" customWidth="1"/>
    <col min="14851" max="14851" width="43.7109375" style="224" customWidth="1"/>
    <col min="14852" max="14852" width="6.28515625" style="224" customWidth="1"/>
    <col min="14853" max="14853" width="7.5703125" style="224" customWidth="1"/>
    <col min="14854" max="14854" width="9.5703125" style="224" customWidth="1"/>
    <col min="14855" max="14855" width="13.28515625" style="224" customWidth="1"/>
    <col min="14856" max="14856" width="9.85546875" style="224" customWidth="1"/>
    <col min="14857" max="14857" width="2.5703125" style="224" bestFit="1" customWidth="1"/>
    <col min="14858" max="14858" width="9.140625" style="224"/>
    <col min="14859" max="14859" width="9" style="224" customWidth="1"/>
    <col min="14860" max="15104" width="9.140625" style="224"/>
    <col min="15105" max="15105" width="2.5703125" style="224" customWidth="1"/>
    <col min="15106" max="15106" width="5.28515625" style="224" customWidth="1"/>
    <col min="15107" max="15107" width="43.7109375" style="224" customWidth="1"/>
    <col min="15108" max="15108" width="6.28515625" style="224" customWidth="1"/>
    <col min="15109" max="15109" width="7.5703125" style="224" customWidth="1"/>
    <col min="15110" max="15110" width="9.5703125" style="224" customWidth="1"/>
    <col min="15111" max="15111" width="13.28515625" style="224" customWidth="1"/>
    <col min="15112" max="15112" width="9.85546875" style="224" customWidth="1"/>
    <col min="15113" max="15113" width="2.5703125" style="224" bestFit="1" customWidth="1"/>
    <col min="15114" max="15114" width="9.140625" style="224"/>
    <col min="15115" max="15115" width="9" style="224" customWidth="1"/>
    <col min="15116" max="15360" width="9.140625" style="224"/>
    <col min="15361" max="15361" width="2.5703125" style="224" customWidth="1"/>
    <col min="15362" max="15362" width="5.28515625" style="224" customWidth="1"/>
    <col min="15363" max="15363" width="43.7109375" style="224" customWidth="1"/>
    <col min="15364" max="15364" width="6.28515625" style="224" customWidth="1"/>
    <col min="15365" max="15365" width="7.5703125" style="224" customWidth="1"/>
    <col min="15366" max="15366" width="9.5703125" style="224" customWidth="1"/>
    <col min="15367" max="15367" width="13.28515625" style="224" customWidth="1"/>
    <col min="15368" max="15368" width="9.85546875" style="224" customWidth="1"/>
    <col min="15369" max="15369" width="2.5703125" style="224" bestFit="1" customWidth="1"/>
    <col min="15370" max="15370" width="9.140625" style="224"/>
    <col min="15371" max="15371" width="9" style="224" customWidth="1"/>
    <col min="15372" max="15616" width="9.140625" style="224"/>
    <col min="15617" max="15617" width="2.5703125" style="224" customWidth="1"/>
    <col min="15618" max="15618" width="5.28515625" style="224" customWidth="1"/>
    <col min="15619" max="15619" width="43.7109375" style="224" customWidth="1"/>
    <col min="15620" max="15620" width="6.28515625" style="224" customWidth="1"/>
    <col min="15621" max="15621" width="7.5703125" style="224" customWidth="1"/>
    <col min="15622" max="15622" width="9.5703125" style="224" customWidth="1"/>
    <col min="15623" max="15623" width="13.28515625" style="224" customWidth="1"/>
    <col min="15624" max="15624" width="9.85546875" style="224" customWidth="1"/>
    <col min="15625" max="15625" width="2.5703125" style="224" bestFit="1" customWidth="1"/>
    <col min="15626" max="15626" width="9.140625" style="224"/>
    <col min="15627" max="15627" width="9" style="224" customWidth="1"/>
    <col min="15628" max="15872" width="9.140625" style="224"/>
    <col min="15873" max="15873" width="2.5703125" style="224" customWidth="1"/>
    <col min="15874" max="15874" width="5.28515625" style="224" customWidth="1"/>
    <col min="15875" max="15875" width="43.7109375" style="224" customWidth="1"/>
    <col min="15876" max="15876" width="6.28515625" style="224" customWidth="1"/>
    <col min="15877" max="15877" width="7.5703125" style="224" customWidth="1"/>
    <col min="15878" max="15878" width="9.5703125" style="224" customWidth="1"/>
    <col min="15879" max="15879" width="13.28515625" style="224" customWidth="1"/>
    <col min="15880" max="15880" width="9.85546875" style="224" customWidth="1"/>
    <col min="15881" max="15881" width="2.5703125" style="224" bestFit="1" customWidth="1"/>
    <col min="15882" max="15882" width="9.140625" style="224"/>
    <col min="15883" max="15883" width="9" style="224" customWidth="1"/>
    <col min="15884" max="16128" width="9.140625" style="224"/>
    <col min="16129" max="16129" width="2.5703125" style="224" customWidth="1"/>
    <col min="16130" max="16130" width="5.28515625" style="224" customWidth="1"/>
    <col min="16131" max="16131" width="43.7109375" style="224" customWidth="1"/>
    <col min="16132" max="16132" width="6.28515625" style="224" customWidth="1"/>
    <col min="16133" max="16133" width="7.5703125" style="224" customWidth="1"/>
    <col min="16134" max="16134" width="9.5703125" style="224" customWidth="1"/>
    <col min="16135" max="16135" width="13.28515625" style="224" customWidth="1"/>
    <col min="16136" max="16136" width="9.85546875" style="224" customWidth="1"/>
    <col min="16137" max="16137" width="2.5703125" style="224" bestFit="1" customWidth="1"/>
    <col min="16138" max="16138" width="9.140625" style="224"/>
    <col min="16139" max="16139" width="9" style="224" customWidth="1"/>
    <col min="16140" max="16384" width="9.140625" style="224"/>
  </cols>
  <sheetData>
    <row r="1" spans="1:11" s="213" customFormat="1" ht="18" x14ac:dyDescent="0.25">
      <c r="A1" s="753"/>
      <c r="B1" s="757"/>
      <c r="C1" s="753"/>
      <c r="E1" s="754"/>
      <c r="F1" s="1954"/>
      <c r="G1" s="755"/>
      <c r="H1" s="756"/>
    </row>
    <row r="2" spans="1:11" s="330" customFormat="1" ht="18" x14ac:dyDescent="0.25">
      <c r="A2" s="819" t="s">
        <v>1046</v>
      </c>
      <c r="B2" s="758"/>
      <c r="C2" s="759" t="s">
        <v>1070</v>
      </c>
      <c r="E2" s="760"/>
      <c r="F2" s="1955"/>
      <c r="G2" s="761"/>
      <c r="H2" s="762"/>
    </row>
    <row r="3" spans="1:11" ht="25.5" x14ac:dyDescent="0.25">
      <c r="A3" s="763" t="s">
        <v>561</v>
      </c>
      <c r="B3" s="763"/>
      <c r="C3" s="692" t="s">
        <v>1058</v>
      </c>
      <c r="H3" s="2049"/>
    </row>
    <row r="4" spans="1:11" x14ac:dyDescent="0.25">
      <c r="C4" s="766"/>
      <c r="D4" s="763"/>
      <c r="E4" s="763"/>
      <c r="F4" s="1957"/>
      <c r="G4" s="763"/>
      <c r="H4" s="2049"/>
    </row>
    <row r="5" spans="1:11" ht="12.75" customHeight="1" x14ac:dyDescent="0.25">
      <c r="A5" s="763" t="s">
        <v>63</v>
      </c>
      <c r="B5" s="763"/>
      <c r="C5" s="766"/>
      <c r="D5" s="763"/>
      <c r="E5" s="763"/>
      <c r="F5" s="1957"/>
      <c r="G5" s="763"/>
      <c r="H5" s="767"/>
    </row>
    <row r="6" spans="1:11" s="230" customFormat="1" x14ac:dyDescent="0.25">
      <c r="A6" s="675" t="s">
        <v>26</v>
      </c>
      <c r="B6" s="675"/>
      <c r="C6" s="676" t="s">
        <v>27</v>
      </c>
      <c r="D6" s="675" t="s">
        <v>28</v>
      </c>
      <c r="E6" s="677" t="s">
        <v>29</v>
      </c>
      <c r="F6" s="1935" t="s">
        <v>30</v>
      </c>
      <c r="G6" s="678" t="s">
        <v>31</v>
      </c>
      <c r="H6" s="224"/>
      <c r="J6" s="231"/>
      <c r="K6" s="231"/>
    </row>
    <row r="7" spans="1:11" s="246" customFormat="1" ht="12" x14ac:dyDescent="0.25">
      <c r="A7" s="768"/>
      <c r="B7" s="769"/>
      <c r="C7" s="770"/>
      <c r="E7" s="771"/>
      <c r="F7" s="1957"/>
      <c r="G7" s="763"/>
    </row>
    <row r="8" spans="1:11" s="239" customFormat="1" ht="16.5" thickBot="1" x14ac:dyDescent="0.3">
      <c r="A8" s="772"/>
      <c r="B8" s="773" t="s">
        <v>20</v>
      </c>
      <c r="C8" s="774" t="s">
        <v>1011</v>
      </c>
      <c r="D8" s="235"/>
      <c r="E8" s="775"/>
      <c r="F8" s="1958"/>
      <c r="G8" s="776"/>
    </row>
    <row r="9" spans="1:11" x14ac:dyDescent="0.25">
      <c r="A9" s="777"/>
      <c r="B9" s="778"/>
      <c r="C9" s="692"/>
      <c r="E9" s="779"/>
      <c r="G9" s="780"/>
    </row>
    <row r="10" spans="1:11" x14ac:dyDescent="0.25">
      <c r="A10" s="240"/>
      <c r="B10" s="688" t="s">
        <v>20</v>
      </c>
      <c r="C10" s="689" t="s">
        <v>1059</v>
      </c>
      <c r="D10" s="232"/>
      <c r="E10" s="690"/>
      <c r="F10" s="1938"/>
      <c r="G10" s="691"/>
    </row>
    <row r="11" spans="1:11" x14ac:dyDescent="0.25">
      <c r="A11" s="777"/>
      <c r="B11" s="778"/>
      <c r="C11" s="692"/>
      <c r="E11" s="779"/>
      <c r="G11" s="780"/>
    </row>
    <row r="12" spans="1:11" s="246" customFormat="1" ht="84" x14ac:dyDescent="0.2">
      <c r="A12" s="781" t="str">
        <f>$B$8</f>
        <v>I.</v>
      </c>
      <c r="B12" s="769">
        <f>1</f>
        <v>1</v>
      </c>
      <c r="C12" s="782" t="s">
        <v>1060</v>
      </c>
      <c r="D12" s="695" t="s">
        <v>39</v>
      </c>
      <c r="E12" s="696">
        <v>1</v>
      </c>
      <c r="F12" s="1959"/>
      <c r="G12" s="783">
        <f>ROUND(E12*F12,2)</f>
        <v>0</v>
      </c>
      <c r="H12" s="248"/>
      <c r="I12" s="249"/>
      <c r="J12" s="250"/>
      <c r="K12" s="251"/>
    </row>
    <row r="13" spans="1:11" s="260" customFormat="1" x14ac:dyDescent="0.2">
      <c r="A13" s="784"/>
      <c r="B13" s="785"/>
      <c r="C13" s="713"/>
      <c r="E13" s="786"/>
      <c r="F13" s="1960"/>
      <c r="G13" s="783"/>
      <c r="H13" s="258"/>
      <c r="I13" s="259"/>
      <c r="J13" s="250"/>
      <c r="K13" s="644"/>
    </row>
    <row r="14" spans="1:11" s="246" customFormat="1" ht="168" x14ac:dyDescent="0.2">
      <c r="A14" s="781" t="str">
        <f>$B$8</f>
        <v>I.</v>
      </c>
      <c r="B14" s="769">
        <f>COUNT($A$12:B13)+1</f>
        <v>2</v>
      </c>
      <c r="C14" s="788" t="s">
        <v>1061</v>
      </c>
      <c r="D14" s="695" t="s">
        <v>39</v>
      </c>
      <c r="E14" s="696">
        <v>1</v>
      </c>
      <c r="F14" s="1959"/>
      <c r="G14" s="783">
        <f>ROUND(E14*F14,2)</f>
        <v>0</v>
      </c>
      <c r="H14" s="248"/>
      <c r="I14" s="249"/>
      <c r="J14" s="250"/>
      <c r="K14" s="224"/>
    </row>
    <row r="15" spans="1:11" s="246" customFormat="1" x14ac:dyDescent="0.2">
      <c r="A15" s="781"/>
      <c r="B15" s="769"/>
      <c r="C15" s="788"/>
      <c r="D15" s="695"/>
      <c r="E15" s="696"/>
      <c r="F15" s="1959"/>
      <c r="G15" s="783"/>
      <c r="H15" s="248"/>
      <c r="I15" s="249"/>
      <c r="J15" s="250"/>
      <c r="K15" s="224"/>
    </row>
    <row r="16" spans="1:11" s="246" customFormat="1" ht="156" x14ac:dyDescent="0.2">
      <c r="A16" s="781" t="str">
        <f>$B$8</f>
        <v>I.</v>
      </c>
      <c r="B16" s="769">
        <f>COUNT($A$12:B13)+1</f>
        <v>2</v>
      </c>
      <c r="C16" s="264" t="s">
        <v>1062</v>
      </c>
      <c r="D16" s="695" t="s">
        <v>39</v>
      </c>
      <c r="E16" s="696">
        <v>7</v>
      </c>
      <c r="F16" s="1959"/>
      <c r="G16" s="783">
        <f>ROUND(E16*F16,2)</f>
        <v>0</v>
      </c>
      <c r="H16" s="248"/>
      <c r="I16" s="249"/>
      <c r="J16" s="250"/>
      <c r="K16" s="224"/>
    </row>
    <row r="17" spans="1:11" s="246" customFormat="1" x14ac:dyDescent="0.2">
      <c r="A17" s="781"/>
      <c r="B17" s="769"/>
      <c r="C17" s="359"/>
      <c r="D17" s="695"/>
      <c r="E17" s="696"/>
      <c r="F17" s="1959"/>
      <c r="G17" s="783"/>
      <c r="H17" s="248"/>
      <c r="I17" s="249"/>
      <c r="J17" s="250"/>
      <c r="K17" s="224"/>
    </row>
    <row r="18" spans="1:11" s="246" customFormat="1" ht="48" x14ac:dyDescent="0.2">
      <c r="A18" s="781" t="str">
        <f>$B$8</f>
        <v>I.</v>
      </c>
      <c r="B18" s="769">
        <f>COUNT($A$12:B14)+1</f>
        <v>3</v>
      </c>
      <c r="C18" s="264" t="s">
        <v>1063</v>
      </c>
      <c r="D18" s="695" t="s">
        <v>39</v>
      </c>
      <c r="E18" s="696">
        <v>2</v>
      </c>
      <c r="F18" s="1959"/>
      <c r="G18" s="783">
        <f>ROUND(E18*F18,2)</f>
        <v>0</v>
      </c>
      <c r="H18" s="248"/>
      <c r="I18" s="249"/>
      <c r="J18" s="250"/>
      <c r="K18" s="224"/>
    </row>
    <row r="19" spans="1:11" s="246" customFormat="1" x14ac:dyDescent="0.2">
      <c r="A19" s="781"/>
      <c r="B19" s="769"/>
      <c r="C19" s="264"/>
      <c r="D19" s="695"/>
      <c r="E19" s="696"/>
      <c r="F19" s="1959"/>
      <c r="G19" s="783"/>
      <c r="H19" s="248"/>
      <c r="I19" s="249"/>
      <c r="J19" s="250"/>
      <c r="K19" s="224"/>
    </row>
    <row r="20" spans="1:11" s="246" customFormat="1" ht="60" x14ac:dyDescent="0.2">
      <c r="A20" s="781" t="str">
        <f>$B$8</f>
        <v>I.</v>
      </c>
      <c r="B20" s="769">
        <f>COUNT($A$12:B16)+1</f>
        <v>4</v>
      </c>
      <c r="C20" s="264" t="s">
        <v>1064</v>
      </c>
      <c r="D20" s="695" t="s">
        <v>39</v>
      </c>
      <c r="E20" s="696">
        <v>1</v>
      </c>
      <c r="F20" s="1959"/>
      <c r="G20" s="783">
        <f>ROUND(E20*F20,2)</f>
        <v>0</v>
      </c>
      <c r="H20" s="248"/>
      <c r="I20" s="249"/>
      <c r="J20" s="250"/>
      <c r="K20" s="224"/>
    </row>
    <row r="21" spans="1:11" s="246" customFormat="1" x14ac:dyDescent="0.2">
      <c r="A21" s="781"/>
      <c r="B21" s="769"/>
      <c r="C21" s="359"/>
      <c r="D21" s="695"/>
      <c r="E21" s="696"/>
      <c r="F21" s="1959"/>
      <c r="G21" s="783"/>
      <c r="H21" s="248"/>
      <c r="I21" s="249"/>
      <c r="J21" s="250"/>
      <c r="K21" s="224"/>
    </row>
    <row r="22" spans="1:11" s="246" customFormat="1" ht="24" x14ac:dyDescent="0.2">
      <c r="A22" s="781" t="str">
        <f>$B$8</f>
        <v>I.</v>
      </c>
      <c r="B22" s="769">
        <f>COUNT($A$12:B18)+1</f>
        <v>5</v>
      </c>
      <c r="C22" s="359" t="s">
        <v>1065</v>
      </c>
      <c r="D22" s="695" t="s">
        <v>39</v>
      </c>
      <c r="E22" s="696">
        <v>4</v>
      </c>
      <c r="F22" s="1959"/>
      <c r="G22" s="783">
        <f>ROUND(E22*F22,2)</f>
        <v>0</v>
      </c>
      <c r="H22" s="248"/>
      <c r="I22" s="249"/>
      <c r="J22" s="250"/>
      <c r="K22" s="224"/>
    </row>
    <row r="23" spans="1:11" s="246" customFormat="1" x14ac:dyDescent="0.2">
      <c r="A23" s="781"/>
      <c r="B23" s="769"/>
      <c r="C23" s="359"/>
      <c r="D23" s="695"/>
      <c r="E23" s="696"/>
      <c r="F23" s="1959"/>
      <c r="G23" s="783"/>
      <c r="H23" s="248"/>
      <c r="I23" s="249"/>
      <c r="J23" s="250"/>
      <c r="K23" s="224"/>
    </row>
    <row r="24" spans="1:11" s="246" customFormat="1" x14ac:dyDescent="0.2">
      <c r="A24" s="781" t="str">
        <f>$B$8</f>
        <v>I.</v>
      </c>
      <c r="B24" s="769">
        <f>COUNT($A$12:B20)+1</f>
        <v>6</v>
      </c>
      <c r="C24" s="708" t="s">
        <v>1066</v>
      </c>
      <c r="D24" s="695" t="s">
        <v>65</v>
      </c>
      <c r="E24" s="696">
        <v>300</v>
      </c>
      <c r="F24" s="1959"/>
      <c r="G24" s="783">
        <f>ROUND(E24*F24,2)</f>
        <v>0</v>
      </c>
      <c r="H24" s="248"/>
      <c r="I24" s="249"/>
      <c r="J24" s="250"/>
      <c r="K24" s="224"/>
    </row>
    <row r="25" spans="1:11" s="246" customFormat="1" x14ac:dyDescent="0.2">
      <c r="A25" s="781"/>
      <c r="B25" s="769"/>
      <c r="C25" s="359"/>
      <c r="D25" s="695"/>
      <c r="E25" s="696"/>
      <c r="F25" s="1959"/>
      <c r="G25" s="783"/>
      <c r="H25" s="248"/>
      <c r="I25" s="249"/>
      <c r="J25" s="250"/>
      <c r="K25" s="224"/>
    </row>
    <row r="26" spans="1:11" s="246" customFormat="1" x14ac:dyDescent="0.2">
      <c r="A26" s="781" t="str">
        <f>$B$8</f>
        <v>I.</v>
      </c>
      <c r="B26" s="769">
        <f>COUNT($A$12:B22)+1</f>
        <v>7</v>
      </c>
      <c r="C26" s="359" t="s">
        <v>1067</v>
      </c>
      <c r="D26" s="695" t="s">
        <v>65</v>
      </c>
      <c r="E26" s="696">
        <v>650</v>
      </c>
      <c r="F26" s="1959"/>
      <c r="G26" s="783">
        <f>ROUND(E26*F26,2)</f>
        <v>0</v>
      </c>
      <c r="H26" s="248"/>
      <c r="I26" s="249"/>
      <c r="J26" s="250"/>
      <c r="K26" s="224"/>
    </row>
    <row r="27" spans="1:11" s="246" customFormat="1" x14ac:dyDescent="0.2">
      <c r="A27" s="781"/>
      <c r="B27" s="769"/>
      <c r="C27" s="359"/>
      <c r="D27" s="695"/>
      <c r="E27" s="696"/>
      <c r="F27" s="1959"/>
      <c r="G27" s="783"/>
      <c r="H27" s="248"/>
      <c r="I27" s="249"/>
      <c r="J27" s="250"/>
      <c r="K27" s="224"/>
    </row>
    <row r="28" spans="1:11" s="246" customFormat="1" x14ac:dyDescent="0.2">
      <c r="A28" s="781" t="str">
        <f>$B$8</f>
        <v>I.</v>
      </c>
      <c r="B28" s="769">
        <f>COUNT($A$12:B24)+1</f>
        <v>8</v>
      </c>
      <c r="C28" s="359" t="s">
        <v>1068</v>
      </c>
      <c r="D28" s="695" t="s">
        <v>39</v>
      </c>
      <c r="E28" s="696">
        <v>18</v>
      </c>
      <c r="F28" s="1959"/>
      <c r="G28" s="783">
        <f>ROUND(E28*F28,2)</f>
        <v>0</v>
      </c>
      <c r="H28" s="248"/>
      <c r="I28" s="249"/>
      <c r="J28" s="250"/>
      <c r="K28" s="224"/>
    </row>
    <row r="29" spans="1:11" s="246" customFormat="1" x14ac:dyDescent="0.2">
      <c r="A29" s="781"/>
      <c r="B29" s="769"/>
      <c r="C29" s="359"/>
      <c r="D29" s="695"/>
      <c r="E29" s="696"/>
      <c r="F29" s="1959"/>
      <c r="G29" s="783"/>
      <c r="H29" s="248"/>
      <c r="I29" s="249"/>
      <c r="J29" s="250"/>
      <c r="K29" s="224"/>
    </row>
    <row r="30" spans="1:11" s="246" customFormat="1" ht="36" x14ac:dyDescent="0.2">
      <c r="A30" s="781" t="str">
        <f>$B$8</f>
        <v>I.</v>
      </c>
      <c r="B30" s="769">
        <f>COUNT($A$12:B22)+1</f>
        <v>7</v>
      </c>
      <c r="C30" s="789" t="s">
        <v>1069</v>
      </c>
      <c r="D30" s="695" t="s">
        <v>58</v>
      </c>
      <c r="E30" s="696">
        <v>1</v>
      </c>
      <c r="F30" s="1959"/>
      <c r="G30" s="783">
        <f>ROUND(E30*F30,2)</f>
        <v>0</v>
      </c>
      <c r="H30" s="248"/>
      <c r="I30" s="249"/>
      <c r="J30" s="250"/>
      <c r="K30" s="224"/>
    </row>
    <row r="31" spans="1:11" s="246" customFormat="1" x14ac:dyDescent="0.2">
      <c r="A31" s="781"/>
      <c r="B31" s="769"/>
      <c r="C31" s="782"/>
      <c r="D31" s="695"/>
      <c r="E31" s="696"/>
      <c r="F31" s="1959"/>
      <c r="G31" s="783"/>
      <c r="H31" s="248"/>
      <c r="I31" s="249"/>
      <c r="J31" s="250"/>
      <c r="K31" s="224"/>
    </row>
    <row r="32" spans="1:11" s="246" customFormat="1" x14ac:dyDescent="0.2">
      <c r="A32" s="781"/>
      <c r="B32" s="769"/>
      <c r="C32" s="708"/>
      <c r="D32" s="695"/>
      <c r="E32" s="696"/>
      <c r="F32" s="1959"/>
      <c r="G32" s="783"/>
      <c r="H32" s="248"/>
      <c r="I32" s="249"/>
      <c r="J32" s="250"/>
      <c r="K32" s="251"/>
    </row>
    <row r="33" spans="1:11" x14ac:dyDescent="0.25">
      <c r="A33" s="777"/>
      <c r="B33" s="778"/>
      <c r="C33" s="692"/>
      <c r="E33" s="779"/>
      <c r="G33" s="1368"/>
    </row>
    <row r="34" spans="1:11" s="369" customFormat="1" ht="13.5" thickBot="1" x14ac:dyDescent="0.3">
      <c r="A34" s="790"/>
      <c r="B34" s="791"/>
      <c r="C34" s="366" t="str">
        <f>CONCATENATE(B8," ",C8," ",C10," - SKUPAJ:")</f>
        <v>I. ELEKTRO DEL PRIVOZ 11 - SKUPAJ:</v>
      </c>
      <c r="D34" s="366"/>
      <c r="E34" s="366"/>
      <c r="F34" s="1961"/>
      <c r="G34" s="792">
        <f>ROUND(SUM(G12:G30),2)</f>
        <v>0</v>
      </c>
    </row>
    <row r="35" spans="1:11" s="720" customFormat="1" ht="19.5" thickBot="1" x14ac:dyDescent="0.3">
      <c r="A35" s="793" t="str">
        <f>CONCATENATE("DELNA REKAPITULACIJA - ",A2,C2)</f>
        <v>DELNA REKAPITULACIJA - 4.2VIDEONADZOR (VN)</v>
      </c>
      <c r="B35" s="794"/>
      <c r="C35" s="795"/>
      <c r="D35" s="796"/>
      <c r="E35" s="797"/>
      <c r="F35" s="1962"/>
      <c r="G35" s="1369"/>
    </row>
    <row r="36" spans="1:11" s="616" customFormat="1" ht="14.25" customHeight="1" x14ac:dyDescent="0.25">
      <c r="A36" s="799"/>
      <c r="B36" s="799"/>
      <c r="C36" s="800"/>
      <c r="D36" s="799"/>
      <c r="E36" s="801"/>
      <c r="F36" s="1963"/>
      <c r="G36" s="1370"/>
    </row>
    <row r="37" spans="1:11" s="616" customFormat="1" ht="12.75" customHeight="1" x14ac:dyDescent="0.25">
      <c r="A37" s="763" t="s">
        <v>1044</v>
      </c>
      <c r="B37" s="803"/>
      <c r="C37" s="804"/>
      <c r="D37" s="803"/>
      <c r="E37" s="803"/>
      <c r="F37" s="1964"/>
      <c r="G37" s="787"/>
    </row>
    <row r="38" spans="1:11" s="369" customFormat="1" x14ac:dyDescent="0.25">
      <c r="A38" s="725"/>
      <c r="B38" s="725"/>
      <c r="C38" s="727"/>
      <c r="D38" s="727"/>
      <c r="E38" s="728"/>
      <c r="F38" s="1948"/>
      <c r="G38" s="1367"/>
      <c r="H38" s="616"/>
      <c r="J38" s="628"/>
      <c r="K38" s="628"/>
    </row>
    <row r="39" spans="1:11" s="616" customFormat="1" x14ac:dyDescent="0.25">
      <c r="A39" s="805"/>
      <c r="B39" s="805"/>
      <c r="C39" s="806"/>
      <c r="E39" s="807"/>
      <c r="F39" s="1965"/>
      <c r="G39" s="1371"/>
    </row>
    <row r="40" spans="1:11" s="375" customFormat="1" x14ac:dyDescent="0.25">
      <c r="A40" s="809"/>
      <c r="B40" s="809"/>
      <c r="C40" s="371" t="str">
        <f>+C34</f>
        <v>I. ELEKTRO DEL PRIVOZ 11 - SKUPAJ:</v>
      </c>
      <c r="E40" s="744"/>
      <c r="F40" s="1966"/>
      <c r="G40" s="810">
        <f>ROUND(G34,2)</f>
        <v>0</v>
      </c>
    </row>
    <row r="41" spans="1:11" s="375" customFormat="1" x14ac:dyDescent="0.25">
      <c r="A41" s="809"/>
      <c r="B41" s="809"/>
      <c r="C41" s="371"/>
      <c r="E41" s="744"/>
      <c r="F41" s="1966"/>
      <c r="G41" s="810"/>
    </row>
    <row r="42" spans="1:11" s="375" customFormat="1" ht="13.5" thickBot="1" x14ac:dyDescent="0.3">
      <c r="A42" s="811"/>
      <c r="B42" s="811"/>
      <c r="C42" s="732"/>
      <c r="D42" s="812"/>
      <c r="E42" s="734"/>
      <c r="F42" s="1967"/>
      <c r="G42" s="813"/>
    </row>
    <row r="43" spans="1:11" s="616" customFormat="1" ht="13.5" thickTop="1" x14ac:dyDescent="0.25">
      <c r="A43" s="736"/>
      <c r="B43" s="736"/>
      <c r="C43" s="737"/>
      <c r="D43" s="738"/>
      <c r="E43" s="739"/>
      <c r="F43" s="1951"/>
      <c r="G43" s="740"/>
      <c r="K43" s="814"/>
    </row>
    <row r="44" spans="1:11" s="375" customFormat="1" x14ac:dyDescent="0.25">
      <c r="A44" s="815"/>
      <c r="B44" s="815"/>
      <c r="C44" s="743" t="str">
        <f>CONCATENATE(A2," ",C2," - SKUPAJ:")</f>
        <v>4.2 VIDEONADZOR (VN) - SKUPAJ:</v>
      </c>
      <c r="D44" s="744"/>
      <c r="E44" s="744"/>
      <c r="F44" s="1966"/>
      <c r="G44" s="810">
        <f>ROUND(G40,2)</f>
        <v>0</v>
      </c>
    </row>
    <row r="45" spans="1:11" s="616" customFormat="1" x14ac:dyDescent="0.25">
      <c r="C45" s="806"/>
      <c r="E45" s="816"/>
      <c r="F45" s="1965"/>
      <c r="G45" s="803"/>
    </row>
    <row r="46" spans="1:11" s="246" customFormat="1" ht="12" x14ac:dyDescent="0.25">
      <c r="C46" s="817"/>
      <c r="E46" s="771"/>
      <c r="F46" s="1957"/>
      <c r="G46" s="763"/>
    </row>
    <row r="47" spans="1:11" s="246" customFormat="1" ht="12" x14ac:dyDescent="0.25">
      <c r="C47" s="817"/>
      <c r="E47" s="771"/>
      <c r="F47" s="1957"/>
      <c r="G47" s="763"/>
    </row>
    <row r="48" spans="1:11" s="246" customFormat="1" ht="12" x14ac:dyDescent="0.25">
      <c r="C48" s="817"/>
      <c r="E48" s="771"/>
      <c r="F48" s="1957"/>
      <c r="G48" s="763"/>
    </row>
    <row r="49" spans="3:7" s="246" customFormat="1" ht="12" x14ac:dyDescent="0.25">
      <c r="C49" s="817"/>
      <c r="E49" s="771"/>
      <c r="F49" s="1957"/>
      <c r="G49" s="763"/>
    </row>
    <row r="50" spans="3:7" s="246" customFormat="1" ht="12" x14ac:dyDescent="0.25">
      <c r="C50" s="817"/>
      <c r="E50" s="771"/>
      <c r="F50" s="1957"/>
      <c r="G50" s="763"/>
    </row>
    <row r="51" spans="3:7" s="246" customFormat="1" ht="12" x14ac:dyDescent="0.25">
      <c r="C51" s="817"/>
      <c r="E51" s="771"/>
      <c r="F51" s="1957"/>
      <c r="G51" s="763"/>
    </row>
    <row r="52" spans="3:7" s="246" customFormat="1" ht="12" x14ac:dyDescent="0.25">
      <c r="C52" s="817"/>
      <c r="E52" s="771"/>
      <c r="F52" s="1957"/>
      <c r="G52" s="763"/>
    </row>
    <row r="53" spans="3:7" s="246" customFormat="1" ht="12" x14ac:dyDescent="0.25">
      <c r="C53" s="817"/>
      <c r="E53" s="771"/>
      <c r="F53" s="1957"/>
      <c r="G53" s="763"/>
    </row>
    <row r="54" spans="3:7" s="246" customFormat="1" ht="12" x14ac:dyDescent="0.25">
      <c r="C54" s="817"/>
      <c r="E54" s="771"/>
      <c r="F54" s="1957"/>
      <c r="G54" s="763"/>
    </row>
    <row r="55" spans="3:7" s="246" customFormat="1" ht="12" x14ac:dyDescent="0.25">
      <c r="C55" s="817"/>
      <c r="E55" s="771"/>
      <c r="F55" s="1957"/>
      <c r="G55" s="763"/>
    </row>
    <row r="56" spans="3:7" s="246" customFormat="1" ht="12" x14ac:dyDescent="0.25">
      <c r="C56" s="817"/>
      <c r="E56" s="771"/>
      <c r="F56" s="1957"/>
      <c r="G56" s="763"/>
    </row>
    <row r="57" spans="3:7" s="246" customFormat="1" ht="12" x14ac:dyDescent="0.25">
      <c r="C57" s="817"/>
      <c r="E57" s="771"/>
      <c r="F57" s="1957"/>
      <c r="G57" s="763"/>
    </row>
    <row r="58" spans="3:7" s="246" customFormat="1" ht="12" x14ac:dyDescent="0.25">
      <c r="C58" s="817"/>
      <c r="E58" s="771"/>
      <c r="F58" s="1957"/>
      <c r="G58" s="763"/>
    </row>
    <row r="59" spans="3:7" s="246" customFormat="1" ht="12" x14ac:dyDescent="0.25">
      <c r="C59" s="817"/>
      <c r="E59" s="771"/>
      <c r="F59" s="1957"/>
      <c r="G59" s="763"/>
    </row>
    <row r="60" spans="3:7" s="246" customFormat="1" ht="12" x14ac:dyDescent="0.25">
      <c r="C60" s="817"/>
      <c r="E60" s="771"/>
      <c r="F60" s="1957"/>
      <c r="G60" s="763"/>
    </row>
    <row r="61" spans="3:7" s="246" customFormat="1" ht="12" x14ac:dyDescent="0.25">
      <c r="C61" s="817"/>
      <c r="E61" s="771"/>
      <c r="F61" s="1957"/>
      <c r="G61" s="763"/>
    </row>
    <row r="62" spans="3:7" s="246" customFormat="1" ht="12" x14ac:dyDescent="0.25">
      <c r="C62" s="817"/>
      <c r="E62" s="771"/>
      <c r="F62" s="1957"/>
      <c r="G62" s="763"/>
    </row>
    <row r="63" spans="3:7" s="246" customFormat="1" ht="12" x14ac:dyDescent="0.25">
      <c r="C63" s="817"/>
      <c r="E63" s="771"/>
      <c r="F63" s="1957"/>
      <c r="G63" s="763"/>
    </row>
    <row r="64" spans="3:7" s="246" customFormat="1" ht="12" x14ac:dyDescent="0.25">
      <c r="C64" s="817"/>
      <c r="E64" s="771"/>
      <c r="F64" s="1957"/>
      <c r="G64" s="763"/>
    </row>
    <row r="65" spans="3:7" s="246" customFormat="1" ht="12" x14ac:dyDescent="0.25">
      <c r="C65" s="817"/>
      <c r="E65" s="771"/>
      <c r="F65" s="1957"/>
      <c r="G65" s="763"/>
    </row>
    <row r="66" spans="3:7" s="246" customFormat="1" ht="12" x14ac:dyDescent="0.25">
      <c r="C66" s="817"/>
      <c r="E66" s="771"/>
      <c r="F66" s="1957"/>
      <c r="G66" s="763"/>
    </row>
    <row r="67" spans="3:7" s="246" customFormat="1" ht="12" x14ac:dyDescent="0.25">
      <c r="C67" s="817"/>
      <c r="E67" s="771"/>
      <c r="F67" s="1957"/>
      <c r="G67" s="763"/>
    </row>
    <row r="68" spans="3:7" s="246" customFormat="1" ht="12" x14ac:dyDescent="0.25">
      <c r="C68" s="817"/>
      <c r="E68" s="771"/>
      <c r="F68" s="1957"/>
      <c r="G68" s="763"/>
    </row>
    <row r="69" spans="3:7" s="246" customFormat="1" ht="12" x14ac:dyDescent="0.25">
      <c r="C69" s="817"/>
      <c r="E69" s="771"/>
      <c r="F69" s="1957"/>
      <c r="G69" s="763"/>
    </row>
    <row r="70" spans="3:7" s="246" customFormat="1" ht="12" x14ac:dyDescent="0.25">
      <c r="C70" s="817"/>
      <c r="E70" s="771"/>
      <c r="F70" s="1957"/>
      <c r="G70" s="763"/>
    </row>
    <row r="71" spans="3:7" s="246" customFormat="1" ht="12" x14ac:dyDescent="0.25">
      <c r="C71" s="817"/>
      <c r="E71" s="771"/>
      <c r="F71" s="1957"/>
      <c r="G71" s="763"/>
    </row>
    <row r="72" spans="3:7" s="246" customFormat="1" ht="12" x14ac:dyDescent="0.25">
      <c r="C72" s="817"/>
      <c r="E72" s="771"/>
      <c r="F72" s="1957"/>
      <c r="G72" s="763"/>
    </row>
    <row r="73" spans="3:7" s="246" customFormat="1" ht="12" x14ac:dyDescent="0.25">
      <c r="C73" s="817"/>
      <c r="E73" s="771"/>
      <c r="F73" s="1957"/>
      <c r="G73" s="763"/>
    </row>
    <row r="74" spans="3:7" s="246" customFormat="1" ht="12" x14ac:dyDescent="0.25">
      <c r="C74" s="817"/>
      <c r="E74" s="771"/>
      <c r="F74" s="1957"/>
      <c r="G74" s="763"/>
    </row>
    <row r="75" spans="3:7" s="246" customFormat="1" ht="12" x14ac:dyDescent="0.25">
      <c r="C75" s="817"/>
      <c r="E75" s="771"/>
      <c r="F75" s="1957"/>
      <c r="G75" s="763"/>
    </row>
    <row r="76" spans="3:7" s="246" customFormat="1" ht="12" x14ac:dyDescent="0.25">
      <c r="C76" s="817"/>
      <c r="E76" s="771"/>
      <c r="F76" s="1957"/>
      <c r="G76" s="763"/>
    </row>
    <row r="77" spans="3:7" s="246" customFormat="1" ht="12" x14ac:dyDescent="0.25">
      <c r="C77" s="817"/>
      <c r="E77" s="771"/>
      <c r="F77" s="1957"/>
      <c r="G77" s="763"/>
    </row>
    <row r="78" spans="3:7" s="246" customFormat="1" ht="12" x14ac:dyDescent="0.25">
      <c r="C78" s="817"/>
      <c r="E78" s="771"/>
      <c r="F78" s="1957"/>
      <c r="G78" s="763"/>
    </row>
    <row r="79" spans="3:7" s="246" customFormat="1" ht="12" x14ac:dyDescent="0.25">
      <c r="C79" s="817"/>
      <c r="E79" s="771"/>
      <c r="F79" s="1957"/>
      <c r="G79" s="763"/>
    </row>
    <row r="80" spans="3:7" s="246" customFormat="1" ht="12" x14ac:dyDescent="0.25">
      <c r="C80" s="817"/>
      <c r="E80" s="771"/>
      <c r="F80" s="1957"/>
      <c r="G80" s="763"/>
    </row>
    <row r="81" spans="3:7" s="246" customFormat="1" ht="12" x14ac:dyDescent="0.25">
      <c r="C81" s="817"/>
      <c r="E81" s="771"/>
      <c r="F81" s="1957"/>
      <c r="G81" s="763"/>
    </row>
    <row r="82" spans="3:7" s="246" customFormat="1" ht="12" x14ac:dyDescent="0.25">
      <c r="C82" s="817"/>
      <c r="E82" s="771"/>
      <c r="F82" s="1957"/>
      <c r="G82" s="763"/>
    </row>
    <row r="83" spans="3:7" s="246" customFormat="1" ht="12" x14ac:dyDescent="0.25">
      <c r="C83" s="817"/>
      <c r="E83" s="771"/>
      <c r="F83" s="1957"/>
      <c r="G83" s="763"/>
    </row>
    <row r="84" spans="3:7" s="246" customFormat="1" ht="12" x14ac:dyDescent="0.25">
      <c r="C84" s="817"/>
      <c r="E84" s="771"/>
      <c r="F84" s="1957"/>
      <c r="G84" s="763"/>
    </row>
    <row r="85" spans="3:7" s="246" customFormat="1" ht="12" x14ac:dyDescent="0.25">
      <c r="C85" s="817"/>
      <c r="E85" s="771"/>
      <c r="F85" s="1957"/>
      <c r="G85" s="763"/>
    </row>
    <row r="86" spans="3:7" s="246" customFormat="1" ht="12" x14ac:dyDescent="0.25">
      <c r="C86" s="817"/>
      <c r="E86" s="771"/>
      <c r="F86" s="1957"/>
      <c r="G86" s="763"/>
    </row>
    <row r="87" spans="3:7" s="246" customFormat="1" ht="12" x14ac:dyDescent="0.25">
      <c r="C87" s="817"/>
      <c r="E87" s="771"/>
      <c r="F87" s="1957"/>
      <c r="G87" s="763"/>
    </row>
    <row r="88" spans="3:7" s="246" customFormat="1" ht="12" x14ac:dyDescent="0.25">
      <c r="C88" s="817"/>
      <c r="E88" s="771"/>
      <c r="F88" s="1957"/>
      <c r="G88" s="763"/>
    </row>
    <row r="89" spans="3:7" s="246" customFormat="1" ht="12" x14ac:dyDescent="0.25">
      <c r="C89" s="817"/>
      <c r="E89" s="771"/>
      <c r="F89" s="1957"/>
      <c r="G89" s="763"/>
    </row>
    <row r="90" spans="3:7" s="246" customFormat="1" ht="12" x14ac:dyDescent="0.25">
      <c r="C90" s="817"/>
      <c r="E90" s="771"/>
      <c r="F90" s="1957"/>
      <c r="G90" s="763"/>
    </row>
    <row r="91" spans="3:7" s="246" customFormat="1" ht="12" x14ac:dyDescent="0.25">
      <c r="C91" s="817"/>
      <c r="E91" s="771"/>
      <c r="F91" s="1957"/>
      <c r="G91" s="763"/>
    </row>
    <row r="92" spans="3:7" s="246" customFormat="1" ht="12" x14ac:dyDescent="0.25">
      <c r="C92" s="817"/>
      <c r="E92" s="771"/>
      <c r="F92" s="1957"/>
      <c r="G92" s="763"/>
    </row>
    <row r="93" spans="3:7" s="246" customFormat="1" ht="12" x14ac:dyDescent="0.25">
      <c r="C93" s="817"/>
      <c r="E93" s="771"/>
      <c r="F93" s="1957"/>
      <c r="G93" s="763"/>
    </row>
    <row r="94" spans="3:7" s="246" customFormat="1" ht="12" x14ac:dyDescent="0.25">
      <c r="C94" s="817"/>
      <c r="E94" s="771"/>
      <c r="F94" s="1957"/>
      <c r="G94" s="763"/>
    </row>
    <row r="95" spans="3:7" s="246" customFormat="1" ht="12" x14ac:dyDescent="0.25">
      <c r="C95" s="817"/>
      <c r="E95" s="771"/>
      <c r="F95" s="1957"/>
      <c r="G95" s="763"/>
    </row>
    <row r="96" spans="3:7" s="246" customFormat="1" ht="12" x14ac:dyDescent="0.25">
      <c r="C96" s="817"/>
      <c r="E96" s="771"/>
      <c r="F96" s="1957"/>
      <c r="G96" s="763"/>
    </row>
    <row r="97" spans="3:7" s="246" customFormat="1" ht="12" x14ac:dyDescent="0.25">
      <c r="C97" s="817"/>
      <c r="E97" s="771"/>
      <c r="F97" s="1957"/>
      <c r="G97" s="763"/>
    </row>
    <row r="98" spans="3:7" s="246" customFormat="1" ht="12" x14ac:dyDescent="0.25">
      <c r="C98" s="817"/>
      <c r="E98" s="771"/>
      <c r="F98" s="1957"/>
      <c r="G98" s="763"/>
    </row>
    <row r="99" spans="3:7" s="246" customFormat="1" ht="12" x14ac:dyDescent="0.25">
      <c r="C99" s="817"/>
      <c r="E99" s="771"/>
      <c r="F99" s="1957"/>
      <c r="G99" s="763"/>
    </row>
    <row r="100" spans="3:7" s="246" customFormat="1" ht="12" x14ac:dyDescent="0.25">
      <c r="C100" s="817"/>
      <c r="E100" s="771"/>
      <c r="F100" s="1957"/>
      <c r="G100" s="763"/>
    </row>
    <row r="101" spans="3:7" s="246" customFormat="1" ht="12" x14ac:dyDescent="0.25">
      <c r="C101" s="817"/>
      <c r="E101" s="771"/>
      <c r="F101" s="1957"/>
      <c r="G101" s="763"/>
    </row>
    <row r="102" spans="3:7" s="246" customFormat="1" ht="12" x14ac:dyDescent="0.25">
      <c r="C102" s="817"/>
      <c r="E102" s="771"/>
      <c r="F102" s="1957"/>
      <c r="G102" s="763"/>
    </row>
    <row r="103" spans="3:7" s="246" customFormat="1" ht="12" x14ac:dyDescent="0.25">
      <c r="C103" s="817"/>
      <c r="E103" s="771"/>
      <c r="F103" s="1957"/>
      <c r="G103" s="763"/>
    </row>
    <row r="104" spans="3:7" s="246" customFormat="1" ht="12" x14ac:dyDescent="0.25">
      <c r="C104" s="817"/>
      <c r="E104" s="771"/>
      <c r="F104" s="1957"/>
      <c r="G104" s="763"/>
    </row>
    <row r="105" spans="3:7" s="246" customFormat="1" ht="12" x14ac:dyDescent="0.25">
      <c r="C105" s="817"/>
      <c r="E105" s="771"/>
      <c r="F105" s="1957"/>
      <c r="G105" s="763"/>
    </row>
    <row r="106" spans="3:7" s="246" customFormat="1" ht="12" x14ac:dyDescent="0.25">
      <c r="C106" s="817"/>
      <c r="E106" s="771"/>
      <c r="F106" s="1957"/>
      <c r="G106" s="763"/>
    </row>
    <row r="107" spans="3:7" s="246" customFormat="1" ht="12" x14ac:dyDescent="0.25">
      <c r="C107" s="817"/>
      <c r="E107" s="771"/>
      <c r="F107" s="1957"/>
      <c r="G107" s="763"/>
    </row>
    <row r="108" spans="3:7" s="246" customFormat="1" ht="12" x14ac:dyDescent="0.25">
      <c r="C108" s="817"/>
      <c r="E108" s="771"/>
      <c r="F108" s="1957"/>
      <c r="G108" s="763"/>
    </row>
    <row r="109" spans="3:7" s="246" customFormat="1" ht="12" x14ac:dyDescent="0.25">
      <c r="C109" s="817"/>
      <c r="E109" s="771"/>
      <c r="F109" s="1957"/>
      <c r="G109" s="763"/>
    </row>
    <row r="110" spans="3:7" s="246" customFormat="1" ht="12" x14ac:dyDescent="0.25">
      <c r="C110" s="817"/>
      <c r="E110" s="771"/>
      <c r="F110" s="1957"/>
      <c r="G110" s="763"/>
    </row>
    <row r="111" spans="3:7" s="246" customFormat="1" ht="12" x14ac:dyDescent="0.25">
      <c r="C111" s="817"/>
      <c r="E111" s="771"/>
      <c r="F111" s="1957"/>
      <c r="G111" s="763"/>
    </row>
    <row r="112" spans="3:7" s="246" customFormat="1" ht="12" x14ac:dyDescent="0.25">
      <c r="C112" s="817"/>
      <c r="E112" s="771"/>
      <c r="F112" s="1957"/>
      <c r="G112" s="763"/>
    </row>
    <row r="113" spans="3:7" s="246" customFormat="1" ht="12" x14ac:dyDescent="0.25">
      <c r="C113" s="817"/>
      <c r="E113" s="771"/>
      <c r="F113" s="1957"/>
      <c r="G113" s="763"/>
    </row>
    <row r="114" spans="3:7" s="246" customFormat="1" ht="12" x14ac:dyDescent="0.25">
      <c r="C114" s="817"/>
      <c r="E114" s="771"/>
      <c r="F114" s="1957"/>
      <c r="G114" s="763"/>
    </row>
    <row r="115" spans="3:7" s="246" customFormat="1" ht="12" x14ac:dyDescent="0.25">
      <c r="C115" s="817"/>
      <c r="E115" s="771"/>
      <c r="F115" s="1957"/>
      <c r="G115" s="763"/>
    </row>
    <row r="116" spans="3:7" s="246" customFormat="1" ht="12" x14ac:dyDescent="0.25">
      <c r="C116" s="817"/>
      <c r="E116" s="771"/>
      <c r="F116" s="1957"/>
      <c r="G116" s="763"/>
    </row>
    <row r="117" spans="3:7" s="246" customFormat="1" ht="12" x14ac:dyDescent="0.25">
      <c r="C117" s="817"/>
      <c r="E117" s="771"/>
      <c r="F117" s="1957"/>
      <c r="G117" s="763"/>
    </row>
    <row r="118" spans="3:7" s="246" customFormat="1" ht="12" x14ac:dyDescent="0.25">
      <c r="C118" s="817"/>
      <c r="E118" s="771"/>
      <c r="F118" s="1957"/>
      <c r="G118" s="763"/>
    </row>
    <row r="119" spans="3:7" s="246" customFormat="1" ht="12" x14ac:dyDescent="0.25">
      <c r="C119" s="817"/>
      <c r="E119" s="771"/>
      <c r="F119" s="1957"/>
      <c r="G119" s="763"/>
    </row>
    <row r="120" spans="3:7" s="246" customFormat="1" ht="12" x14ac:dyDescent="0.25">
      <c r="C120" s="817"/>
      <c r="E120" s="771"/>
      <c r="F120" s="1957"/>
      <c r="G120" s="763"/>
    </row>
    <row r="121" spans="3:7" s="246" customFormat="1" ht="12" x14ac:dyDescent="0.25">
      <c r="C121" s="817"/>
      <c r="E121" s="771"/>
      <c r="F121" s="1957"/>
      <c r="G121" s="763"/>
    </row>
    <row r="122" spans="3:7" s="246" customFormat="1" ht="12" x14ac:dyDescent="0.25">
      <c r="C122" s="817"/>
      <c r="E122" s="771"/>
      <c r="F122" s="1957"/>
      <c r="G122" s="763"/>
    </row>
    <row r="123" spans="3:7" s="246" customFormat="1" ht="12" x14ac:dyDescent="0.25">
      <c r="C123" s="817"/>
      <c r="E123" s="771"/>
      <c r="F123" s="1957"/>
      <c r="G123" s="763"/>
    </row>
    <row r="124" spans="3:7" s="246" customFormat="1" ht="12" x14ac:dyDescent="0.25">
      <c r="C124" s="817"/>
      <c r="E124" s="771"/>
      <c r="F124" s="1957"/>
      <c r="G124" s="763"/>
    </row>
    <row r="125" spans="3:7" s="246" customFormat="1" ht="12" x14ac:dyDescent="0.25">
      <c r="C125" s="817"/>
      <c r="E125" s="771"/>
      <c r="F125" s="1957"/>
      <c r="G125" s="763"/>
    </row>
    <row r="126" spans="3:7" s="246" customFormat="1" ht="12" x14ac:dyDescent="0.25">
      <c r="C126" s="817"/>
      <c r="E126" s="771"/>
      <c r="F126" s="1957"/>
      <c r="G126" s="763"/>
    </row>
    <row r="127" spans="3:7" s="246" customFormat="1" ht="12" x14ac:dyDescent="0.25">
      <c r="C127" s="817"/>
      <c r="E127" s="771"/>
      <c r="F127" s="1957"/>
      <c r="G127" s="763"/>
    </row>
    <row r="128" spans="3:7" s="246" customFormat="1" ht="12" x14ac:dyDescent="0.25">
      <c r="C128" s="817"/>
      <c r="E128" s="771"/>
      <c r="F128" s="1957"/>
      <c r="G128" s="763"/>
    </row>
    <row r="129" spans="3:7" s="246" customFormat="1" ht="12" x14ac:dyDescent="0.25">
      <c r="C129" s="817"/>
      <c r="E129" s="771"/>
      <c r="F129" s="1957"/>
      <c r="G129" s="763"/>
    </row>
    <row r="130" spans="3:7" s="246" customFormat="1" ht="12" x14ac:dyDescent="0.25">
      <c r="C130" s="817"/>
      <c r="E130" s="771"/>
      <c r="F130" s="1957"/>
      <c r="G130" s="763"/>
    </row>
    <row r="131" spans="3:7" s="246" customFormat="1" ht="12" x14ac:dyDescent="0.25">
      <c r="C131" s="817"/>
      <c r="E131" s="771"/>
      <c r="F131" s="1957"/>
      <c r="G131" s="763"/>
    </row>
    <row r="132" spans="3:7" s="246" customFormat="1" ht="12" x14ac:dyDescent="0.25">
      <c r="C132" s="817"/>
      <c r="E132" s="771"/>
      <c r="F132" s="1957"/>
      <c r="G132" s="763"/>
    </row>
    <row r="133" spans="3:7" s="246" customFormat="1" ht="12" x14ac:dyDescent="0.25">
      <c r="C133" s="817"/>
      <c r="E133" s="771"/>
      <c r="F133" s="1957"/>
      <c r="G133" s="763"/>
    </row>
    <row r="134" spans="3:7" s="246" customFormat="1" ht="12" x14ac:dyDescent="0.25">
      <c r="C134" s="817"/>
      <c r="E134" s="771"/>
      <c r="F134" s="1957"/>
      <c r="G134" s="763"/>
    </row>
    <row r="135" spans="3:7" s="246" customFormat="1" ht="12" x14ac:dyDescent="0.25">
      <c r="C135" s="817"/>
      <c r="E135" s="771"/>
      <c r="F135" s="1957"/>
      <c r="G135" s="763"/>
    </row>
    <row r="136" spans="3:7" s="246" customFormat="1" ht="12" x14ac:dyDescent="0.25">
      <c r="C136" s="817"/>
      <c r="E136" s="771"/>
      <c r="F136" s="1957"/>
      <c r="G136" s="763"/>
    </row>
    <row r="137" spans="3:7" s="246" customFormat="1" ht="12" x14ac:dyDescent="0.25">
      <c r="C137" s="817"/>
      <c r="E137" s="771"/>
      <c r="F137" s="1957"/>
      <c r="G137" s="763"/>
    </row>
    <row r="138" spans="3:7" s="246" customFormat="1" ht="12" x14ac:dyDescent="0.25">
      <c r="C138" s="817"/>
      <c r="E138" s="771"/>
      <c r="F138" s="1957"/>
      <c r="G138" s="763"/>
    </row>
    <row r="139" spans="3:7" s="246" customFormat="1" ht="12" x14ac:dyDescent="0.25">
      <c r="C139" s="817"/>
      <c r="E139" s="771"/>
      <c r="F139" s="1957"/>
      <c r="G139" s="763"/>
    </row>
    <row r="140" spans="3:7" s="246" customFormat="1" ht="12" x14ac:dyDescent="0.25">
      <c r="C140" s="817"/>
      <c r="E140" s="771"/>
      <c r="F140" s="1957"/>
      <c r="G140" s="763"/>
    </row>
    <row r="141" spans="3:7" s="246" customFormat="1" ht="12" x14ac:dyDescent="0.25">
      <c r="C141" s="817"/>
      <c r="E141" s="771"/>
      <c r="F141" s="1957"/>
      <c r="G141" s="763"/>
    </row>
    <row r="142" spans="3:7" s="246" customFormat="1" ht="12" x14ac:dyDescent="0.25">
      <c r="C142" s="817"/>
      <c r="E142" s="771"/>
      <c r="F142" s="1957"/>
      <c r="G142" s="763"/>
    </row>
    <row r="143" spans="3:7" s="246" customFormat="1" ht="12" x14ac:dyDescent="0.25">
      <c r="C143" s="817"/>
      <c r="E143" s="771"/>
      <c r="F143" s="1957"/>
      <c r="G143" s="763"/>
    </row>
    <row r="144" spans="3:7" s="246" customFormat="1" ht="12" x14ac:dyDescent="0.25">
      <c r="C144" s="817"/>
      <c r="E144" s="771"/>
      <c r="F144" s="1957"/>
      <c r="G144" s="763"/>
    </row>
    <row r="145" spans="3:7" s="246" customFormat="1" ht="12" x14ac:dyDescent="0.25">
      <c r="C145" s="817"/>
      <c r="E145" s="771"/>
      <c r="F145" s="1957"/>
      <c r="G145" s="763"/>
    </row>
    <row r="146" spans="3:7" s="246" customFormat="1" ht="12" x14ac:dyDescent="0.25">
      <c r="C146" s="817"/>
      <c r="E146" s="771"/>
      <c r="F146" s="1957"/>
      <c r="G146" s="763"/>
    </row>
    <row r="147" spans="3:7" s="246" customFormat="1" ht="12" x14ac:dyDescent="0.25">
      <c r="C147" s="817"/>
      <c r="E147" s="771"/>
      <c r="F147" s="1957"/>
      <c r="G147" s="763"/>
    </row>
    <row r="148" spans="3:7" s="246" customFormat="1" ht="12" x14ac:dyDescent="0.25">
      <c r="C148" s="817"/>
      <c r="E148" s="771"/>
      <c r="F148" s="1957"/>
      <c r="G148" s="763"/>
    </row>
  </sheetData>
  <sheetProtection algorithmName="SHA-512" hashValue="Tm6HoJbV7GiwyyVOFzgRVjlQm5ie2529cSOpY5MSyXXoaTqEt19BKbNsyL6Upbcxrm42ioDPlm/WWJEzWuBwtQ==" saltValue="fauIlQT+Ut0TWUAnNmyL2Q==" spinCount="100000" sheet="1" objects="1" scenarios="1"/>
  <mergeCells count="1">
    <mergeCell ref="H3:H4"/>
  </mergeCells>
  <pageMargins left="0.98425196850393704" right="0.39370078740157483" top="0.98425196850393704" bottom="0.74803149606299213" header="0" footer="0.39370078740157483"/>
  <pageSetup paperSize="9" scale="99" firstPageNumber="0" orientation="portrait" r:id="rId1"/>
  <headerFooter alignWithMargins="0">
    <oddHeader>&amp;L
&amp;R&amp;"Projekt,Običajno"&amp;72p</oddHeader>
    <oddFooter>&amp;C&amp;6 &amp; List: &amp;A&amp;R &amp;  &amp; Stran: &amp;P/&amp;N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tabColor theme="6" tint="-0.249977111117893"/>
  </sheetPr>
  <dimension ref="A1:K162"/>
  <sheetViews>
    <sheetView view="pageBreakPreview" zoomScaleNormal="85" zoomScaleSheetLayoutView="100" workbookViewId="0"/>
  </sheetViews>
  <sheetFormatPr defaultRowHeight="12.75" x14ac:dyDescent="0.25"/>
  <cols>
    <col min="1" max="1" width="2.5703125" style="224" customWidth="1"/>
    <col min="2" max="2" width="5.140625" style="224" customWidth="1"/>
    <col min="3" max="3" width="43.140625" style="818" customWidth="1"/>
    <col min="4" max="4" width="6.28515625" style="224" customWidth="1"/>
    <col min="5" max="5" width="7.5703125" style="764" customWidth="1"/>
    <col min="6" max="6" width="10.140625" style="1956" customWidth="1"/>
    <col min="7" max="7" width="13.28515625" style="765" customWidth="1"/>
    <col min="8" max="8" width="9.85546875" style="224" customWidth="1"/>
    <col min="9" max="9" width="2.5703125" style="224" bestFit="1" customWidth="1"/>
    <col min="10" max="10" width="9.140625" style="224"/>
    <col min="11" max="11" width="9" style="224" customWidth="1"/>
    <col min="12" max="256" width="9.140625" style="224"/>
    <col min="257" max="257" width="2.5703125" style="224" customWidth="1"/>
    <col min="258" max="258" width="5.140625" style="224" customWidth="1"/>
    <col min="259" max="259" width="43.7109375" style="224" customWidth="1"/>
    <col min="260" max="260" width="6.28515625" style="224" customWidth="1"/>
    <col min="261" max="261" width="7.5703125" style="224" customWidth="1"/>
    <col min="262" max="262" width="9.5703125" style="224" customWidth="1"/>
    <col min="263" max="263" width="13.28515625" style="224" customWidth="1"/>
    <col min="264" max="264" width="9.85546875" style="224" customWidth="1"/>
    <col min="265" max="265" width="2.5703125" style="224" bestFit="1" customWidth="1"/>
    <col min="266" max="266" width="9.140625" style="224"/>
    <col min="267" max="267" width="9" style="224" customWidth="1"/>
    <col min="268" max="512" width="9.140625" style="224"/>
    <col min="513" max="513" width="2.5703125" style="224" customWidth="1"/>
    <col min="514" max="514" width="5.140625" style="224" customWidth="1"/>
    <col min="515" max="515" width="43.7109375" style="224" customWidth="1"/>
    <col min="516" max="516" width="6.28515625" style="224" customWidth="1"/>
    <col min="517" max="517" width="7.5703125" style="224" customWidth="1"/>
    <col min="518" max="518" width="9.5703125" style="224" customWidth="1"/>
    <col min="519" max="519" width="13.28515625" style="224" customWidth="1"/>
    <col min="520" max="520" width="9.85546875" style="224" customWidth="1"/>
    <col min="521" max="521" width="2.5703125" style="224" bestFit="1" customWidth="1"/>
    <col min="522" max="522" width="9.140625" style="224"/>
    <col min="523" max="523" width="9" style="224" customWidth="1"/>
    <col min="524" max="768" width="9.140625" style="224"/>
    <col min="769" max="769" width="2.5703125" style="224" customWidth="1"/>
    <col min="770" max="770" width="5.140625" style="224" customWidth="1"/>
    <col min="771" max="771" width="43.7109375" style="224" customWidth="1"/>
    <col min="772" max="772" width="6.28515625" style="224" customWidth="1"/>
    <col min="773" max="773" width="7.5703125" style="224" customWidth="1"/>
    <col min="774" max="774" width="9.5703125" style="224" customWidth="1"/>
    <col min="775" max="775" width="13.28515625" style="224" customWidth="1"/>
    <col min="776" max="776" width="9.85546875" style="224" customWidth="1"/>
    <col min="777" max="777" width="2.5703125" style="224" bestFit="1" customWidth="1"/>
    <col min="778" max="778" width="9.140625" style="224"/>
    <col min="779" max="779" width="9" style="224" customWidth="1"/>
    <col min="780" max="1024" width="9.140625" style="224"/>
    <col min="1025" max="1025" width="2.5703125" style="224" customWidth="1"/>
    <col min="1026" max="1026" width="5.140625" style="224" customWidth="1"/>
    <col min="1027" max="1027" width="43.7109375" style="224" customWidth="1"/>
    <col min="1028" max="1028" width="6.28515625" style="224" customWidth="1"/>
    <col min="1029" max="1029" width="7.5703125" style="224" customWidth="1"/>
    <col min="1030" max="1030" width="9.5703125" style="224" customWidth="1"/>
    <col min="1031" max="1031" width="13.28515625" style="224" customWidth="1"/>
    <col min="1032" max="1032" width="9.85546875" style="224" customWidth="1"/>
    <col min="1033" max="1033" width="2.5703125" style="224" bestFit="1" customWidth="1"/>
    <col min="1034" max="1034" width="9.140625" style="224"/>
    <col min="1035" max="1035" width="9" style="224" customWidth="1"/>
    <col min="1036" max="1280" width="9.140625" style="224"/>
    <col min="1281" max="1281" width="2.5703125" style="224" customWidth="1"/>
    <col min="1282" max="1282" width="5.140625" style="224" customWidth="1"/>
    <col min="1283" max="1283" width="43.7109375" style="224" customWidth="1"/>
    <col min="1284" max="1284" width="6.28515625" style="224" customWidth="1"/>
    <col min="1285" max="1285" width="7.5703125" style="224" customWidth="1"/>
    <col min="1286" max="1286" width="9.5703125" style="224" customWidth="1"/>
    <col min="1287" max="1287" width="13.28515625" style="224" customWidth="1"/>
    <col min="1288" max="1288" width="9.85546875" style="224" customWidth="1"/>
    <col min="1289" max="1289" width="2.5703125" style="224" bestFit="1" customWidth="1"/>
    <col min="1290" max="1290" width="9.140625" style="224"/>
    <col min="1291" max="1291" width="9" style="224" customWidth="1"/>
    <col min="1292" max="1536" width="9.140625" style="224"/>
    <col min="1537" max="1537" width="2.5703125" style="224" customWidth="1"/>
    <col min="1538" max="1538" width="5.140625" style="224" customWidth="1"/>
    <col min="1539" max="1539" width="43.7109375" style="224" customWidth="1"/>
    <col min="1540" max="1540" width="6.28515625" style="224" customWidth="1"/>
    <col min="1541" max="1541" width="7.5703125" style="224" customWidth="1"/>
    <col min="1542" max="1542" width="9.5703125" style="224" customWidth="1"/>
    <col min="1543" max="1543" width="13.28515625" style="224" customWidth="1"/>
    <col min="1544" max="1544" width="9.85546875" style="224" customWidth="1"/>
    <col min="1545" max="1545" width="2.5703125" style="224" bestFit="1" customWidth="1"/>
    <col min="1546" max="1546" width="9.140625" style="224"/>
    <col min="1547" max="1547" width="9" style="224" customWidth="1"/>
    <col min="1548" max="1792" width="9.140625" style="224"/>
    <col min="1793" max="1793" width="2.5703125" style="224" customWidth="1"/>
    <col min="1794" max="1794" width="5.140625" style="224" customWidth="1"/>
    <col min="1795" max="1795" width="43.7109375" style="224" customWidth="1"/>
    <col min="1796" max="1796" width="6.28515625" style="224" customWidth="1"/>
    <col min="1797" max="1797" width="7.5703125" style="224" customWidth="1"/>
    <col min="1798" max="1798" width="9.5703125" style="224" customWidth="1"/>
    <col min="1799" max="1799" width="13.28515625" style="224" customWidth="1"/>
    <col min="1800" max="1800" width="9.85546875" style="224" customWidth="1"/>
    <col min="1801" max="1801" width="2.5703125" style="224" bestFit="1" customWidth="1"/>
    <col min="1802" max="1802" width="9.140625" style="224"/>
    <col min="1803" max="1803" width="9" style="224" customWidth="1"/>
    <col min="1804" max="2048" width="9.140625" style="224"/>
    <col min="2049" max="2049" width="2.5703125" style="224" customWidth="1"/>
    <col min="2050" max="2050" width="5.140625" style="224" customWidth="1"/>
    <col min="2051" max="2051" width="43.7109375" style="224" customWidth="1"/>
    <col min="2052" max="2052" width="6.28515625" style="224" customWidth="1"/>
    <col min="2053" max="2053" width="7.5703125" style="224" customWidth="1"/>
    <col min="2054" max="2054" width="9.5703125" style="224" customWidth="1"/>
    <col min="2055" max="2055" width="13.28515625" style="224" customWidth="1"/>
    <col min="2056" max="2056" width="9.85546875" style="224" customWidth="1"/>
    <col min="2057" max="2057" width="2.5703125" style="224" bestFit="1" customWidth="1"/>
    <col min="2058" max="2058" width="9.140625" style="224"/>
    <col min="2059" max="2059" width="9" style="224" customWidth="1"/>
    <col min="2060" max="2304" width="9.140625" style="224"/>
    <col min="2305" max="2305" width="2.5703125" style="224" customWidth="1"/>
    <col min="2306" max="2306" width="5.140625" style="224" customWidth="1"/>
    <col min="2307" max="2307" width="43.7109375" style="224" customWidth="1"/>
    <col min="2308" max="2308" width="6.28515625" style="224" customWidth="1"/>
    <col min="2309" max="2309" width="7.5703125" style="224" customWidth="1"/>
    <col min="2310" max="2310" width="9.5703125" style="224" customWidth="1"/>
    <col min="2311" max="2311" width="13.28515625" style="224" customWidth="1"/>
    <col min="2312" max="2312" width="9.85546875" style="224" customWidth="1"/>
    <col min="2313" max="2313" width="2.5703125" style="224" bestFit="1" customWidth="1"/>
    <col min="2314" max="2314" width="9.140625" style="224"/>
    <col min="2315" max="2315" width="9" style="224" customWidth="1"/>
    <col min="2316" max="2560" width="9.140625" style="224"/>
    <col min="2561" max="2561" width="2.5703125" style="224" customWidth="1"/>
    <col min="2562" max="2562" width="5.140625" style="224" customWidth="1"/>
    <col min="2563" max="2563" width="43.7109375" style="224" customWidth="1"/>
    <col min="2564" max="2564" width="6.28515625" style="224" customWidth="1"/>
    <col min="2565" max="2565" width="7.5703125" style="224" customWidth="1"/>
    <col min="2566" max="2566" width="9.5703125" style="224" customWidth="1"/>
    <col min="2567" max="2567" width="13.28515625" style="224" customWidth="1"/>
    <col min="2568" max="2568" width="9.85546875" style="224" customWidth="1"/>
    <col min="2569" max="2569" width="2.5703125" style="224" bestFit="1" customWidth="1"/>
    <col min="2570" max="2570" width="9.140625" style="224"/>
    <col min="2571" max="2571" width="9" style="224" customWidth="1"/>
    <col min="2572" max="2816" width="9.140625" style="224"/>
    <col min="2817" max="2817" width="2.5703125" style="224" customWidth="1"/>
    <col min="2818" max="2818" width="5.140625" style="224" customWidth="1"/>
    <col min="2819" max="2819" width="43.7109375" style="224" customWidth="1"/>
    <col min="2820" max="2820" width="6.28515625" style="224" customWidth="1"/>
    <col min="2821" max="2821" width="7.5703125" style="224" customWidth="1"/>
    <col min="2822" max="2822" width="9.5703125" style="224" customWidth="1"/>
    <col min="2823" max="2823" width="13.28515625" style="224" customWidth="1"/>
    <col min="2824" max="2824" width="9.85546875" style="224" customWidth="1"/>
    <col min="2825" max="2825" width="2.5703125" style="224" bestFit="1" customWidth="1"/>
    <col min="2826" max="2826" width="9.140625" style="224"/>
    <col min="2827" max="2827" width="9" style="224" customWidth="1"/>
    <col min="2828" max="3072" width="9.140625" style="224"/>
    <col min="3073" max="3073" width="2.5703125" style="224" customWidth="1"/>
    <col min="3074" max="3074" width="5.140625" style="224" customWidth="1"/>
    <col min="3075" max="3075" width="43.7109375" style="224" customWidth="1"/>
    <col min="3076" max="3076" width="6.28515625" style="224" customWidth="1"/>
    <col min="3077" max="3077" width="7.5703125" style="224" customWidth="1"/>
    <col min="3078" max="3078" width="9.5703125" style="224" customWidth="1"/>
    <col min="3079" max="3079" width="13.28515625" style="224" customWidth="1"/>
    <col min="3080" max="3080" width="9.85546875" style="224" customWidth="1"/>
    <col min="3081" max="3081" width="2.5703125" style="224" bestFit="1" customWidth="1"/>
    <col min="3082" max="3082" width="9.140625" style="224"/>
    <col min="3083" max="3083" width="9" style="224" customWidth="1"/>
    <col min="3084" max="3328" width="9.140625" style="224"/>
    <col min="3329" max="3329" width="2.5703125" style="224" customWidth="1"/>
    <col min="3330" max="3330" width="5.140625" style="224" customWidth="1"/>
    <col min="3331" max="3331" width="43.7109375" style="224" customWidth="1"/>
    <col min="3332" max="3332" width="6.28515625" style="224" customWidth="1"/>
    <col min="3333" max="3333" width="7.5703125" style="224" customWidth="1"/>
    <col min="3334" max="3334" width="9.5703125" style="224" customWidth="1"/>
    <col min="3335" max="3335" width="13.28515625" style="224" customWidth="1"/>
    <col min="3336" max="3336" width="9.85546875" style="224" customWidth="1"/>
    <col min="3337" max="3337" width="2.5703125" style="224" bestFit="1" customWidth="1"/>
    <col min="3338" max="3338" width="9.140625" style="224"/>
    <col min="3339" max="3339" width="9" style="224" customWidth="1"/>
    <col min="3340" max="3584" width="9.140625" style="224"/>
    <col min="3585" max="3585" width="2.5703125" style="224" customWidth="1"/>
    <col min="3586" max="3586" width="5.140625" style="224" customWidth="1"/>
    <col min="3587" max="3587" width="43.7109375" style="224" customWidth="1"/>
    <col min="3588" max="3588" width="6.28515625" style="224" customWidth="1"/>
    <col min="3589" max="3589" width="7.5703125" style="224" customWidth="1"/>
    <col min="3590" max="3590" width="9.5703125" style="224" customWidth="1"/>
    <col min="3591" max="3591" width="13.28515625" style="224" customWidth="1"/>
    <col min="3592" max="3592" width="9.85546875" style="224" customWidth="1"/>
    <col min="3593" max="3593" width="2.5703125" style="224" bestFit="1" customWidth="1"/>
    <col min="3594" max="3594" width="9.140625" style="224"/>
    <col min="3595" max="3595" width="9" style="224" customWidth="1"/>
    <col min="3596" max="3840" width="9.140625" style="224"/>
    <col min="3841" max="3841" width="2.5703125" style="224" customWidth="1"/>
    <col min="3842" max="3842" width="5.140625" style="224" customWidth="1"/>
    <col min="3843" max="3843" width="43.7109375" style="224" customWidth="1"/>
    <col min="3844" max="3844" width="6.28515625" style="224" customWidth="1"/>
    <col min="3845" max="3845" width="7.5703125" style="224" customWidth="1"/>
    <col min="3846" max="3846" width="9.5703125" style="224" customWidth="1"/>
    <col min="3847" max="3847" width="13.28515625" style="224" customWidth="1"/>
    <col min="3848" max="3848" width="9.85546875" style="224" customWidth="1"/>
    <col min="3849" max="3849" width="2.5703125" style="224" bestFit="1" customWidth="1"/>
    <col min="3850" max="3850" width="9.140625" style="224"/>
    <col min="3851" max="3851" width="9" style="224" customWidth="1"/>
    <col min="3852" max="4096" width="9.140625" style="224"/>
    <col min="4097" max="4097" width="2.5703125" style="224" customWidth="1"/>
    <col min="4098" max="4098" width="5.140625" style="224" customWidth="1"/>
    <col min="4099" max="4099" width="43.7109375" style="224" customWidth="1"/>
    <col min="4100" max="4100" width="6.28515625" style="224" customWidth="1"/>
    <col min="4101" max="4101" width="7.5703125" style="224" customWidth="1"/>
    <col min="4102" max="4102" width="9.5703125" style="224" customWidth="1"/>
    <col min="4103" max="4103" width="13.28515625" style="224" customWidth="1"/>
    <col min="4104" max="4104" width="9.85546875" style="224" customWidth="1"/>
    <col min="4105" max="4105" width="2.5703125" style="224" bestFit="1" customWidth="1"/>
    <col min="4106" max="4106" width="9.140625" style="224"/>
    <col min="4107" max="4107" width="9" style="224" customWidth="1"/>
    <col min="4108" max="4352" width="9.140625" style="224"/>
    <col min="4353" max="4353" width="2.5703125" style="224" customWidth="1"/>
    <col min="4354" max="4354" width="5.140625" style="224" customWidth="1"/>
    <col min="4355" max="4355" width="43.7109375" style="224" customWidth="1"/>
    <col min="4356" max="4356" width="6.28515625" style="224" customWidth="1"/>
    <col min="4357" max="4357" width="7.5703125" style="224" customWidth="1"/>
    <col min="4358" max="4358" width="9.5703125" style="224" customWidth="1"/>
    <col min="4359" max="4359" width="13.28515625" style="224" customWidth="1"/>
    <col min="4360" max="4360" width="9.85546875" style="224" customWidth="1"/>
    <col min="4361" max="4361" width="2.5703125" style="224" bestFit="1" customWidth="1"/>
    <col min="4362" max="4362" width="9.140625" style="224"/>
    <col min="4363" max="4363" width="9" style="224" customWidth="1"/>
    <col min="4364" max="4608" width="9.140625" style="224"/>
    <col min="4609" max="4609" width="2.5703125" style="224" customWidth="1"/>
    <col min="4610" max="4610" width="5.140625" style="224" customWidth="1"/>
    <col min="4611" max="4611" width="43.7109375" style="224" customWidth="1"/>
    <col min="4612" max="4612" width="6.28515625" style="224" customWidth="1"/>
    <col min="4613" max="4613" width="7.5703125" style="224" customWidth="1"/>
    <col min="4614" max="4614" width="9.5703125" style="224" customWidth="1"/>
    <col min="4615" max="4615" width="13.28515625" style="224" customWidth="1"/>
    <col min="4616" max="4616" width="9.85546875" style="224" customWidth="1"/>
    <col min="4617" max="4617" width="2.5703125" style="224" bestFit="1" customWidth="1"/>
    <col min="4618" max="4618" width="9.140625" style="224"/>
    <col min="4619" max="4619" width="9" style="224" customWidth="1"/>
    <col min="4620" max="4864" width="9.140625" style="224"/>
    <col min="4865" max="4865" width="2.5703125" style="224" customWidth="1"/>
    <col min="4866" max="4866" width="5.140625" style="224" customWidth="1"/>
    <col min="4867" max="4867" width="43.7109375" style="224" customWidth="1"/>
    <col min="4868" max="4868" width="6.28515625" style="224" customWidth="1"/>
    <col min="4869" max="4869" width="7.5703125" style="224" customWidth="1"/>
    <col min="4870" max="4870" width="9.5703125" style="224" customWidth="1"/>
    <col min="4871" max="4871" width="13.28515625" style="224" customWidth="1"/>
    <col min="4872" max="4872" width="9.85546875" style="224" customWidth="1"/>
    <col min="4873" max="4873" width="2.5703125" style="224" bestFit="1" customWidth="1"/>
    <col min="4874" max="4874" width="9.140625" style="224"/>
    <col min="4875" max="4875" width="9" style="224" customWidth="1"/>
    <col min="4876" max="5120" width="9.140625" style="224"/>
    <col min="5121" max="5121" width="2.5703125" style="224" customWidth="1"/>
    <col min="5122" max="5122" width="5.140625" style="224" customWidth="1"/>
    <col min="5123" max="5123" width="43.7109375" style="224" customWidth="1"/>
    <col min="5124" max="5124" width="6.28515625" style="224" customWidth="1"/>
    <col min="5125" max="5125" width="7.5703125" style="224" customWidth="1"/>
    <col min="5126" max="5126" width="9.5703125" style="224" customWidth="1"/>
    <col min="5127" max="5127" width="13.28515625" style="224" customWidth="1"/>
    <col min="5128" max="5128" width="9.85546875" style="224" customWidth="1"/>
    <col min="5129" max="5129" width="2.5703125" style="224" bestFit="1" customWidth="1"/>
    <col min="5130" max="5130" width="9.140625" style="224"/>
    <col min="5131" max="5131" width="9" style="224" customWidth="1"/>
    <col min="5132" max="5376" width="9.140625" style="224"/>
    <col min="5377" max="5377" width="2.5703125" style="224" customWidth="1"/>
    <col min="5378" max="5378" width="5.140625" style="224" customWidth="1"/>
    <col min="5379" max="5379" width="43.7109375" style="224" customWidth="1"/>
    <col min="5380" max="5380" width="6.28515625" style="224" customWidth="1"/>
    <col min="5381" max="5381" width="7.5703125" style="224" customWidth="1"/>
    <col min="5382" max="5382" width="9.5703125" style="224" customWidth="1"/>
    <col min="5383" max="5383" width="13.28515625" style="224" customWidth="1"/>
    <col min="5384" max="5384" width="9.85546875" style="224" customWidth="1"/>
    <col min="5385" max="5385" width="2.5703125" style="224" bestFit="1" customWidth="1"/>
    <col min="5386" max="5386" width="9.140625" style="224"/>
    <col min="5387" max="5387" width="9" style="224" customWidth="1"/>
    <col min="5388" max="5632" width="9.140625" style="224"/>
    <col min="5633" max="5633" width="2.5703125" style="224" customWidth="1"/>
    <col min="5634" max="5634" width="5.140625" style="224" customWidth="1"/>
    <col min="5635" max="5635" width="43.7109375" style="224" customWidth="1"/>
    <col min="5636" max="5636" width="6.28515625" style="224" customWidth="1"/>
    <col min="5637" max="5637" width="7.5703125" style="224" customWidth="1"/>
    <col min="5638" max="5638" width="9.5703125" style="224" customWidth="1"/>
    <col min="5639" max="5639" width="13.28515625" style="224" customWidth="1"/>
    <col min="5640" max="5640" width="9.85546875" style="224" customWidth="1"/>
    <col min="5641" max="5641" width="2.5703125" style="224" bestFit="1" customWidth="1"/>
    <col min="5642" max="5642" width="9.140625" style="224"/>
    <col min="5643" max="5643" width="9" style="224" customWidth="1"/>
    <col min="5644" max="5888" width="9.140625" style="224"/>
    <col min="5889" max="5889" width="2.5703125" style="224" customWidth="1"/>
    <col min="5890" max="5890" width="5.140625" style="224" customWidth="1"/>
    <col min="5891" max="5891" width="43.7109375" style="224" customWidth="1"/>
    <col min="5892" max="5892" width="6.28515625" style="224" customWidth="1"/>
    <col min="5893" max="5893" width="7.5703125" style="224" customWidth="1"/>
    <col min="5894" max="5894" width="9.5703125" style="224" customWidth="1"/>
    <col min="5895" max="5895" width="13.28515625" style="224" customWidth="1"/>
    <col min="5896" max="5896" width="9.85546875" style="224" customWidth="1"/>
    <col min="5897" max="5897" width="2.5703125" style="224" bestFit="1" customWidth="1"/>
    <col min="5898" max="5898" width="9.140625" style="224"/>
    <col min="5899" max="5899" width="9" style="224" customWidth="1"/>
    <col min="5900" max="6144" width="9.140625" style="224"/>
    <col min="6145" max="6145" width="2.5703125" style="224" customWidth="1"/>
    <col min="6146" max="6146" width="5.140625" style="224" customWidth="1"/>
    <col min="6147" max="6147" width="43.7109375" style="224" customWidth="1"/>
    <col min="6148" max="6148" width="6.28515625" style="224" customWidth="1"/>
    <col min="6149" max="6149" width="7.5703125" style="224" customWidth="1"/>
    <col min="6150" max="6150" width="9.5703125" style="224" customWidth="1"/>
    <col min="6151" max="6151" width="13.28515625" style="224" customWidth="1"/>
    <col min="6152" max="6152" width="9.85546875" style="224" customWidth="1"/>
    <col min="6153" max="6153" width="2.5703125" style="224" bestFit="1" customWidth="1"/>
    <col min="6154" max="6154" width="9.140625" style="224"/>
    <col min="6155" max="6155" width="9" style="224" customWidth="1"/>
    <col min="6156" max="6400" width="9.140625" style="224"/>
    <col min="6401" max="6401" width="2.5703125" style="224" customWidth="1"/>
    <col min="6402" max="6402" width="5.140625" style="224" customWidth="1"/>
    <col min="6403" max="6403" width="43.7109375" style="224" customWidth="1"/>
    <col min="6404" max="6404" width="6.28515625" style="224" customWidth="1"/>
    <col min="6405" max="6405" width="7.5703125" style="224" customWidth="1"/>
    <col min="6406" max="6406" width="9.5703125" style="224" customWidth="1"/>
    <col min="6407" max="6407" width="13.28515625" style="224" customWidth="1"/>
    <col min="6408" max="6408" width="9.85546875" style="224" customWidth="1"/>
    <col min="6409" max="6409" width="2.5703125" style="224" bestFit="1" customWidth="1"/>
    <col min="6410" max="6410" width="9.140625" style="224"/>
    <col min="6411" max="6411" width="9" style="224" customWidth="1"/>
    <col min="6412" max="6656" width="9.140625" style="224"/>
    <col min="6657" max="6657" width="2.5703125" style="224" customWidth="1"/>
    <col min="6658" max="6658" width="5.140625" style="224" customWidth="1"/>
    <col min="6659" max="6659" width="43.7109375" style="224" customWidth="1"/>
    <col min="6660" max="6660" width="6.28515625" style="224" customWidth="1"/>
    <col min="6661" max="6661" width="7.5703125" style="224" customWidth="1"/>
    <col min="6662" max="6662" width="9.5703125" style="224" customWidth="1"/>
    <col min="6663" max="6663" width="13.28515625" style="224" customWidth="1"/>
    <col min="6664" max="6664" width="9.85546875" style="224" customWidth="1"/>
    <col min="6665" max="6665" width="2.5703125" style="224" bestFit="1" customWidth="1"/>
    <col min="6666" max="6666" width="9.140625" style="224"/>
    <col min="6667" max="6667" width="9" style="224" customWidth="1"/>
    <col min="6668" max="6912" width="9.140625" style="224"/>
    <col min="6913" max="6913" width="2.5703125" style="224" customWidth="1"/>
    <col min="6914" max="6914" width="5.140625" style="224" customWidth="1"/>
    <col min="6915" max="6915" width="43.7109375" style="224" customWidth="1"/>
    <col min="6916" max="6916" width="6.28515625" style="224" customWidth="1"/>
    <col min="6917" max="6917" width="7.5703125" style="224" customWidth="1"/>
    <col min="6918" max="6918" width="9.5703125" style="224" customWidth="1"/>
    <col min="6919" max="6919" width="13.28515625" style="224" customWidth="1"/>
    <col min="6920" max="6920" width="9.85546875" style="224" customWidth="1"/>
    <col min="6921" max="6921" width="2.5703125" style="224" bestFit="1" customWidth="1"/>
    <col min="6922" max="6922" width="9.140625" style="224"/>
    <col min="6923" max="6923" width="9" style="224" customWidth="1"/>
    <col min="6924" max="7168" width="9.140625" style="224"/>
    <col min="7169" max="7169" width="2.5703125" style="224" customWidth="1"/>
    <col min="7170" max="7170" width="5.140625" style="224" customWidth="1"/>
    <col min="7171" max="7171" width="43.7109375" style="224" customWidth="1"/>
    <col min="7172" max="7172" width="6.28515625" style="224" customWidth="1"/>
    <col min="7173" max="7173" width="7.5703125" style="224" customWidth="1"/>
    <col min="7174" max="7174" width="9.5703125" style="224" customWidth="1"/>
    <col min="7175" max="7175" width="13.28515625" style="224" customWidth="1"/>
    <col min="7176" max="7176" width="9.85546875" style="224" customWidth="1"/>
    <col min="7177" max="7177" width="2.5703125" style="224" bestFit="1" customWidth="1"/>
    <col min="7178" max="7178" width="9.140625" style="224"/>
    <col min="7179" max="7179" width="9" style="224" customWidth="1"/>
    <col min="7180" max="7424" width="9.140625" style="224"/>
    <col min="7425" max="7425" width="2.5703125" style="224" customWidth="1"/>
    <col min="7426" max="7426" width="5.140625" style="224" customWidth="1"/>
    <col min="7427" max="7427" width="43.7109375" style="224" customWidth="1"/>
    <col min="7428" max="7428" width="6.28515625" style="224" customWidth="1"/>
    <col min="7429" max="7429" width="7.5703125" style="224" customWidth="1"/>
    <col min="7430" max="7430" width="9.5703125" style="224" customWidth="1"/>
    <col min="7431" max="7431" width="13.28515625" style="224" customWidth="1"/>
    <col min="7432" max="7432" width="9.85546875" style="224" customWidth="1"/>
    <col min="7433" max="7433" width="2.5703125" style="224" bestFit="1" customWidth="1"/>
    <col min="7434" max="7434" width="9.140625" style="224"/>
    <col min="7435" max="7435" width="9" style="224" customWidth="1"/>
    <col min="7436" max="7680" width="9.140625" style="224"/>
    <col min="7681" max="7681" width="2.5703125" style="224" customWidth="1"/>
    <col min="7682" max="7682" width="5.140625" style="224" customWidth="1"/>
    <col min="7683" max="7683" width="43.7109375" style="224" customWidth="1"/>
    <col min="7684" max="7684" width="6.28515625" style="224" customWidth="1"/>
    <col min="7685" max="7685" width="7.5703125" style="224" customWidth="1"/>
    <col min="7686" max="7686" width="9.5703125" style="224" customWidth="1"/>
    <col min="7687" max="7687" width="13.28515625" style="224" customWidth="1"/>
    <col min="7688" max="7688" width="9.85546875" style="224" customWidth="1"/>
    <col min="7689" max="7689" width="2.5703125" style="224" bestFit="1" customWidth="1"/>
    <col min="7690" max="7690" width="9.140625" style="224"/>
    <col min="7691" max="7691" width="9" style="224" customWidth="1"/>
    <col min="7692" max="7936" width="9.140625" style="224"/>
    <col min="7937" max="7937" width="2.5703125" style="224" customWidth="1"/>
    <col min="7938" max="7938" width="5.140625" style="224" customWidth="1"/>
    <col min="7939" max="7939" width="43.7109375" style="224" customWidth="1"/>
    <col min="7940" max="7940" width="6.28515625" style="224" customWidth="1"/>
    <col min="7941" max="7941" width="7.5703125" style="224" customWidth="1"/>
    <col min="7942" max="7942" width="9.5703125" style="224" customWidth="1"/>
    <col min="7943" max="7943" width="13.28515625" style="224" customWidth="1"/>
    <col min="7944" max="7944" width="9.85546875" style="224" customWidth="1"/>
    <col min="7945" max="7945" width="2.5703125" style="224" bestFit="1" customWidth="1"/>
    <col min="7946" max="7946" width="9.140625" style="224"/>
    <col min="7947" max="7947" width="9" style="224" customWidth="1"/>
    <col min="7948" max="8192" width="9.140625" style="224"/>
    <col min="8193" max="8193" width="2.5703125" style="224" customWidth="1"/>
    <col min="8194" max="8194" width="5.140625" style="224" customWidth="1"/>
    <col min="8195" max="8195" width="43.7109375" style="224" customWidth="1"/>
    <col min="8196" max="8196" width="6.28515625" style="224" customWidth="1"/>
    <col min="8197" max="8197" width="7.5703125" style="224" customWidth="1"/>
    <col min="8198" max="8198" width="9.5703125" style="224" customWidth="1"/>
    <col min="8199" max="8199" width="13.28515625" style="224" customWidth="1"/>
    <col min="8200" max="8200" width="9.85546875" style="224" customWidth="1"/>
    <col min="8201" max="8201" width="2.5703125" style="224" bestFit="1" customWidth="1"/>
    <col min="8202" max="8202" width="9.140625" style="224"/>
    <col min="8203" max="8203" width="9" style="224" customWidth="1"/>
    <col min="8204" max="8448" width="9.140625" style="224"/>
    <col min="8449" max="8449" width="2.5703125" style="224" customWidth="1"/>
    <col min="8450" max="8450" width="5.140625" style="224" customWidth="1"/>
    <col min="8451" max="8451" width="43.7109375" style="224" customWidth="1"/>
    <col min="8452" max="8452" width="6.28515625" style="224" customWidth="1"/>
    <col min="8453" max="8453" width="7.5703125" style="224" customWidth="1"/>
    <col min="8454" max="8454" width="9.5703125" style="224" customWidth="1"/>
    <col min="8455" max="8455" width="13.28515625" style="224" customWidth="1"/>
    <col min="8456" max="8456" width="9.85546875" style="224" customWidth="1"/>
    <col min="8457" max="8457" width="2.5703125" style="224" bestFit="1" customWidth="1"/>
    <col min="8458" max="8458" width="9.140625" style="224"/>
    <col min="8459" max="8459" width="9" style="224" customWidth="1"/>
    <col min="8460" max="8704" width="9.140625" style="224"/>
    <col min="8705" max="8705" width="2.5703125" style="224" customWidth="1"/>
    <col min="8706" max="8706" width="5.140625" style="224" customWidth="1"/>
    <col min="8707" max="8707" width="43.7109375" style="224" customWidth="1"/>
    <col min="8708" max="8708" width="6.28515625" style="224" customWidth="1"/>
    <col min="8709" max="8709" width="7.5703125" style="224" customWidth="1"/>
    <col min="8710" max="8710" width="9.5703125" style="224" customWidth="1"/>
    <col min="8711" max="8711" width="13.28515625" style="224" customWidth="1"/>
    <col min="8712" max="8712" width="9.85546875" style="224" customWidth="1"/>
    <col min="8713" max="8713" width="2.5703125" style="224" bestFit="1" customWidth="1"/>
    <col min="8714" max="8714" width="9.140625" style="224"/>
    <col min="8715" max="8715" width="9" style="224" customWidth="1"/>
    <col min="8716" max="8960" width="9.140625" style="224"/>
    <col min="8961" max="8961" width="2.5703125" style="224" customWidth="1"/>
    <col min="8962" max="8962" width="5.140625" style="224" customWidth="1"/>
    <col min="8963" max="8963" width="43.7109375" style="224" customWidth="1"/>
    <col min="8964" max="8964" width="6.28515625" style="224" customWidth="1"/>
    <col min="8965" max="8965" width="7.5703125" style="224" customWidth="1"/>
    <col min="8966" max="8966" width="9.5703125" style="224" customWidth="1"/>
    <col min="8967" max="8967" width="13.28515625" style="224" customWidth="1"/>
    <col min="8968" max="8968" width="9.85546875" style="224" customWidth="1"/>
    <col min="8969" max="8969" width="2.5703125" style="224" bestFit="1" customWidth="1"/>
    <col min="8970" max="8970" width="9.140625" style="224"/>
    <col min="8971" max="8971" width="9" style="224" customWidth="1"/>
    <col min="8972" max="9216" width="9.140625" style="224"/>
    <col min="9217" max="9217" width="2.5703125" style="224" customWidth="1"/>
    <col min="9218" max="9218" width="5.140625" style="224" customWidth="1"/>
    <col min="9219" max="9219" width="43.7109375" style="224" customWidth="1"/>
    <col min="9220" max="9220" width="6.28515625" style="224" customWidth="1"/>
    <col min="9221" max="9221" width="7.5703125" style="224" customWidth="1"/>
    <col min="9222" max="9222" width="9.5703125" style="224" customWidth="1"/>
    <col min="9223" max="9223" width="13.28515625" style="224" customWidth="1"/>
    <col min="9224" max="9224" width="9.85546875" style="224" customWidth="1"/>
    <col min="9225" max="9225" width="2.5703125" style="224" bestFit="1" customWidth="1"/>
    <col min="9226" max="9226" width="9.140625" style="224"/>
    <col min="9227" max="9227" width="9" style="224" customWidth="1"/>
    <col min="9228" max="9472" width="9.140625" style="224"/>
    <col min="9473" max="9473" width="2.5703125" style="224" customWidth="1"/>
    <col min="9474" max="9474" width="5.140625" style="224" customWidth="1"/>
    <col min="9475" max="9475" width="43.7109375" style="224" customWidth="1"/>
    <col min="9476" max="9476" width="6.28515625" style="224" customWidth="1"/>
    <col min="9477" max="9477" width="7.5703125" style="224" customWidth="1"/>
    <col min="9478" max="9478" width="9.5703125" style="224" customWidth="1"/>
    <col min="9479" max="9479" width="13.28515625" style="224" customWidth="1"/>
    <col min="9480" max="9480" width="9.85546875" style="224" customWidth="1"/>
    <col min="9481" max="9481" width="2.5703125" style="224" bestFit="1" customWidth="1"/>
    <col min="9482" max="9482" width="9.140625" style="224"/>
    <col min="9483" max="9483" width="9" style="224" customWidth="1"/>
    <col min="9484" max="9728" width="9.140625" style="224"/>
    <col min="9729" max="9729" width="2.5703125" style="224" customWidth="1"/>
    <col min="9730" max="9730" width="5.140625" style="224" customWidth="1"/>
    <col min="9731" max="9731" width="43.7109375" style="224" customWidth="1"/>
    <col min="9732" max="9732" width="6.28515625" style="224" customWidth="1"/>
    <col min="9733" max="9733" width="7.5703125" style="224" customWidth="1"/>
    <col min="9734" max="9734" width="9.5703125" style="224" customWidth="1"/>
    <col min="9735" max="9735" width="13.28515625" style="224" customWidth="1"/>
    <col min="9736" max="9736" width="9.85546875" style="224" customWidth="1"/>
    <col min="9737" max="9737" width="2.5703125" style="224" bestFit="1" customWidth="1"/>
    <col min="9738" max="9738" width="9.140625" style="224"/>
    <col min="9739" max="9739" width="9" style="224" customWidth="1"/>
    <col min="9740" max="9984" width="9.140625" style="224"/>
    <col min="9985" max="9985" width="2.5703125" style="224" customWidth="1"/>
    <col min="9986" max="9986" width="5.140625" style="224" customWidth="1"/>
    <col min="9987" max="9987" width="43.7109375" style="224" customWidth="1"/>
    <col min="9988" max="9988" width="6.28515625" style="224" customWidth="1"/>
    <col min="9989" max="9989" width="7.5703125" style="224" customWidth="1"/>
    <col min="9990" max="9990" width="9.5703125" style="224" customWidth="1"/>
    <col min="9991" max="9991" width="13.28515625" style="224" customWidth="1"/>
    <col min="9992" max="9992" width="9.85546875" style="224" customWidth="1"/>
    <col min="9993" max="9993" width="2.5703125" style="224" bestFit="1" customWidth="1"/>
    <col min="9994" max="9994" width="9.140625" style="224"/>
    <col min="9995" max="9995" width="9" style="224" customWidth="1"/>
    <col min="9996" max="10240" width="9.140625" style="224"/>
    <col min="10241" max="10241" width="2.5703125" style="224" customWidth="1"/>
    <col min="10242" max="10242" width="5.140625" style="224" customWidth="1"/>
    <col min="10243" max="10243" width="43.7109375" style="224" customWidth="1"/>
    <col min="10244" max="10244" width="6.28515625" style="224" customWidth="1"/>
    <col min="10245" max="10245" width="7.5703125" style="224" customWidth="1"/>
    <col min="10246" max="10246" width="9.5703125" style="224" customWidth="1"/>
    <col min="10247" max="10247" width="13.28515625" style="224" customWidth="1"/>
    <col min="10248" max="10248" width="9.85546875" style="224" customWidth="1"/>
    <col min="10249" max="10249" width="2.5703125" style="224" bestFit="1" customWidth="1"/>
    <col min="10250" max="10250" width="9.140625" style="224"/>
    <col min="10251" max="10251" width="9" style="224" customWidth="1"/>
    <col min="10252" max="10496" width="9.140625" style="224"/>
    <col min="10497" max="10497" width="2.5703125" style="224" customWidth="1"/>
    <col min="10498" max="10498" width="5.140625" style="224" customWidth="1"/>
    <col min="10499" max="10499" width="43.7109375" style="224" customWidth="1"/>
    <col min="10500" max="10500" width="6.28515625" style="224" customWidth="1"/>
    <col min="10501" max="10501" width="7.5703125" style="224" customWidth="1"/>
    <col min="10502" max="10502" width="9.5703125" style="224" customWidth="1"/>
    <col min="10503" max="10503" width="13.28515625" style="224" customWidth="1"/>
    <col min="10504" max="10504" width="9.85546875" style="224" customWidth="1"/>
    <col min="10505" max="10505" width="2.5703125" style="224" bestFit="1" customWidth="1"/>
    <col min="10506" max="10506" width="9.140625" style="224"/>
    <col min="10507" max="10507" width="9" style="224" customWidth="1"/>
    <col min="10508" max="10752" width="9.140625" style="224"/>
    <col min="10753" max="10753" width="2.5703125" style="224" customWidth="1"/>
    <col min="10754" max="10754" width="5.140625" style="224" customWidth="1"/>
    <col min="10755" max="10755" width="43.7109375" style="224" customWidth="1"/>
    <col min="10756" max="10756" width="6.28515625" style="224" customWidth="1"/>
    <col min="10757" max="10757" width="7.5703125" style="224" customWidth="1"/>
    <col min="10758" max="10758" width="9.5703125" style="224" customWidth="1"/>
    <col min="10759" max="10759" width="13.28515625" style="224" customWidth="1"/>
    <col min="10760" max="10760" width="9.85546875" style="224" customWidth="1"/>
    <col min="10761" max="10761" width="2.5703125" style="224" bestFit="1" customWidth="1"/>
    <col min="10762" max="10762" width="9.140625" style="224"/>
    <col min="10763" max="10763" width="9" style="224" customWidth="1"/>
    <col min="10764" max="11008" width="9.140625" style="224"/>
    <col min="11009" max="11009" width="2.5703125" style="224" customWidth="1"/>
    <col min="11010" max="11010" width="5.140625" style="224" customWidth="1"/>
    <col min="11011" max="11011" width="43.7109375" style="224" customWidth="1"/>
    <col min="11012" max="11012" width="6.28515625" style="224" customWidth="1"/>
    <col min="11013" max="11013" width="7.5703125" style="224" customWidth="1"/>
    <col min="11014" max="11014" width="9.5703125" style="224" customWidth="1"/>
    <col min="11015" max="11015" width="13.28515625" style="224" customWidth="1"/>
    <col min="11016" max="11016" width="9.85546875" style="224" customWidth="1"/>
    <col min="11017" max="11017" width="2.5703125" style="224" bestFit="1" customWidth="1"/>
    <col min="11018" max="11018" width="9.140625" style="224"/>
    <col min="11019" max="11019" width="9" style="224" customWidth="1"/>
    <col min="11020" max="11264" width="9.140625" style="224"/>
    <col min="11265" max="11265" width="2.5703125" style="224" customWidth="1"/>
    <col min="11266" max="11266" width="5.140625" style="224" customWidth="1"/>
    <col min="11267" max="11267" width="43.7109375" style="224" customWidth="1"/>
    <col min="11268" max="11268" width="6.28515625" style="224" customWidth="1"/>
    <col min="11269" max="11269" width="7.5703125" style="224" customWidth="1"/>
    <col min="11270" max="11270" width="9.5703125" style="224" customWidth="1"/>
    <col min="11271" max="11271" width="13.28515625" style="224" customWidth="1"/>
    <col min="11272" max="11272" width="9.85546875" style="224" customWidth="1"/>
    <col min="11273" max="11273" width="2.5703125" style="224" bestFit="1" customWidth="1"/>
    <col min="11274" max="11274" width="9.140625" style="224"/>
    <col min="11275" max="11275" width="9" style="224" customWidth="1"/>
    <col min="11276" max="11520" width="9.140625" style="224"/>
    <col min="11521" max="11521" width="2.5703125" style="224" customWidth="1"/>
    <col min="11522" max="11522" width="5.140625" style="224" customWidth="1"/>
    <col min="11523" max="11523" width="43.7109375" style="224" customWidth="1"/>
    <col min="11524" max="11524" width="6.28515625" style="224" customWidth="1"/>
    <col min="11525" max="11525" width="7.5703125" style="224" customWidth="1"/>
    <col min="11526" max="11526" width="9.5703125" style="224" customWidth="1"/>
    <col min="11527" max="11527" width="13.28515625" style="224" customWidth="1"/>
    <col min="11528" max="11528" width="9.85546875" style="224" customWidth="1"/>
    <col min="11529" max="11529" width="2.5703125" style="224" bestFit="1" customWidth="1"/>
    <col min="11530" max="11530" width="9.140625" style="224"/>
    <col min="11531" max="11531" width="9" style="224" customWidth="1"/>
    <col min="11532" max="11776" width="9.140625" style="224"/>
    <col min="11777" max="11777" width="2.5703125" style="224" customWidth="1"/>
    <col min="11778" max="11778" width="5.140625" style="224" customWidth="1"/>
    <col min="11779" max="11779" width="43.7109375" style="224" customWidth="1"/>
    <col min="11780" max="11780" width="6.28515625" style="224" customWidth="1"/>
    <col min="11781" max="11781" width="7.5703125" style="224" customWidth="1"/>
    <col min="11782" max="11782" width="9.5703125" style="224" customWidth="1"/>
    <col min="11783" max="11783" width="13.28515625" style="224" customWidth="1"/>
    <col min="11784" max="11784" width="9.85546875" style="224" customWidth="1"/>
    <col min="11785" max="11785" width="2.5703125" style="224" bestFit="1" customWidth="1"/>
    <col min="11786" max="11786" width="9.140625" style="224"/>
    <col min="11787" max="11787" width="9" style="224" customWidth="1"/>
    <col min="11788" max="12032" width="9.140625" style="224"/>
    <col min="12033" max="12033" width="2.5703125" style="224" customWidth="1"/>
    <col min="12034" max="12034" width="5.140625" style="224" customWidth="1"/>
    <col min="12035" max="12035" width="43.7109375" style="224" customWidth="1"/>
    <col min="12036" max="12036" width="6.28515625" style="224" customWidth="1"/>
    <col min="12037" max="12037" width="7.5703125" style="224" customWidth="1"/>
    <col min="12038" max="12038" width="9.5703125" style="224" customWidth="1"/>
    <col min="12039" max="12039" width="13.28515625" style="224" customWidth="1"/>
    <col min="12040" max="12040" width="9.85546875" style="224" customWidth="1"/>
    <col min="12041" max="12041" width="2.5703125" style="224" bestFit="1" customWidth="1"/>
    <col min="12042" max="12042" width="9.140625" style="224"/>
    <col min="12043" max="12043" width="9" style="224" customWidth="1"/>
    <col min="12044" max="12288" width="9.140625" style="224"/>
    <col min="12289" max="12289" width="2.5703125" style="224" customWidth="1"/>
    <col min="12290" max="12290" width="5.140625" style="224" customWidth="1"/>
    <col min="12291" max="12291" width="43.7109375" style="224" customWidth="1"/>
    <col min="12292" max="12292" width="6.28515625" style="224" customWidth="1"/>
    <col min="12293" max="12293" width="7.5703125" style="224" customWidth="1"/>
    <col min="12294" max="12294" width="9.5703125" style="224" customWidth="1"/>
    <col min="12295" max="12295" width="13.28515625" style="224" customWidth="1"/>
    <col min="12296" max="12296" width="9.85546875" style="224" customWidth="1"/>
    <col min="12297" max="12297" width="2.5703125" style="224" bestFit="1" customWidth="1"/>
    <col min="12298" max="12298" width="9.140625" style="224"/>
    <col min="12299" max="12299" width="9" style="224" customWidth="1"/>
    <col min="12300" max="12544" width="9.140625" style="224"/>
    <col min="12545" max="12545" width="2.5703125" style="224" customWidth="1"/>
    <col min="12546" max="12546" width="5.140625" style="224" customWidth="1"/>
    <col min="12547" max="12547" width="43.7109375" style="224" customWidth="1"/>
    <col min="12548" max="12548" width="6.28515625" style="224" customWidth="1"/>
    <col min="12549" max="12549" width="7.5703125" style="224" customWidth="1"/>
    <col min="12550" max="12550" width="9.5703125" style="224" customWidth="1"/>
    <col min="12551" max="12551" width="13.28515625" style="224" customWidth="1"/>
    <col min="12552" max="12552" width="9.85546875" style="224" customWidth="1"/>
    <col min="12553" max="12553" width="2.5703125" style="224" bestFit="1" customWidth="1"/>
    <col min="12554" max="12554" width="9.140625" style="224"/>
    <col min="12555" max="12555" width="9" style="224" customWidth="1"/>
    <col min="12556" max="12800" width="9.140625" style="224"/>
    <col min="12801" max="12801" width="2.5703125" style="224" customWidth="1"/>
    <col min="12802" max="12802" width="5.140625" style="224" customWidth="1"/>
    <col min="12803" max="12803" width="43.7109375" style="224" customWidth="1"/>
    <col min="12804" max="12804" width="6.28515625" style="224" customWidth="1"/>
    <col min="12805" max="12805" width="7.5703125" style="224" customWidth="1"/>
    <col min="12806" max="12806" width="9.5703125" style="224" customWidth="1"/>
    <col min="12807" max="12807" width="13.28515625" style="224" customWidth="1"/>
    <col min="12808" max="12808" width="9.85546875" style="224" customWidth="1"/>
    <col min="12809" max="12809" width="2.5703125" style="224" bestFit="1" customWidth="1"/>
    <col min="12810" max="12810" width="9.140625" style="224"/>
    <col min="12811" max="12811" width="9" style="224" customWidth="1"/>
    <col min="12812" max="13056" width="9.140625" style="224"/>
    <col min="13057" max="13057" width="2.5703125" style="224" customWidth="1"/>
    <col min="13058" max="13058" width="5.140625" style="224" customWidth="1"/>
    <col min="13059" max="13059" width="43.7109375" style="224" customWidth="1"/>
    <col min="13060" max="13060" width="6.28515625" style="224" customWidth="1"/>
    <col min="13061" max="13061" width="7.5703125" style="224" customWidth="1"/>
    <col min="13062" max="13062" width="9.5703125" style="224" customWidth="1"/>
    <col min="13063" max="13063" width="13.28515625" style="224" customWidth="1"/>
    <col min="13064" max="13064" width="9.85546875" style="224" customWidth="1"/>
    <col min="13065" max="13065" width="2.5703125" style="224" bestFit="1" customWidth="1"/>
    <col min="13066" max="13066" width="9.140625" style="224"/>
    <col min="13067" max="13067" width="9" style="224" customWidth="1"/>
    <col min="13068" max="13312" width="9.140625" style="224"/>
    <col min="13313" max="13313" width="2.5703125" style="224" customWidth="1"/>
    <col min="13314" max="13314" width="5.140625" style="224" customWidth="1"/>
    <col min="13315" max="13315" width="43.7109375" style="224" customWidth="1"/>
    <col min="13316" max="13316" width="6.28515625" style="224" customWidth="1"/>
    <col min="13317" max="13317" width="7.5703125" style="224" customWidth="1"/>
    <col min="13318" max="13318" width="9.5703125" style="224" customWidth="1"/>
    <col min="13319" max="13319" width="13.28515625" style="224" customWidth="1"/>
    <col min="13320" max="13320" width="9.85546875" style="224" customWidth="1"/>
    <col min="13321" max="13321" width="2.5703125" style="224" bestFit="1" customWidth="1"/>
    <col min="13322" max="13322" width="9.140625" style="224"/>
    <col min="13323" max="13323" width="9" style="224" customWidth="1"/>
    <col min="13324" max="13568" width="9.140625" style="224"/>
    <col min="13569" max="13569" width="2.5703125" style="224" customWidth="1"/>
    <col min="13570" max="13570" width="5.140625" style="224" customWidth="1"/>
    <col min="13571" max="13571" width="43.7109375" style="224" customWidth="1"/>
    <col min="13572" max="13572" width="6.28515625" style="224" customWidth="1"/>
    <col min="13573" max="13573" width="7.5703125" style="224" customWidth="1"/>
    <col min="13574" max="13574" width="9.5703125" style="224" customWidth="1"/>
    <col min="13575" max="13575" width="13.28515625" style="224" customWidth="1"/>
    <col min="13576" max="13576" width="9.85546875" style="224" customWidth="1"/>
    <col min="13577" max="13577" width="2.5703125" style="224" bestFit="1" customWidth="1"/>
    <col min="13578" max="13578" width="9.140625" style="224"/>
    <col min="13579" max="13579" width="9" style="224" customWidth="1"/>
    <col min="13580" max="13824" width="9.140625" style="224"/>
    <col min="13825" max="13825" width="2.5703125" style="224" customWidth="1"/>
    <col min="13826" max="13826" width="5.140625" style="224" customWidth="1"/>
    <col min="13827" max="13827" width="43.7109375" style="224" customWidth="1"/>
    <col min="13828" max="13828" width="6.28515625" style="224" customWidth="1"/>
    <col min="13829" max="13829" width="7.5703125" style="224" customWidth="1"/>
    <col min="13830" max="13830" width="9.5703125" style="224" customWidth="1"/>
    <col min="13831" max="13831" width="13.28515625" style="224" customWidth="1"/>
    <col min="13832" max="13832" width="9.85546875" style="224" customWidth="1"/>
    <col min="13833" max="13833" width="2.5703125" style="224" bestFit="1" customWidth="1"/>
    <col min="13834" max="13834" width="9.140625" style="224"/>
    <col min="13835" max="13835" width="9" style="224" customWidth="1"/>
    <col min="13836" max="14080" width="9.140625" style="224"/>
    <col min="14081" max="14081" width="2.5703125" style="224" customWidth="1"/>
    <col min="14082" max="14082" width="5.140625" style="224" customWidth="1"/>
    <col min="14083" max="14083" width="43.7109375" style="224" customWidth="1"/>
    <col min="14084" max="14084" width="6.28515625" style="224" customWidth="1"/>
    <col min="14085" max="14085" width="7.5703125" style="224" customWidth="1"/>
    <col min="14086" max="14086" width="9.5703125" style="224" customWidth="1"/>
    <col min="14087" max="14087" width="13.28515625" style="224" customWidth="1"/>
    <col min="14088" max="14088" width="9.85546875" style="224" customWidth="1"/>
    <col min="14089" max="14089" width="2.5703125" style="224" bestFit="1" customWidth="1"/>
    <col min="14090" max="14090" width="9.140625" style="224"/>
    <col min="14091" max="14091" width="9" style="224" customWidth="1"/>
    <col min="14092" max="14336" width="9.140625" style="224"/>
    <col min="14337" max="14337" width="2.5703125" style="224" customWidth="1"/>
    <col min="14338" max="14338" width="5.140625" style="224" customWidth="1"/>
    <col min="14339" max="14339" width="43.7109375" style="224" customWidth="1"/>
    <col min="14340" max="14340" width="6.28515625" style="224" customWidth="1"/>
    <col min="14341" max="14341" width="7.5703125" style="224" customWidth="1"/>
    <col min="14342" max="14342" width="9.5703125" style="224" customWidth="1"/>
    <col min="14343" max="14343" width="13.28515625" style="224" customWidth="1"/>
    <col min="14344" max="14344" width="9.85546875" style="224" customWidth="1"/>
    <col min="14345" max="14345" width="2.5703125" style="224" bestFit="1" customWidth="1"/>
    <col min="14346" max="14346" width="9.140625" style="224"/>
    <col min="14347" max="14347" width="9" style="224" customWidth="1"/>
    <col min="14348" max="14592" width="9.140625" style="224"/>
    <col min="14593" max="14593" width="2.5703125" style="224" customWidth="1"/>
    <col min="14594" max="14594" width="5.140625" style="224" customWidth="1"/>
    <col min="14595" max="14595" width="43.7109375" style="224" customWidth="1"/>
    <col min="14596" max="14596" width="6.28515625" style="224" customWidth="1"/>
    <col min="14597" max="14597" width="7.5703125" style="224" customWidth="1"/>
    <col min="14598" max="14598" width="9.5703125" style="224" customWidth="1"/>
    <col min="14599" max="14599" width="13.28515625" style="224" customWidth="1"/>
    <col min="14600" max="14600" width="9.85546875" style="224" customWidth="1"/>
    <col min="14601" max="14601" width="2.5703125" style="224" bestFit="1" customWidth="1"/>
    <col min="14602" max="14602" width="9.140625" style="224"/>
    <col min="14603" max="14603" width="9" style="224" customWidth="1"/>
    <col min="14604" max="14848" width="9.140625" style="224"/>
    <col min="14849" max="14849" width="2.5703125" style="224" customWidth="1"/>
    <col min="14850" max="14850" width="5.140625" style="224" customWidth="1"/>
    <col min="14851" max="14851" width="43.7109375" style="224" customWidth="1"/>
    <col min="14852" max="14852" width="6.28515625" style="224" customWidth="1"/>
    <col min="14853" max="14853" width="7.5703125" style="224" customWidth="1"/>
    <col min="14854" max="14854" width="9.5703125" style="224" customWidth="1"/>
    <col min="14855" max="14855" width="13.28515625" style="224" customWidth="1"/>
    <col min="14856" max="14856" width="9.85546875" style="224" customWidth="1"/>
    <col min="14857" max="14857" width="2.5703125" style="224" bestFit="1" customWidth="1"/>
    <col min="14858" max="14858" width="9.140625" style="224"/>
    <col min="14859" max="14859" width="9" style="224" customWidth="1"/>
    <col min="14860" max="15104" width="9.140625" style="224"/>
    <col min="15105" max="15105" width="2.5703125" style="224" customWidth="1"/>
    <col min="15106" max="15106" width="5.140625" style="224" customWidth="1"/>
    <col min="15107" max="15107" width="43.7109375" style="224" customWidth="1"/>
    <col min="15108" max="15108" width="6.28515625" style="224" customWidth="1"/>
    <col min="15109" max="15109" width="7.5703125" style="224" customWidth="1"/>
    <col min="15110" max="15110" width="9.5703125" style="224" customWidth="1"/>
    <col min="15111" max="15111" width="13.28515625" style="224" customWidth="1"/>
    <col min="15112" max="15112" width="9.85546875" style="224" customWidth="1"/>
    <col min="15113" max="15113" width="2.5703125" style="224" bestFit="1" customWidth="1"/>
    <col min="15114" max="15114" width="9.140625" style="224"/>
    <col min="15115" max="15115" width="9" style="224" customWidth="1"/>
    <col min="15116" max="15360" width="9.140625" style="224"/>
    <col min="15361" max="15361" width="2.5703125" style="224" customWidth="1"/>
    <col min="15362" max="15362" width="5.140625" style="224" customWidth="1"/>
    <col min="15363" max="15363" width="43.7109375" style="224" customWidth="1"/>
    <col min="15364" max="15364" width="6.28515625" style="224" customWidth="1"/>
    <col min="15365" max="15365" width="7.5703125" style="224" customWidth="1"/>
    <col min="15366" max="15366" width="9.5703125" style="224" customWidth="1"/>
    <col min="15367" max="15367" width="13.28515625" style="224" customWidth="1"/>
    <col min="15368" max="15368" width="9.85546875" style="224" customWidth="1"/>
    <col min="15369" max="15369" width="2.5703125" style="224" bestFit="1" customWidth="1"/>
    <col min="15370" max="15370" width="9.140625" style="224"/>
    <col min="15371" max="15371" width="9" style="224" customWidth="1"/>
    <col min="15372" max="15616" width="9.140625" style="224"/>
    <col min="15617" max="15617" width="2.5703125" style="224" customWidth="1"/>
    <col min="15618" max="15618" width="5.140625" style="224" customWidth="1"/>
    <col min="15619" max="15619" width="43.7109375" style="224" customWidth="1"/>
    <col min="15620" max="15620" width="6.28515625" style="224" customWidth="1"/>
    <col min="15621" max="15621" width="7.5703125" style="224" customWidth="1"/>
    <col min="15622" max="15622" width="9.5703125" style="224" customWidth="1"/>
    <col min="15623" max="15623" width="13.28515625" style="224" customWidth="1"/>
    <col min="15624" max="15624" width="9.85546875" style="224" customWidth="1"/>
    <col min="15625" max="15625" width="2.5703125" style="224" bestFit="1" customWidth="1"/>
    <col min="15626" max="15626" width="9.140625" style="224"/>
    <col min="15627" max="15627" width="9" style="224" customWidth="1"/>
    <col min="15628" max="15872" width="9.140625" style="224"/>
    <col min="15873" max="15873" width="2.5703125" style="224" customWidth="1"/>
    <col min="15874" max="15874" width="5.140625" style="224" customWidth="1"/>
    <col min="15875" max="15875" width="43.7109375" style="224" customWidth="1"/>
    <col min="15876" max="15876" width="6.28515625" style="224" customWidth="1"/>
    <col min="15877" max="15877" width="7.5703125" style="224" customWidth="1"/>
    <col min="15878" max="15878" width="9.5703125" style="224" customWidth="1"/>
    <col min="15879" max="15879" width="13.28515625" style="224" customWidth="1"/>
    <col min="15880" max="15880" width="9.85546875" style="224" customWidth="1"/>
    <col min="15881" max="15881" width="2.5703125" style="224" bestFit="1" customWidth="1"/>
    <col min="15882" max="15882" width="9.140625" style="224"/>
    <col min="15883" max="15883" width="9" style="224" customWidth="1"/>
    <col min="15884" max="16128" width="9.140625" style="224"/>
    <col min="16129" max="16129" width="2.5703125" style="224" customWidth="1"/>
    <col min="16130" max="16130" width="5.140625" style="224" customWidth="1"/>
    <col min="16131" max="16131" width="43.7109375" style="224" customWidth="1"/>
    <col min="16132" max="16132" width="6.28515625" style="224" customWidth="1"/>
    <col min="16133" max="16133" width="7.5703125" style="224" customWidth="1"/>
    <col min="16134" max="16134" width="9.5703125" style="224" customWidth="1"/>
    <col min="16135" max="16135" width="13.28515625" style="224" customWidth="1"/>
    <col min="16136" max="16136" width="9.85546875" style="224" customWidth="1"/>
    <col min="16137" max="16137" width="2.5703125" style="224" bestFit="1" customWidth="1"/>
    <col min="16138" max="16138" width="9.140625" style="224"/>
    <col min="16139" max="16139" width="9" style="224" customWidth="1"/>
    <col min="16140" max="16384" width="9.140625" style="224"/>
  </cols>
  <sheetData>
    <row r="1" spans="1:11" s="213" customFormat="1" ht="18" x14ac:dyDescent="0.25">
      <c r="A1" s="753"/>
      <c r="B1" s="757"/>
      <c r="C1" s="753"/>
      <c r="E1" s="754"/>
      <c r="F1" s="1954"/>
      <c r="G1" s="755"/>
      <c r="H1" s="756"/>
    </row>
    <row r="2" spans="1:11" s="330" customFormat="1" ht="18" x14ac:dyDescent="0.25">
      <c r="A2" s="819" t="s">
        <v>1047</v>
      </c>
      <c r="B2" s="758"/>
      <c r="C2" s="759" t="s">
        <v>1088</v>
      </c>
      <c r="E2" s="760"/>
      <c r="F2" s="1955"/>
      <c r="G2" s="761"/>
      <c r="H2" s="762"/>
    </row>
    <row r="3" spans="1:11" x14ac:dyDescent="0.25">
      <c r="C3" s="766"/>
      <c r="D3" s="763"/>
      <c r="E3" s="763"/>
      <c r="F3" s="1957"/>
      <c r="G3" s="763"/>
      <c r="H3" s="820"/>
    </row>
    <row r="4" spans="1:11" ht="12.75" customHeight="1" x14ac:dyDescent="0.25">
      <c r="A4" s="763" t="s">
        <v>63</v>
      </c>
      <c r="B4" s="763"/>
      <c r="C4" s="766"/>
      <c r="D4" s="763"/>
      <c r="E4" s="763"/>
      <c r="F4" s="1957"/>
      <c r="G4" s="763"/>
      <c r="H4" s="767"/>
    </row>
    <row r="5" spans="1:11" s="230" customFormat="1" x14ac:dyDescent="0.25">
      <c r="A5" s="675" t="s">
        <v>26</v>
      </c>
      <c r="B5" s="675"/>
      <c r="C5" s="676" t="s">
        <v>27</v>
      </c>
      <c r="D5" s="675" t="s">
        <v>28</v>
      </c>
      <c r="E5" s="677" t="s">
        <v>29</v>
      </c>
      <c r="F5" s="1935" t="s">
        <v>30</v>
      </c>
      <c r="G5" s="678" t="s">
        <v>31</v>
      </c>
      <c r="H5" s="224"/>
      <c r="J5" s="231"/>
      <c r="K5" s="231"/>
    </row>
    <row r="6" spans="1:11" s="246" customFormat="1" ht="12" x14ac:dyDescent="0.25">
      <c r="A6" s="768"/>
      <c r="B6" s="769"/>
      <c r="C6" s="770"/>
      <c r="E6" s="771"/>
      <c r="F6" s="1957"/>
      <c r="G6" s="763"/>
    </row>
    <row r="7" spans="1:11" s="239" customFormat="1" ht="16.5" thickBot="1" x14ac:dyDescent="0.3">
      <c r="A7" s="772"/>
      <c r="B7" s="773" t="s">
        <v>20</v>
      </c>
      <c r="C7" s="774" t="s">
        <v>1011</v>
      </c>
      <c r="D7" s="235"/>
      <c r="E7" s="775"/>
      <c r="F7" s="1958"/>
      <c r="G7" s="776"/>
    </row>
    <row r="8" spans="1:11" x14ac:dyDescent="0.25">
      <c r="A8" s="777"/>
      <c r="B8" s="778"/>
      <c r="C8" s="692"/>
      <c r="E8" s="779"/>
      <c r="G8" s="780"/>
    </row>
    <row r="9" spans="1:11" x14ac:dyDescent="0.25">
      <c r="A9" s="777"/>
      <c r="B9" s="778"/>
      <c r="C9" s="692"/>
      <c r="E9" s="779"/>
      <c r="G9" s="780"/>
    </row>
    <row r="10" spans="1:11" s="246" customFormat="1" ht="96" x14ac:dyDescent="0.2">
      <c r="A10" s="781" t="s">
        <v>20</v>
      </c>
      <c r="B10" s="817">
        <f>COUNT(#REF!)+1</f>
        <v>1</v>
      </c>
      <c r="C10" s="821" t="s">
        <v>1071</v>
      </c>
      <c r="D10" s="695" t="s">
        <v>58</v>
      </c>
      <c r="E10" s="696">
        <v>1</v>
      </c>
      <c r="F10" s="1959"/>
      <c r="G10" s="783">
        <f>ROUND(E10*F10,2)</f>
        <v>0</v>
      </c>
      <c r="H10" s="248"/>
      <c r="I10" s="249"/>
      <c r="J10" s="250"/>
      <c r="K10" s="251"/>
    </row>
    <row r="11" spans="1:11" s="246" customFormat="1" x14ac:dyDescent="0.2">
      <c r="A11" s="781"/>
      <c r="B11" s="769"/>
      <c r="C11" s="708"/>
      <c r="D11" s="695"/>
      <c r="E11" s="696"/>
      <c r="F11" s="1959"/>
      <c r="G11" s="783"/>
      <c r="H11" s="248"/>
      <c r="I11" s="249"/>
      <c r="J11" s="250"/>
      <c r="K11" s="251"/>
    </row>
    <row r="12" spans="1:11" s="246" customFormat="1" ht="24.75" customHeight="1" x14ac:dyDescent="0.2">
      <c r="A12" s="781" t="s">
        <v>20</v>
      </c>
      <c r="B12" s="817">
        <f>COUNT($A$9:B10)+1</f>
        <v>2</v>
      </c>
      <c r="C12" s="821" t="s">
        <v>1072</v>
      </c>
      <c r="D12" s="695" t="s">
        <v>39</v>
      </c>
      <c r="E12" s="696">
        <v>1</v>
      </c>
      <c r="F12" s="1959"/>
      <c r="G12" s="783">
        <f>ROUND(E12*F12,2)</f>
        <v>0</v>
      </c>
      <c r="H12" s="248"/>
      <c r="I12" s="249"/>
      <c r="J12" s="250"/>
      <c r="K12" s="251"/>
    </row>
    <row r="13" spans="1:11" s="246" customFormat="1" ht="12.75" customHeight="1" x14ac:dyDescent="0.2">
      <c r="A13" s="781"/>
      <c r="B13" s="817"/>
      <c r="C13" s="821"/>
      <c r="D13" s="695"/>
      <c r="E13" s="696"/>
      <c r="F13" s="1959"/>
      <c r="G13" s="783"/>
      <c r="H13" s="248"/>
      <c r="I13" s="249"/>
      <c r="J13" s="250"/>
      <c r="K13" s="251"/>
    </row>
    <row r="14" spans="1:11" s="246" customFormat="1" ht="24.75" customHeight="1" x14ac:dyDescent="0.2">
      <c r="A14" s="781" t="s">
        <v>20</v>
      </c>
      <c r="B14" s="817">
        <f>COUNT($A$9:B12)+1</f>
        <v>3</v>
      </c>
      <c r="C14" s="821" t="s">
        <v>1073</v>
      </c>
      <c r="D14" s="695" t="s">
        <v>39</v>
      </c>
      <c r="E14" s="696">
        <v>1</v>
      </c>
      <c r="F14" s="1959"/>
      <c r="G14" s="783">
        <f>ROUND(E14*F14,2)</f>
        <v>0</v>
      </c>
      <c r="H14" s="248"/>
      <c r="I14" s="249"/>
      <c r="J14" s="250"/>
      <c r="K14" s="251"/>
    </row>
    <row r="15" spans="1:11" s="246" customFormat="1" ht="12.75" customHeight="1" x14ac:dyDescent="0.2">
      <c r="A15" s="781"/>
      <c r="B15" s="817"/>
      <c r="C15" s="821"/>
      <c r="D15" s="695"/>
      <c r="E15" s="696"/>
      <c r="F15" s="1959"/>
      <c r="G15" s="783"/>
      <c r="H15" s="248"/>
      <c r="I15" s="249"/>
      <c r="J15" s="250"/>
      <c r="K15" s="251"/>
    </row>
    <row r="16" spans="1:11" s="246" customFormat="1" ht="24.75" customHeight="1" x14ac:dyDescent="0.2">
      <c r="A16" s="781" t="s">
        <v>20</v>
      </c>
      <c r="B16" s="817">
        <f>COUNT($A$9:B14)+1</f>
        <v>4</v>
      </c>
      <c r="C16" s="821" t="s">
        <v>1074</v>
      </c>
      <c r="D16" s="695" t="s">
        <v>39</v>
      </c>
      <c r="E16" s="696">
        <v>2</v>
      </c>
      <c r="F16" s="1959"/>
      <c r="G16" s="783">
        <f>ROUND(E16*F16,2)</f>
        <v>0</v>
      </c>
      <c r="H16" s="248"/>
      <c r="I16" s="249"/>
      <c r="J16" s="250"/>
      <c r="K16" s="251"/>
    </row>
    <row r="17" spans="1:11" s="246" customFormat="1" x14ac:dyDescent="0.2">
      <c r="A17" s="781"/>
      <c r="B17" s="769"/>
      <c r="C17" s="708"/>
      <c r="D17" s="695"/>
      <c r="E17" s="696"/>
      <c r="F17" s="1959"/>
      <c r="G17" s="783"/>
      <c r="H17" s="248"/>
      <c r="I17" s="249"/>
      <c r="J17" s="250"/>
      <c r="K17" s="251"/>
    </row>
    <row r="18" spans="1:11" s="246" customFormat="1" ht="48" x14ac:dyDescent="0.2">
      <c r="A18" s="781" t="s">
        <v>20</v>
      </c>
      <c r="B18" s="817">
        <f>COUNT($A$9:B16)+1</f>
        <v>5</v>
      </c>
      <c r="C18" s="821" t="s">
        <v>1075</v>
      </c>
      <c r="D18" s="695" t="s">
        <v>39</v>
      </c>
      <c r="E18" s="696">
        <v>1</v>
      </c>
      <c r="F18" s="1959"/>
      <c r="G18" s="783">
        <f>ROUND(E18*F18,2)</f>
        <v>0</v>
      </c>
      <c r="H18" s="248"/>
      <c r="I18" s="249"/>
      <c r="J18" s="250"/>
      <c r="K18" s="251"/>
    </row>
    <row r="19" spans="1:11" s="246" customFormat="1" x14ac:dyDescent="0.2">
      <c r="A19" s="781"/>
      <c r="B19" s="817"/>
      <c r="C19" s="821"/>
      <c r="D19" s="695"/>
      <c r="E19" s="696"/>
      <c r="F19" s="1959"/>
      <c r="G19" s="783"/>
      <c r="H19" s="248"/>
      <c r="I19" s="249"/>
      <c r="J19" s="250"/>
      <c r="K19" s="251"/>
    </row>
    <row r="20" spans="1:11" s="246" customFormat="1" ht="72" x14ac:dyDescent="0.2">
      <c r="A20" s="781" t="s">
        <v>20</v>
      </c>
      <c r="B20" s="817">
        <f>COUNT($A$9:B18)+1</f>
        <v>6</v>
      </c>
      <c r="C20" s="821" t="s">
        <v>1076</v>
      </c>
      <c r="D20" s="695" t="s">
        <v>39</v>
      </c>
      <c r="E20" s="696">
        <v>1</v>
      </c>
      <c r="F20" s="1959"/>
      <c r="G20" s="783">
        <f>ROUND(E20*F20,2)</f>
        <v>0</v>
      </c>
      <c r="H20" s="248"/>
      <c r="I20" s="249"/>
      <c r="J20" s="250"/>
      <c r="K20" s="251"/>
    </row>
    <row r="21" spans="1:11" s="246" customFormat="1" x14ac:dyDescent="0.2">
      <c r="A21" s="781"/>
      <c r="B21" s="817"/>
      <c r="C21" s="821"/>
      <c r="D21" s="695"/>
      <c r="E21" s="696"/>
      <c r="F21" s="1959"/>
      <c r="G21" s="783"/>
      <c r="H21" s="248"/>
      <c r="I21" s="249"/>
      <c r="J21" s="250"/>
      <c r="K21" s="251"/>
    </row>
    <row r="22" spans="1:11" s="246" customFormat="1" x14ac:dyDescent="0.2">
      <c r="A22" s="781" t="s">
        <v>20</v>
      </c>
      <c r="B22" s="817">
        <f>COUNT($A$9:B20)+1</f>
        <v>7</v>
      </c>
      <c r="C22" s="821" t="s">
        <v>1077</v>
      </c>
      <c r="D22" s="695" t="s">
        <v>39</v>
      </c>
      <c r="E22" s="696">
        <v>2</v>
      </c>
      <c r="F22" s="1959"/>
      <c r="G22" s="783">
        <f>ROUND(E22*F22,2)</f>
        <v>0</v>
      </c>
      <c r="H22" s="248"/>
      <c r="I22" s="249"/>
      <c r="J22" s="250"/>
      <c r="K22" s="251"/>
    </row>
    <row r="23" spans="1:11" s="246" customFormat="1" x14ac:dyDescent="0.2">
      <c r="A23" s="781"/>
      <c r="B23" s="769"/>
      <c r="C23" s="708"/>
      <c r="D23" s="695"/>
      <c r="E23" s="696"/>
      <c r="F23" s="1959"/>
      <c r="G23" s="783"/>
      <c r="H23" s="248"/>
      <c r="I23" s="249"/>
      <c r="J23" s="250"/>
      <c r="K23" s="251"/>
    </row>
    <row r="24" spans="1:11" s="246" customFormat="1" ht="36" x14ac:dyDescent="0.2">
      <c r="A24" s="781" t="s">
        <v>20</v>
      </c>
      <c r="B24" s="817">
        <f>COUNT($A$9:B18)+1</f>
        <v>6</v>
      </c>
      <c r="C24" s="821" t="s">
        <v>1078</v>
      </c>
      <c r="D24" s="695" t="s">
        <v>39</v>
      </c>
      <c r="E24" s="696">
        <v>3</v>
      </c>
      <c r="F24" s="1959"/>
      <c r="G24" s="783">
        <f>ROUND(E24*F24,2)</f>
        <v>0</v>
      </c>
      <c r="H24" s="248"/>
      <c r="I24" s="249"/>
      <c r="J24" s="250"/>
      <c r="K24" s="251"/>
    </row>
    <row r="25" spans="1:11" s="246" customFormat="1" x14ac:dyDescent="0.2">
      <c r="A25" s="781"/>
      <c r="B25" s="769"/>
      <c r="C25" s="708"/>
      <c r="D25" s="695"/>
      <c r="E25" s="696"/>
      <c r="F25" s="1959"/>
      <c r="G25" s="783"/>
      <c r="H25" s="248"/>
      <c r="I25" s="249"/>
      <c r="J25" s="250"/>
      <c r="K25" s="251"/>
    </row>
    <row r="26" spans="1:11" s="246" customFormat="1" ht="48" x14ac:dyDescent="0.2">
      <c r="A26" s="781" t="s">
        <v>20</v>
      </c>
      <c r="B26" s="817">
        <f>COUNT($A$9:B25)+1</f>
        <v>9</v>
      </c>
      <c r="C26" s="821" t="s">
        <v>1079</v>
      </c>
      <c r="D26" s="695" t="s">
        <v>39</v>
      </c>
      <c r="E26" s="696">
        <v>4</v>
      </c>
      <c r="F26" s="1959"/>
      <c r="G26" s="783">
        <f>ROUND(E26*F26,2)</f>
        <v>0</v>
      </c>
      <c r="H26" s="248"/>
      <c r="I26" s="249"/>
      <c r="J26" s="250"/>
      <c r="K26" s="251"/>
    </row>
    <row r="27" spans="1:11" s="246" customFormat="1" x14ac:dyDescent="0.2">
      <c r="A27" s="781"/>
      <c r="B27" s="769"/>
      <c r="C27" s="708"/>
      <c r="D27" s="695"/>
      <c r="E27" s="696"/>
      <c r="F27" s="1959"/>
      <c r="G27" s="783"/>
      <c r="H27" s="248"/>
      <c r="I27" s="249"/>
      <c r="J27" s="250"/>
      <c r="K27" s="251"/>
    </row>
    <row r="28" spans="1:11" s="246" customFormat="1" ht="24" x14ac:dyDescent="0.2">
      <c r="A28" s="781" t="s">
        <v>20</v>
      </c>
      <c r="B28" s="817">
        <f>COUNT($A$9:B26)+1</f>
        <v>10</v>
      </c>
      <c r="C28" s="821" t="s">
        <v>1080</v>
      </c>
      <c r="D28" s="695" t="s">
        <v>39</v>
      </c>
      <c r="E28" s="696">
        <v>4</v>
      </c>
      <c r="F28" s="1959"/>
      <c r="G28" s="783">
        <f>ROUND(E28*F28,2)</f>
        <v>0</v>
      </c>
      <c r="H28" s="248"/>
      <c r="I28" s="249"/>
      <c r="J28" s="250"/>
      <c r="K28" s="251"/>
    </row>
    <row r="29" spans="1:11" s="246" customFormat="1" x14ac:dyDescent="0.2">
      <c r="A29" s="781"/>
      <c r="B29" s="769"/>
      <c r="C29" s="708"/>
      <c r="D29" s="695"/>
      <c r="E29" s="696"/>
      <c r="F29" s="1959"/>
      <c r="G29" s="783"/>
      <c r="H29" s="248"/>
      <c r="I29" s="249"/>
      <c r="J29" s="250"/>
      <c r="K29" s="251"/>
    </row>
    <row r="30" spans="1:11" s="246" customFormat="1" ht="48" x14ac:dyDescent="0.2">
      <c r="A30" s="781" t="s">
        <v>20</v>
      </c>
      <c r="B30" s="817">
        <f>COUNT($A$9:B28)+1</f>
        <v>11</v>
      </c>
      <c r="C30" s="821" t="s">
        <v>1081</v>
      </c>
      <c r="D30" s="695" t="s">
        <v>39</v>
      </c>
      <c r="E30" s="696">
        <v>1</v>
      </c>
      <c r="F30" s="1959"/>
      <c r="G30" s="783">
        <f>ROUND(E30*F30,2)</f>
        <v>0</v>
      </c>
      <c r="H30" s="248"/>
      <c r="I30" s="249"/>
      <c r="J30" s="250"/>
      <c r="K30" s="251"/>
    </row>
    <row r="31" spans="1:11" s="246" customFormat="1" x14ac:dyDescent="0.2">
      <c r="A31" s="781"/>
      <c r="B31" s="817"/>
      <c r="C31" s="821"/>
      <c r="D31" s="695"/>
      <c r="E31" s="696"/>
      <c r="F31" s="1959"/>
      <c r="G31" s="783"/>
      <c r="H31" s="248"/>
      <c r="I31" s="249"/>
      <c r="J31" s="250"/>
      <c r="K31" s="251"/>
    </row>
    <row r="32" spans="1:11" s="246" customFormat="1" ht="24" x14ac:dyDescent="0.2">
      <c r="A32" s="781" t="s">
        <v>20</v>
      </c>
      <c r="B32" s="817">
        <f>COUNT($A$9:B30)+1</f>
        <v>12</v>
      </c>
      <c r="C32" s="821" t="s">
        <v>1082</v>
      </c>
      <c r="D32" s="695" t="s">
        <v>39</v>
      </c>
      <c r="E32" s="696">
        <v>3</v>
      </c>
      <c r="F32" s="1959"/>
      <c r="G32" s="783">
        <f>ROUND(E32*F32,2)</f>
        <v>0</v>
      </c>
      <c r="H32" s="248"/>
      <c r="I32" s="249"/>
      <c r="J32" s="250"/>
      <c r="K32" s="251"/>
    </row>
    <row r="33" spans="1:11" s="246" customFormat="1" x14ac:dyDescent="0.2">
      <c r="A33" s="781"/>
      <c r="B33" s="817"/>
      <c r="C33" s="821"/>
      <c r="D33" s="695"/>
      <c r="E33" s="696"/>
      <c r="F33" s="1959"/>
      <c r="G33" s="783"/>
      <c r="H33" s="248"/>
      <c r="I33" s="249"/>
      <c r="J33" s="250"/>
      <c r="K33" s="251"/>
    </row>
    <row r="34" spans="1:11" s="246" customFormat="1" x14ac:dyDescent="0.2">
      <c r="A34" s="781" t="s">
        <v>20</v>
      </c>
      <c r="B34" s="817">
        <f>COUNT($A$9:B32)+1</f>
        <v>13</v>
      </c>
      <c r="C34" s="821" t="s">
        <v>1083</v>
      </c>
      <c r="D34" s="695" t="s">
        <v>65</v>
      </c>
      <c r="E34" s="696">
        <v>80</v>
      </c>
      <c r="F34" s="1959"/>
      <c r="G34" s="783">
        <f>ROUND(E34*F34,2)</f>
        <v>0</v>
      </c>
      <c r="H34" s="822"/>
      <c r="I34" s="249"/>
      <c r="J34" s="250"/>
      <c r="K34" s="251"/>
    </row>
    <row r="35" spans="1:11" s="246" customFormat="1" x14ac:dyDescent="0.2">
      <c r="A35" s="781"/>
      <c r="B35" s="817"/>
      <c r="C35" s="821"/>
      <c r="D35" s="695"/>
      <c r="E35" s="696"/>
      <c r="F35" s="1959"/>
      <c r="G35" s="783"/>
      <c r="H35" s="248"/>
      <c r="I35" s="249"/>
      <c r="J35" s="250"/>
      <c r="K35" s="251"/>
    </row>
    <row r="36" spans="1:11" s="246" customFormat="1" ht="24" x14ac:dyDescent="0.2">
      <c r="A36" s="781" t="s">
        <v>20</v>
      </c>
      <c r="B36" s="817">
        <f>COUNT($A$9:B30)+1</f>
        <v>12</v>
      </c>
      <c r="C36" s="782" t="s">
        <v>1084</v>
      </c>
      <c r="D36" s="695" t="s">
        <v>65</v>
      </c>
      <c r="E36" s="696">
        <v>150</v>
      </c>
      <c r="F36" s="1959"/>
      <c r="G36" s="783">
        <f>ROUND(E36*F36,2)</f>
        <v>0</v>
      </c>
      <c r="H36" s="248"/>
      <c r="I36" s="249"/>
      <c r="J36" s="250"/>
      <c r="K36" s="224"/>
    </row>
    <row r="37" spans="1:11" s="246" customFormat="1" x14ac:dyDescent="0.2">
      <c r="A37" s="781"/>
      <c r="B37" s="769"/>
      <c r="C37" s="708"/>
      <c r="D37" s="695"/>
      <c r="E37" s="696"/>
      <c r="F37" s="1959"/>
      <c r="G37" s="783"/>
      <c r="H37" s="248"/>
      <c r="I37" s="249"/>
      <c r="J37" s="250"/>
      <c r="K37" s="251"/>
    </row>
    <row r="38" spans="1:11" s="246" customFormat="1" ht="12" customHeight="1" x14ac:dyDescent="0.2">
      <c r="A38" s="781" t="s">
        <v>20</v>
      </c>
      <c r="B38" s="817">
        <f>COUNT($A$9:B36)+1</f>
        <v>15</v>
      </c>
      <c r="C38" s="782" t="s">
        <v>1085</v>
      </c>
      <c r="D38" s="695" t="s">
        <v>65</v>
      </c>
      <c r="E38" s="696">
        <v>30</v>
      </c>
      <c r="F38" s="1959"/>
      <c r="G38" s="783">
        <f>ROUND(E38*F38,2)</f>
        <v>0</v>
      </c>
      <c r="H38" s="248"/>
      <c r="I38" s="249"/>
      <c r="J38" s="250"/>
      <c r="K38" s="224"/>
    </row>
    <row r="39" spans="1:11" s="246" customFormat="1" x14ac:dyDescent="0.2">
      <c r="A39" s="781"/>
      <c r="B39" s="769"/>
      <c r="C39" s="708"/>
      <c r="D39" s="695"/>
      <c r="E39" s="696"/>
      <c r="F39" s="1959"/>
      <c r="G39" s="783"/>
      <c r="H39" s="248"/>
      <c r="I39" s="249"/>
      <c r="J39" s="250"/>
      <c r="K39" s="251"/>
    </row>
    <row r="40" spans="1:11" s="246" customFormat="1" x14ac:dyDescent="0.2">
      <c r="A40" s="781" t="s">
        <v>20</v>
      </c>
      <c r="B40" s="817">
        <f>COUNT($A$9:B38)+1</f>
        <v>16</v>
      </c>
      <c r="C40" s="782" t="s">
        <v>1086</v>
      </c>
      <c r="D40" s="695" t="s">
        <v>58</v>
      </c>
      <c r="E40" s="696">
        <v>1</v>
      </c>
      <c r="F40" s="1959"/>
      <c r="G40" s="783">
        <f>ROUND(E40*F40,2)</f>
        <v>0</v>
      </c>
      <c r="H40" s="248"/>
      <c r="I40" s="249"/>
      <c r="J40" s="250"/>
      <c r="K40" s="224"/>
    </row>
    <row r="41" spans="1:11" s="246" customFormat="1" x14ac:dyDescent="0.2">
      <c r="A41" s="781"/>
      <c r="B41" s="769"/>
      <c r="C41" s="708"/>
      <c r="D41" s="695"/>
      <c r="E41" s="696"/>
      <c r="F41" s="1959"/>
      <c r="G41" s="783"/>
      <c r="H41" s="248"/>
      <c r="I41" s="249"/>
      <c r="J41" s="250"/>
      <c r="K41" s="251"/>
    </row>
    <row r="42" spans="1:11" s="246" customFormat="1" x14ac:dyDescent="0.2">
      <c r="A42" s="781" t="s">
        <v>20</v>
      </c>
      <c r="B42" s="817">
        <f>COUNT($A$9:B40)+1</f>
        <v>17</v>
      </c>
      <c r="C42" s="782" t="s">
        <v>1087</v>
      </c>
      <c r="D42" s="695" t="s">
        <v>58</v>
      </c>
      <c r="E42" s="696">
        <v>1</v>
      </c>
      <c r="F42" s="1959"/>
      <c r="G42" s="783">
        <f>ROUND(E42*F42,2)</f>
        <v>0</v>
      </c>
      <c r="H42" s="248"/>
      <c r="I42" s="249"/>
      <c r="J42" s="250"/>
      <c r="K42" s="224"/>
    </row>
    <row r="43" spans="1:11" s="246" customFormat="1" x14ac:dyDescent="0.2">
      <c r="A43" s="781"/>
      <c r="B43" s="769"/>
      <c r="C43" s="708"/>
      <c r="D43" s="695"/>
      <c r="E43" s="696"/>
      <c r="F43" s="1959"/>
      <c r="G43" s="783"/>
      <c r="H43" s="248"/>
      <c r="I43" s="249"/>
      <c r="J43" s="250"/>
      <c r="K43" s="251"/>
    </row>
    <row r="44" spans="1:11" s="246" customFormat="1" x14ac:dyDescent="0.2">
      <c r="A44" s="781"/>
      <c r="B44" s="769"/>
      <c r="C44" s="708"/>
      <c r="D44" s="695"/>
      <c r="E44" s="696"/>
      <c r="F44" s="1959"/>
      <c r="G44" s="783"/>
      <c r="H44" s="248"/>
      <c r="I44" s="249"/>
      <c r="J44" s="250"/>
      <c r="K44" s="251"/>
    </row>
    <row r="45" spans="1:11" s="246" customFormat="1" x14ac:dyDescent="0.2">
      <c r="A45" s="781"/>
      <c r="B45" s="769"/>
      <c r="C45" s="708"/>
      <c r="D45" s="695"/>
      <c r="E45" s="696"/>
      <c r="F45" s="1959"/>
      <c r="G45" s="783"/>
      <c r="H45" s="248"/>
      <c r="I45" s="249"/>
      <c r="J45" s="250"/>
      <c r="K45" s="251"/>
    </row>
    <row r="46" spans="1:11" s="369" customFormat="1" ht="13.5" thickBot="1" x14ac:dyDescent="0.3">
      <c r="A46" s="823" t="s">
        <v>20</v>
      </c>
      <c r="B46" s="791"/>
      <c r="C46" s="824" t="str">
        <f>C7</f>
        <v>ELEKTRO DEL</v>
      </c>
      <c r="D46" s="366"/>
      <c r="E46" s="366"/>
      <c r="F46" s="1961"/>
      <c r="G46" s="792">
        <f>ROUND(SUM(G10:G42),2)</f>
        <v>0</v>
      </c>
    </row>
    <row r="47" spans="1:11" s="633" customFormat="1" ht="15" x14ac:dyDescent="0.25">
      <c r="C47" s="629"/>
      <c r="E47" s="631"/>
      <c r="F47" s="1968"/>
      <c r="G47" s="825"/>
    </row>
    <row r="48" spans="1:11" s="246" customFormat="1" ht="12" x14ac:dyDescent="0.25">
      <c r="C48" s="770"/>
      <c r="E48" s="771"/>
      <c r="F48" s="1957"/>
      <c r="G48" s="831"/>
    </row>
    <row r="49" spans="1:11" s="720" customFormat="1" ht="19.5" thickBot="1" x14ac:dyDescent="0.3">
      <c r="A49" s="793" t="str">
        <f>CONCATENATE("DELNA REKAPITULACIJA - ",A2,C2)</f>
        <v>DELNA REKAPITULACIJA - 4.3PROTIVLOMNO VAROVANJE (VLOM)</v>
      </c>
      <c r="B49" s="794"/>
      <c r="C49" s="795"/>
      <c r="D49" s="796"/>
      <c r="E49" s="797"/>
      <c r="F49" s="1962"/>
      <c r="G49" s="1369"/>
    </row>
    <row r="50" spans="1:11" s="616" customFormat="1" ht="14.25" customHeight="1" x14ac:dyDescent="0.25">
      <c r="A50" s="799"/>
      <c r="B50" s="799"/>
      <c r="C50" s="800"/>
      <c r="D50" s="799"/>
      <c r="E50" s="826"/>
      <c r="F50" s="1963"/>
      <c r="G50" s="1370"/>
    </row>
    <row r="51" spans="1:11" s="616" customFormat="1" ht="12.75" customHeight="1" x14ac:dyDescent="0.25">
      <c r="A51" s="763" t="s">
        <v>1044</v>
      </c>
      <c r="B51" s="803"/>
      <c r="C51" s="804"/>
      <c r="D51" s="803"/>
      <c r="E51" s="803"/>
      <c r="F51" s="1964"/>
      <c r="G51" s="787"/>
    </row>
    <row r="52" spans="1:11" s="369" customFormat="1" x14ac:dyDescent="0.25">
      <c r="A52" s="725"/>
      <c r="B52" s="725"/>
      <c r="C52" s="727"/>
      <c r="D52" s="727"/>
      <c r="E52" s="728"/>
      <c r="F52" s="1948"/>
      <c r="G52" s="1367"/>
      <c r="H52" s="616"/>
      <c r="J52" s="628"/>
      <c r="K52" s="628"/>
    </row>
    <row r="53" spans="1:11" s="616" customFormat="1" x14ac:dyDescent="0.25">
      <c r="A53" s="805"/>
      <c r="B53" s="805"/>
      <c r="C53" s="806"/>
      <c r="E53" s="807"/>
      <c r="F53" s="1965"/>
      <c r="G53" s="1371"/>
    </row>
    <row r="54" spans="1:11" s="375" customFormat="1" x14ac:dyDescent="0.25">
      <c r="A54" s="809"/>
      <c r="B54" s="809"/>
      <c r="C54" s="371"/>
      <c r="E54" s="744"/>
      <c r="F54" s="1966"/>
      <c r="G54" s="810"/>
    </row>
    <row r="55" spans="1:11" s="375" customFormat="1" x14ac:dyDescent="0.25">
      <c r="A55" s="781" t="s">
        <v>20</v>
      </c>
      <c r="B55" s="809"/>
      <c r="C55" s="371" t="str">
        <f>C7</f>
        <v>ELEKTRO DEL</v>
      </c>
      <c r="E55" s="744"/>
      <c r="F55" s="1966"/>
      <c r="G55" s="810">
        <f>ROUND(G46,2)</f>
        <v>0</v>
      </c>
    </row>
    <row r="56" spans="1:11" s="375" customFormat="1" ht="13.5" thickBot="1" x14ac:dyDescent="0.3">
      <c r="A56" s="811"/>
      <c r="B56" s="811"/>
      <c r="C56" s="732"/>
      <c r="D56" s="812"/>
      <c r="E56" s="734"/>
      <c r="F56" s="1967"/>
      <c r="G56" s="813"/>
    </row>
    <row r="57" spans="1:11" s="616" customFormat="1" ht="13.5" thickTop="1" x14ac:dyDescent="0.25">
      <c r="A57" s="736"/>
      <c r="B57" s="736"/>
      <c r="C57" s="737"/>
      <c r="D57" s="738"/>
      <c r="E57" s="739"/>
      <c r="F57" s="1951"/>
      <c r="G57" s="740"/>
      <c r="K57" s="814"/>
    </row>
    <row r="58" spans="1:11" s="375" customFormat="1" x14ac:dyDescent="0.25">
      <c r="A58" s="815"/>
      <c r="B58" s="815"/>
      <c r="C58" s="743" t="str">
        <f>CONCATENATE(A2," ",C2," - SKUPAJ:")</f>
        <v>4.3 PROTIVLOMNO VAROVANJE (VLOM) - SKUPAJ:</v>
      </c>
      <c r="D58" s="744"/>
      <c r="E58" s="744"/>
      <c r="F58" s="1966"/>
      <c r="G58" s="810">
        <f>ROUND(G55,2)</f>
        <v>0</v>
      </c>
    </row>
    <row r="59" spans="1:11" s="616" customFormat="1" x14ac:dyDescent="0.25">
      <c r="C59" s="806"/>
      <c r="E59" s="816"/>
      <c r="F59" s="1965"/>
      <c r="G59" s="803"/>
    </row>
    <row r="60" spans="1:11" s="246" customFormat="1" ht="12" x14ac:dyDescent="0.25">
      <c r="C60" s="817"/>
      <c r="E60" s="771"/>
      <c r="F60" s="1957"/>
      <c r="G60" s="763"/>
    </row>
    <row r="61" spans="1:11" s="246" customFormat="1" ht="12" x14ac:dyDescent="0.25">
      <c r="C61" s="817"/>
      <c r="E61" s="771"/>
      <c r="F61" s="1957"/>
      <c r="G61" s="763"/>
    </row>
    <row r="62" spans="1:11" s="246" customFormat="1" ht="12" x14ac:dyDescent="0.25">
      <c r="C62" s="817"/>
      <c r="E62" s="771"/>
      <c r="F62" s="1957"/>
      <c r="G62" s="763"/>
    </row>
    <row r="63" spans="1:11" s="246" customFormat="1" ht="12" x14ac:dyDescent="0.25">
      <c r="C63" s="817"/>
      <c r="E63" s="771"/>
      <c r="F63" s="1957"/>
      <c r="G63" s="763"/>
    </row>
    <row r="64" spans="1:11" s="246" customFormat="1" ht="12" x14ac:dyDescent="0.25">
      <c r="C64" s="817"/>
      <c r="E64" s="771"/>
      <c r="F64" s="1957"/>
      <c r="G64" s="763"/>
    </row>
    <row r="65" spans="3:7" s="246" customFormat="1" ht="12" x14ac:dyDescent="0.25">
      <c r="C65" s="817"/>
      <c r="E65" s="771"/>
      <c r="F65" s="1957"/>
      <c r="G65" s="763"/>
    </row>
    <row r="66" spans="3:7" s="246" customFormat="1" ht="12" x14ac:dyDescent="0.25">
      <c r="C66" s="817"/>
      <c r="E66" s="771"/>
      <c r="F66" s="1957"/>
      <c r="G66" s="763"/>
    </row>
    <row r="67" spans="3:7" s="246" customFormat="1" ht="12" x14ac:dyDescent="0.25">
      <c r="C67" s="817"/>
      <c r="E67" s="771"/>
      <c r="F67" s="1957"/>
      <c r="G67" s="763"/>
    </row>
    <row r="68" spans="3:7" s="246" customFormat="1" ht="12" x14ac:dyDescent="0.25">
      <c r="C68" s="817"/>
      <c r="E68" s="771"/>
      <c r="F68" s="1957"/>
      <c r="G68" s="763"/>
    </row>
    <row r="69" spans="3:7" s="246" customFormat="1" ht="12" x14ac:dyDescent="0.25">
      <c r="C69" s="817"/>
      <c r="E69" s="771"/>
      <c r="F69" s="1957"/>
      <c r="G69" s="763"/>
    </row>
    <row r="70" spans="3:7" s="246" customFormat="1" ht="12" x14ac:dyDescent="0.25">
      <c r="C70" s="817"/>
      <c r="E70" s="771"/>
      <c r="F70" s="1957"/>
      <c r="G70" s="763"/>
    </row>
    <row r="71" spans="3:7" s="246" customFormat="1" ht="12" x14ac:dyDescent="0.25">
      <c r="C71" s="817"/>
      <c r="E71" s="771"/>
      <c r="F71" s="1957"/>
      <c r="G71" s="763"/>
    </row>
    <row r="72" spans="3:7" s="246" customFormat="1" ht="12" x14ac:dyDescent="0.25">
      <c r="C72" s="817"/>
      <c r="E72" s="771"/>
      <c r="F72" s="1957"/>
      <c r="G72" s="763"/>
    </row>
    <row r="73" spans="3:7" s="246" customFormat="1" ht="12" x14ac:dyDescent="0.25">
      <c r="C73" s="817"/>
      <c r="E73" s="771"/>
      <c r="F73" s="1957"/>
      <c r="G73" s="763"/>
    </row>
    <row r="74" spans="3:7" s="246" customFormat="1" ht="12" x14ac:dyDescent="0.25">
      <c r="C74" s="817"/>
      <c r="E74" s="771"/>
      <c r="F74" s="1957"/>
      <c r="G74" s="763"/>
    </row>
    <row r="75" spans="3:7" s="246" customFormat="1" ht="12" x14ac:dyDescent="0.25">
      <c r="C75" s="817"/>
      <c r="E75" s="771"/>
      <c r="F75" s="1957"/>
      <c r="G75" s="763"/>
    </row>
    <row r="76" spans="3:7" s="246" customFormat="1" ht="12" x14ac:dyDescent="0.25">
      <c r="C76" s="817"/>
      <c r="E76" s="771"/>
      <c r="F76" s="1957"/>
      <c r="G76" s="763"/>
    </row>
    <row r="77" spans="3:7" s="246" customFormat="1" ht="12" x14ac:dyDescent="0.25">
      <c r="C77" s="817"/>
      <c r="E77" s="771"/>
      <c r="F77" s="1957"/>
      <c r="G77" s="763"/>
    </row>
    <row r="78" spans="3:7" s="246" customFormat="1" ht="12" x14ac:dyDescent="0.25">
      <c r="C78" s="817"/>
      <c r="E78" s="771"/>
      <c r="F78" s="1957"/>
      <c r="G78" s="763"/>
    </row>
    <row r="79" spans="3:7" s="246" customFormat="1" ht="12" x14ac:dyDescent="0.25">
      <c r="C79" s="817"/>
      <c r="E79" s="771"/>
      <c r="F79" s="1957"/>
      <c r="G79" s="763"/>
    </row>
    <row r="80" spans="3:7" s="246" customFormat="1" ht="12" x14ac:dyDescent="0.25">
      <c r="C80" s="817"/>
      <c r="E80" s="771"/>
      <c r="F80" s="1957"/>
      <c r="G80" s="763"/>
    </row>
    <row r="81" spans="3:7" s="246" customFormat="1" ht="12" x14ac:dyDescent="0.25">
      <c r="C81" s="817"/>
      <c r="E81" s="771"/>
      <c r="F81" s="1957"/>
      <c r="G81" s="763"/>
    </row>
    <row r="82" spans="3:7" s="246" customFormat="1" ht="12" x14ac:dyDescent="0.25">
      <c r="C82" s="817"/>
      <c r="E82" s="771"/>
      <c r="F82" s="1957"/>
      <c r="G82" s="763"/>
    </row>
    <row r="83" spans="3:7" s="246" customFormat="1" ht="12" x14ac:dyDescent="0.25">
      <c r="C83" s="817"/>
      <c r="E83" s="771"/>
      <c r="F83" s="1957"/>
      <c r="G83" s="763"/>
    </row>
    <row r="84" spans="3:7" s="246" customFormat="1" ht="12" x14ac:dyDescent="0.25">
      <c r="C84" s="817"/>
      <c r="E84" s="771"/>
      <c r="F84" s="1957"/>
      <c r="G84" s="763"/>
    </row>
    <row r="85" spans="3:7" s="246" customFormat="1" ht="12" x14ac:dyDescent="0.25">
      <c r="C85" s="817"/>
      <c r="E85" s="771"/>
      <c r="F85" s="1957"/>
      <c r="G85" s="763"/>
    </row>
    <row r="86" spans="3:7" s="246" customFormat="1" ht="12" x14ac:dyDescent="0.25">
      <c r="C86" s="817"/>
      <c r="E86" s="771"/>
      <c r="F86" s="1957"/>
      <c r="G86" s="763"/>
    </row>
    <row r="87" spans="3:7" s="246" customFormat="1" ht="12" x14ac:dyDescent="0.25">
      <c r="C87" s="817"/>
      <c r="E87" s="771"/>
      <c r="F87" s="1957"/>
      <c r="G87" s="763"/>
    </row>
    <row r="88" spans="3:7" s="246" customFormat="1" ht="12" x14ac:dyDescent="0.25">
      <c r="C88" s="817"/>
      <c r="E88" s="771"/>
      <c r="F88" s="1957"/>
      <c r="G88" s="763"/>
    </row>
    <row r="89" spans="3:7" s="246" customFormat="1" ht="12" x14ac:dyDescent="0.25">
      <c r="C89" s="817"/>
      <c r="E89" s="771"/>
      <c r="F89" s="1957"/>
      <c r="G89" s="763"/>
    </row>
    <row r="90" spans="3:7" s="246" customFormat="1" ht="12" x14ac:dyDescent="0.25">
      <c r="C90" s="817"/>
      <c r="E90" s="771"/>
      <c r="F90" s="1957"/>
      <c r="G90" s="763"/>
    </row>
    <row r="91" spans="3:7" s="246" customFormat="1" ht="12" x14ac:dyDescent="0.25">
      <c r="C91" s="817"/>
      <c r="E91" s="771"/>
      <c r="F91" s="1957"/>
      <c r="G91" s="763"/>
    </row>
    <row r="92" spans="3:7" s="246" customFormat="1" ht="12" x14ac:dyDescent="0.25">
      <c r="C92" s="817"/>
      <c r="E92" s="771"/>
      <c r="F92" s="1957"/>
      <c r="G92" s="763"/>
    </row>
    <row r="93" spans="3:7" s="246" customFormat="1" ht="12" x14ac:dyDescent="0.25">
      <c r="C93" s="817"/>
      <c r="E93" s="771"/>
      <c r="F93" s="1957"/>
      <c r="G93" s="763"/>
    </row>
    <row r="94" spans="3:7" s="246" customFormat="1" ht="12" x14ac:dyDescent="0.25">
      <c r="C94" s="817"/>
      <c r="E94" s="771"/>
      <c r="F94" s="1957"/>
      <c r="G94" s="763"/>
    </row>
    <row r="95" spans="3:7" s="246" customFormat="1" ht="12" x14ac:dyDescent="0.25">
      <c r="C95" s="817"/>
      <c r="E95" s="771"/>
      <c r="F95" s="1957"/>
      <c r="G95" s="763"/>
    </row>
    <row r="96" spans="3:7" s="246" customFormat="1" ht="12" x14ac:dyDescent="0.25">
      <c r="C96" s="817"/>
      <c r="E96" s="771"/>
      <c r="F96" s="1957"/>
      <c r="G96" s="763"/>
    </row>
    <row r="97" spans="3:7" s="246" customFormat="1" ht="12" x14ac:dyDescent="0.25">
      <c r="C97" s="817"/>
      <c r="E97" s="771"/>
      <c r="F97" s="1957"/>
      <c r="G97" s="763"/>
    </row>
    <row r="98" spans="3:7" s="246" customFormat="1" ht="12" x14ac:dyDescent="0.25">
      <c r="C98" s="817"/>
      <c r="E98" s="771"/>
      <c r="F98" s="1957"/>
      <c r="G98" s="763"/>
    </row>
    <row r="99" spans="3:7" s="246" customFormat="1" ht="12" x14ac:dyDescent="0.25">
      <c r="C99" s="817"/>
      <c r="E99" s="771"/>
      <c r="F99" s="1957"/>
      <c r="G99" s="763"/>
    </row>
    <row r="100" spans="3:7" s="246" customFormat="1" ht="12" x14ac:dyDescent="0.25">
      <c r="C100" s="817"/>
      <c r="E100" s="771"/>
      <c r="F100" s="1957"/>
      <c r="G100" s="763"/>
    </row>
    <row r="101" spans="3:7" s="246" customFormat="1" ht="12" x14ac:dyDescent="0.25">
      <c r="C101" s="817"/>
      <c r="E101" s="771"/>
      <c r="F101" s="1957"/>
      <c r="G101" s="763"/>
    </row>
    <row r="102" spans="3:7" s="246" customFormat="1" ht="12" x14ac:dyDescent="0.25">
      <c r="C102" s="817"/>
      <c r="E102" s="771"/>
      <c r="F102" s="1957"/>
      <c r="G102" s="763"/>
    </row>
    <row r="103" spans="3:7" s="246" customFormat="1" ht="12" x14ac:dyDescent="0.25">
      <c r="C103" s="817"/>
      <c r="E103" s="771"/>
      <c r="F103" s="1957"/>
      <c r="G103" s="763"/>
    </row>
    <row r="104" spans="3:7" s="246" customFormat="1" ht="12" x14ac:dyDescent="0.25">
      <c r="C104" s="817"/>
      <c r="E104" s="771"/>
      <c r="F104" s="1957"/>
      <c r="G104" s="763"/>
    </row>
    <row r="105" spans="3:7" s="246" customFormat="1" ht="12" x14ac:dyDescent="0.25">
      <c r="C105" s="817"/>
      <c r="E105" s="771"/>
      <c r="F105" s="1957"/>
      <c r="G105" s="763"/>
    </row>
    <row r="106" spans="3:7" s="246" customFormat="1" ht="12" x14ac:dyDescent="0.25">
      <c r="C106" s="817"/>
      <c r="E106" s="771"/>
      <c r="F106" s="1957"/>
      <c r="G106" s="763"/>
    </row>
    <row r="107" spans="3:7" s="246" customFormat="1" ht="12" x14ac:dyDescent="0.25">
      <c r="C107" s="817"/>
      <c r="E107" s="771"/>
      <c r="F107" s="1957"/>
      <c r="G107" s="763"/>
    </row>
    <row r="108" spans="3:7" s="246" customFormat="1" ht="12" x14ac:dyDescent="0.25">
      <c r="C108" s="817"/>
      <c r="E108" s="771"/>
      <c r="F108" s="1957"/>
      <c r="G108" s="763"/>
    </row>
    <row r="109" spans="3:7" s="246" customFormat="1" ht="12" x14ac:dyDescent="0.25">
      <c r="C109" s="817"/>
      <c r="E109" s="771"/>
      <c r="F109" s="1957"/>
      <c r="G109" s="763"/>
    </row>
    <row r="110" spans="3:7" s="246" customFormat="1" ht="12" x14ac:dyDescent="0.25">
      <c r="C110" s="817"/>
      <c r="E110" s="771"/>
      <c r="F110" s="1957"/>
      <c r="G110" s="763"/>
    </row>
    <row r="111" spans="3:7" s="246" customFormat="1" ht="12" x14ac:dyDescent="0.25">
      <c r="C111" s="817"/>
      <c r="E111" s="771"/>
      <c r="F111" s="1957"/>
      <c r="G111" s="763"/>
    </row>
    <row r="112" spans="3:7" s="246" customFormat="1" ht="12" x14ac:dyDescent="0.25">
      <c r="C112" s="817"/>
      <c r="E112" s="771"/>
      <c r="F112" s="1957"/>
      <c r="G112" s="763"/>
    </row>
    <row r="113" spans="3:7" s="246" customFormat="1" ht="12" x14ac:dyDescent="0.25">
      <c r="C113" s="817"/>
      <c r="E113" s="771"/>
      <c r="F113" s="1957"/>
      <c r="G113" s="763"/>
    </row>
    <row r="114" spans="3:7" s="246" customFormat="1" ht="12" x14ac:dyDescent="0.25">
      <c r="C114" s="817"/>
      <c r="E114" s="771"/>
      <c r="F114" s="1957"/>
      <c r="G114" s="763"/>
    </row>
    <row r="115" spans="3:7" s="246" customFormat="1" ht="12" x14ac:dyDescent="0.25">
      <c r="C115" s="817"/>
      <c r="E115" s="771"/>
      <c r="F115" s="1957"/>
      <c r="G115" s="763"/>
    </row>
    <row r="116" spans="3:7" s="246" customFormat="1" ht="12" x14ac:dyDescent="0.25">
      <c r="C116" s="817"/>
      <c r="E116" s="771"/>
      <c r="F116" s="1957"/>
      <c r="G116" s="763"/>
    </row>
    <row r="117" spans="3:7" s="246" customFormat="1" ht="12" x14ac:dyDescent="0.25">
      <c r="C117" s="817"/>
      <c r="E117" s="771"/>
      <c r="F117" s="1957"/>
      <c r="G117" s="763"/>
    </row>
    <row r="118" spans="3:7" s="246" customFormat="1" ht="12" x14ac:dyDescent="0.25">
      <c r="C118" s="817"/>
      <c r="E118" s="771"/>
      <c r="F118" s="1957"/>
      <c r="G118" s="763"/>
    </row>
    <row r="119" spans="3:7" s="246" customFormat="1" ht="12" x14ac:dyDescent="0.25">
      <c r="C119" s="817"/>
      <c r="E119" s="771"/>
      <c r="F119" s="1957"/>
      <c r="G119" s="763"/>
    </row>
    <row r="120" spans="3:7" s="246" customFormat="1" ht="12" x14ac:dyDescent="0.25">
      <c r="C120" s="817"/>
      <c r="E120" s="771"/>
      <c r="F120" s="1957"/>
      <c r="G120" s="763"/>
    </row>
    <row r="121" spans="3:7" s="246" customFormat="1" ht="12" x14ac:dyDescent="0.25">
      <c r="C121" s="817"/>
      <c r="E121" s="771"/>
      <c r="F121" s="1957"/>
      <c r="G121" s="763"/>
    </row>
    <row r="122" spans="3:7" s="246" customFormat="1" ht="12" x14ac:dyDescent="0.25">
      <c r="C122" s="817"/>
      <c r="E122" s="771"/>
      <c r="F122" s="1957"/>
      <c r="G122" s="763"/>
    </row>
    <row r="123" spans="3:7" s="246" customFormat="1" ht="12" x14ac:dyDescent="0.25">
      <c r="C123" s="817"/>
      <c r="E123" s="771"/>
      <c r="F123" s="1957"/>
      <c r="G123" s="763"/>
    </row>
    <row r="124" spans="3:7" s="246" customFormat="1" ht="12" x14ac:dyDescent="0.25">
      <c r="C124" s="817"/>
      <c r="E124" s="771"/>
      <c r="F124" s="1957"/>
      <c r="G124" s="763"/>
    </row>
    <row r="125" spans="3:7" s="246" customFormat="1" ht="12" x14ac:dyDescent="0.25">
      <c r="C125" s="817"/>
      <c r="E125" s="771"/>
      <c r="F125" s="1957"/>
      <c r="G125" s="763"/>
    </row>
    <row r="126" spans="3:7" s="246" customFormat="1" ht="12" x14ac:dyDescent="0.25">
      <c r="C126" s="817"/>
      <c r="E126" s="771"/>
      <c r="F126" s="1957"/>
      <c r="G126" s="763"/>
    </row>
    <row r="127" spans="3:7" s="246" customFormat="1" ht="12" x14ac:dyDescent="0.25">
      <c r="C127" s="817"/>
      <c r="E127" s="771"/>
      <c r="F127" s="1957"/>
      <c r="G127" s="763"/>
    </row>
    <row r="128" spans="3:7" s="246" customFormat="1" ht="12" x14ac:dyDescent="0.25">
      <c r="C128" s="817"/>
      <c r="E128" s="771"/>
      <c r="F128" s="1957"/>
      <c r="G128" s="763"/>
    </row>
    <row r="129" spans="3:7" s="246" customFormat="1" ht="12" x14ac:dyDescent="0.25">
      <c r="C129" s="817"/>
      <c r="E129" s="771"/>
      <c r="F129" s="1957"/>
      <c r="G129" s="763"/>
    </row>
    <row r="130" spans="3:7" s="246" customFormat="1" ht="12" x14ac:dyDescent="0.25">
      <c r="C130" s="817"/>
      <c r="E130" s="771"/>
      <c r="F130" s="1957"/>
      <c r="G130" s="763"/>
    </row>
    <row r="131" spans="3:7" s="246" customFormat="1" ht="12" x14ac:dyDescent="0.25">
      <c r="C131" s="817"/>
      <c r="E131" s="771"/>
      <c r="F131" s="1957"/>
      <c r="G131" s="763"/>
    </row>
    <row r="132" spans="3:7" s="246" customFormat="1" ht="12" x14ac:dyDescent="0.25">
      <c r="C132" s="817"/>
      <c r="E132" s="771"/>
      <c r="F132" s="1957"/>
      <c r="G132" s="763"/>
    </row>
    <row r="133" spans="3:7" s="246" customFormat="1" ht="12" x14ac:dyDescent="0.25">
      <c r="C133" s="817"/>
      <c r="E133" s="771"/>
      <c r="F133" s="1957"/>
      <c r="G133" s="763"/>
    </row>
    <row r="134" spans="3:7" s="246" customFormat="1" ht="12" x14ac:dyDescent="0.25">
      <c r="C134" s="817"/>
      <c r="E134" s="771"/>
      <c r="F134" s="1957"/>
      <c r="G134" s="763"/>
    </row>
    <row r="135" spans="3:7" s="246" customFormat="1" ht="12" x14ac:dyDescent="0.25">
      <c r="C135" s="817"/>
      <c r="E135" s="771"/>
      <c r="F135" s="1957"/>
      <c r="G135" s="763"/>
    </row>
    <row r="136" spans="3:7" s="246" customFormat="1" ht="12" x14ac:dyDescent="0.25">
      <c r="C136" s="817"/>
      <c r="E136" s="771"/>
      <c r="F136" s="1957"/>
      <c r="G136" s="763"/>
    </row>
    <row r="137" spans="3:7" s="246" customFormat="1" ht="12" x14ac:dyDescent="0.25">
      <c r="C137" s="817"/>
      <c r="E137" s="771"/>
      <c r="F137" s="1957"/>
      <c r="G137" s="763"/>
    </row>
    <row r="138" spans="3:7" s="246" customFormat="1" ht="12" x14ac:dyDescent="0.25">
      <c r="C138" s="817"/>
      <c r="E138" s="771"/>
      <c r="F138" s="1957"/>
      <c r="G138" s="763"/>
    </row>
    <row r="139" spans="3:7" s="246" customFormat="1" ht="12" x14ac:dyDescent="0.25">
      <c r="C139" s="817"/>
      <c r="E139" s="771"/>
      <c r="F139" s="1957"/>
      <c r="G139" s="763"/>
    </row>
    <row r="140" spans="3:7" s="246" customFormat="1" ht="12" x14ac:dyDescent="0.25">
      <c r="C140" s="817"/>
      <c r="E140" s="771"/>
      <c r="F140" s="1957"/>
      <c r="G140" s="763"/>
    </row>
    <row r="141" spans="3:7" s="246" customFormat="1" ht="12" x14ac:dyDescent="0.25">
      <c r="C141" s="817"/>
      <c r="E141" s="771"/>
      <c r="F141" s="1957"/>
      <c r="G141" s="763"/>
    </row>
    <row r="142" spans="3:7" s="246" customFormat="1" ht="12" x14ac:dyDescent="0.25">
      <c r="C142" s="817"/>
      <c r="E142" s="771"/>
      <c r="F142" s="1957"/>
      <c r="G142" s="763"/>
    </row>
    <row r="143" spans="3:7" s="246" customFormat="1" ht="12" x14ac:dyDescent="0.25">
      <c r="C143" s="817"/>
      <c r="E143" s="771"/>
      <c r="F143" s="1957"/>
      <c r="G143" s="763"/>
    </row>
    <row r="144" spans="3:7" s="246" customFormat="1" ht="12" x14ac:dyDescent="0.25">
      <c r="C144" s="817"/>
      <c r="E144" s="771"/>
      <c r="F144" s="1957"/>
      <c r="G144" s="763"/>
    </row>
    <row r="145" spans="3:7" s="246" customFormat="1" ht="12" x14ac:dyDescent="0.25">
      <c r="C145" s="817"/>
      <c r="E145" s="771"/>
      <c r="F145" s="1957"/>
      <c r="G145" s="763"/>
    </row>
    <row r="146" spans="3:7" s="246" customFormat="1" ht="12" x14ac:dyDescent="0.25">
      <c r="C146" s="817"/>
      <c r="E146" s="771"/>
      <c r="F146" s="1957"/>
      <c r="G146" s="763"/>
    </row>
    <row r="147" spans="3:7" s="246" customFormat="1" ht="12" x14ac:dyDescent="0.25">
      <c r="C147" s="817"/>
      <c r="E147" s="771"/>
      <c r="F147" s="1957"/>
      <c r="G147" s="763"/>
    </row>
    <row r="148" spans="3:7" s="246" customFormat="1" ht="12" x14ac:dyDescent="0.25">
      <c r="C148" s="817"/>
      <c r="E148" s="771"/>
      <c r="F148" s="1957"/>
      <c r="G148" s="763"/>
    </row>
    <row r="149" spans="3:7" s="246" customFormat="1" ht="12" x14ac:dyDescent="0.25">
      <c r="C149" s="817"/>
      <c r="E149" s="771"/>
      <c r="F149" s="1957"/>
      <c r="G149" s="763"/>
    </row>
    <row r="150" spans="3:7" s="246" customFormat="1" ht="12" x14ac:dyDescent="0.25">
      <c r="C150" s="817"/>
      <c r="E150" s="771"/>
      <c r="F150" s="1957"/>
      <c r="G150" s="763"/>
    </row>
    <row r="151" spans="3:7" s="246" customFormat="1" ht="12" x14ac:dyDescent="0.25">
      <c r="C151" s="817"/>
      <c r="E151" s="771"/>
      <c r="F151" s="1957"/>
      <c r="G151" s="763"/>
    </row>
    <row r="152" spans="3:7" s="246" customFormat="1" ht="12" x14ac:dyDescent="0.25">
      <c r="C152" s="817"/>
      <c r="E152" s="771"/>
      <c r="F152" s="1957"/>
      <c r="G152" s="763"/>
    </row>
    <row r="153" spans="3:7" s="246" customFormat="1" ht="12" x14ac:dyDescent="0.25">
      <c r="C153" s="817"/>
      <c r="E153" s="771"/>
      <c r="F153" s="1957"/>
      <c r="G153" s="763"/>
    </row>
    <row r="154" spans="3:7" s="246" customFormat="1" ht="12" x14ac:dyDescent="0.25">
      <c r="C154" s="817"/>
      <c r="E154" s="771"/>
      <c r="F154" s="1957"/>
      <c r="G154" s="763"/>
    </row>
    <row r="155" spans="3:7" s="246" customFormat="1" ht="12" x14ac:dyDescent="0.25">
      <c r="C155" s="817"/>
      <c r="E155" s="771"/>
      <c r="F155" s="1957"/>
      <c r="G155" s="763"/>
    </row>
    <row r="156" spans="3:7" s="246" customFormat="1" ht="12" x14ac:dyDescent="0.25">
      <c r="C156" s="817"/>
      <c r="E156" s="771"/>
      <c r="F156" s="1957"/>
      <c r="G156" s="763"/>
    </row>
    <row r="157" spans="3:7" s="246" customFormat="1" ht="12" x14ac:dyDescent="0.25">
      <c r="C157" s="817"/>
      <c r="E157" s="771"/>
      <c r="F157" s="1957"/>
      <c r="G157" s="763"/>
    </row>
    <row r="158" spans="3:7" s="246" customFormat="1" ht="12" x14ac:dyDescent="0.25">
      <c r="C158" s="817"/>
      <c r="E158" s="771"/>
      <c r="F158" s="1957"/>
      <c r="G158" s="763"/>
    </row>
    <row r="159" spans="3:7" s="246" customFormat="1" ht="12" x14ac:dyDescent="0.25">
      <c r="C159" s="817"/>
      <c r="E159" s="771"/>
      <c r="F159" s="1957"/>
      <c r="G159" s="763"/>
    </row>
    <row r="160" spans="3:7" s="246" customFormat="1" ht="12" x14ac:dyDescent="0.25">
      <c r="C160" s="817"/>
      <c r="E160" s="771"/>
      <c r="F160" s="1957"/>
      <c r="G160" s="763"/>
    </row>
    <row r="161" spans="3:7" s="246" customFormat="1" ht="12" x14ac:dyDescent="0.25">
      <c r="C161" s="817"/>
      <c r="E161" s="771"/>
      <c r="F161" s="1957"/>
      <c r="G161" s="763"/>
    </row>
    <row r="162" spans="3:7" s="246" customFormat="1" ht="12" x14ac:dyDescent="0.25">
      <c r="C162" s="817"/>
      <c r="E162" s="771"/>
      <c r="F162" s="1957"/>
      <c r="G162" s="763"/>
    </row>
  </sheetData>
  <sheetProtection algorithmName="SHA-512" hashValue="dwkF1SnXkytV35rYku5Wg7q/Lp3HBH6AR3aJr5MV/CVnJoIM51rM1NeuDXCE1rSHplNzDW6XlkYB/VDnIP0l1w==" saltValue="4Juhl8MpjsDa1s8rXxGMsg==" spinCount="100000" sheet="1" objects="1" scenarios="1"/>
  <pageMargins left="0.98425196850393704" right="0.39370078740157483" top="0.98425196850393704" bottom="0.74803149606299213" header="0" footer="0.39370078740157483"/>
  <pageSetup paperSize="9" scale="99" firstPageNumber="0" orientation="portrait" r:id="rId1"/>
  <headerFooter alignWithMargins="0">
    <oddHeader>&amp;L
&amp;R&amp;"Projekt,Običajno"&amp;72p</oddHeader>
    <oddFooter>&amp;C&amp;6 &amp; List: &amp;A&amp;R &amp;  &amp; Stran: &amp;P/&amp;N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tabColor theme="6" tint="-0.249977111117893"/>
  </sheetPr>
  <dimension ref="A1:IV150"/>
  <sheetViews>
    <sheetView view="pageBreakPreview" zoomScaleNormal="85" zoomScaleSheetLayoutView="100" workbookViewId="0"/>
  </sheetViews>
  <sheetFormatPr defaultRowHeight="12.75" x14ac:dyDescent="0.25"/>
  <cols>
    <col min="1" max="1" width="2.5703125" style="224" customWidth="1"/>
    <col min="2" max="2" width="4.42578125" style="224" customWidth="1"/>
    <col min="3" max="3" width="43.7109375" style="818" customWidth="1"/>
    <col min="4" max="4" width="6.28515625" style="224" customWidth="1"/>
    <col min="5" max="5" width="7.5703125" style="764" customWidth="1"/>
    <col min="6" max="6" width="9.5703125" style="1956" customWidth="1"/>
    <col min="7" max="7" width="13.28515625" style="765" customWidth="1"/>
    <col min="8" max="8" width="9.85546875" style="224" customWidth="1"/>
    <col min="9" max="9" width="2.5703125" style="224" bestFit="1" customWidth="1"/>
    <col min="10" max="10" width="9.140625" style="224"/>
    <col min="11" max="11" width="9" style="224" customWidth="1"/>
    <col min="12" max="256" width="9.140625" style="224"/>
    <col min="257" max="257" width="2.5703125" style="224" customWidth="1"/>
    <col min="258" max="258" width="4.42578125" style="224" customWidth="1"/>
    <col min="259" max="259" width="43.7109375" style="224" customWidth="1"/>
    <col min="260" max="260" width="6.28515625" style="224" customWidth="1"/>
    <col min="261" max="261" width="7.5703125" style="224" customWidth="1"/>
    <col min="262" max="262" width="9.5703125" style="224" customWidth="1"/>
    <col min="263" max="263" width="13.28515625" style="224" customWidth="1"/>
    <col min="264" max="264" width="9.85546875" style="224" customWidth="1"/>
    <col min="265" max="265" width="2.5703125" style="224" bestFit="1" customWidth="1"/>
    <col min="266" max="266" width="9.140625" style="224"/>
    <col min="267" max="267" width="9" style="224" customWidth="1"/>
    <col min="268" max="512" width="9.140625" style="224"/>
    <col min="513" max="513" width="2.5703125" style="224" customWidth="1"/>
    <col min="514" max="514" width="4.42578125" style="224" customWidth="1"/>
    <col min="515" max="515" width="43.7109375" style="224" customWidth="1"/>
    <col min="516" max="516" width="6.28515625" style="224" customWidth="1"/>
    <col min="517" max="517" width="7.5703125" style="224" customWidth="1"/>
    <col min="518" max="518" width="9.5703125" style="224" customWidth="1"/>
    <col min="519" max="519" width="13.28515625" style="224" customWidth="1"/>
    <col min="520" max="520" width="9.85546875" style="224" customWidth="1"/>
    <col min="521" max="521" width="2.5703125" style="224" bestFit="1" customWidth="1"/>
    <col min="522" max="522" width="9.140625" style="224"/>
    <col min="523" max="523" width="9" style="224" customWidth="1"/>
    <col min="524" max="768" width="9.140625" style="224"/>
    <col min="769" max="769" width="2.5703125" style="224" customWidth="1"/>
    <col min="770" max="770" width="4.42578125" style="224" customWidth="1"/>
    <col min="771" max="771" width="43.7109375" style="224" customWidth="1"/>
    <col min="772" max="772" width="6.28515625" style="224" customWidth="1"/>
    <col min="773" max="773" width="7.5703125" style="224" customWidth="1"/>
    <col min="774" max="774" width="9.5703125" style="224" customWidth="1"/>
    <col min="775" max="775" width="13.28515625" style="224" customWidth="1"/>
    <col min="776" max="776" width="9.85546875" style="224" customWidth="1"/>
    <col min="777" max="777" width="2.5703125" style="224" bestFit="1" customWidth="1"/>
    <col min="778" max="778" width="9.140625" style="224"/>
    <col min="779" max="779" width="9" style="224" customWidth="1"/>
    <col min="780" max="1024" width="9.140625" style="224"/>
    <col min="1025" max="1025" width="2.5703125" style="224" customWidth="1"/>
    <col min="1026" max="1026" width="4.42578125" style="224" customWidth="1"/>
    <col min="1027" max="1027" width="43.7109375" style="224" customWidth="1"/>
    <col min="1028" max="1028" width="6.28515625" style="224" customWidth="1"/>
    <col min="1029" max="1029" width="7.5703125" style="224" customWidth="1"/>
    <col min="1030" max="1030" width="9.5703125" style="224" customWidth="1"/>
    <col min="1031" max="1031" width="13.28515625" style="224" customWidth="1"/>
    <col min="1032" max="1032" width="9.85546875" style="224" customWidth="1"/>
    <col min="1033" max="1033" width="2.5703125" style="224" bestFit="1" customWidth="1"/>
    <col min="1034" max="1034" width="9.140625" style="224"/>
    <col min="1035" max="1035" width="9" style="224" customWidth="1"/>
    <col min="1036" max="1280" width="9.140625" style="224"/>
    <col min="1281" max="1281" width="2.5703125" style="224" customWidth="1"/>
    <col min="1282" max="1282" width="4.42578125" style="224" customWidth="1"/>
    <col min="1283" max="1283" width="43.7109375" style="224" customWidth="1"/>
    <col min="1284" max="1284" width="6.28515625" style="224" customWidth="1"/>
    <col min="1285" max="1285" width="7.5703125" style="224" customWidth="1"/>
    <col min="1286" max="1286" width="9.5703125" style="224" customWidth="1"/>
    <col min="1287" max="1287" width="13.28515625" style="224" customWidth="1"/>
    <col min="1288" max="1288" width="9.85546875" style="224" customWidth="1"/>
    <col min="1289" max="1289" width="2.5703125" style="224" bestFit="1" customWidth="1"/>
    <col min="1290" max="1290" width="9.140625" style="224"/>
    <col min="1291" max="1291" width="9" style="224" customWidth="1"/>
    <col min="1292" max="1536" width="9.140625" style="224"/>
    <col min="1537" max="1537" width="2.5703125" style="224" customWidth="1"/>
    <col min="1538" max="1538" width="4.42578125" style="224" customWidth="1"/>
    <col min="1539" max="1539" width="43.7109375" style="224" customWidth="1"/>
    <col min="1540" max="1540" width="6.28515625" style="224" customWidth="1"/>
    <col min="1541" max="1541" width="7.5703125" style="224" customWidth="1"/>
    <col min="1542" max="1542" width="9.5703125" style="224" customWidth="1"/>
    <col min="1543" max="1543" width="13.28515625" style="224" customWidth="1"/>
    <col min="1544" max="1544" width="9.85546875" style="224" customWidth="1"/>
    <col min="1545" max="1545" width="2.5703125" style="224" bestFit="1" customWidth="1"/>
    <col min="1546" max="1546" width="9.140625" style="224"/>
    <col min="1547" max="1547" width="9" style="224" customWidth="1"/>
    <col min="1548" max="1792" width="9.140625" style="224"/>
    <col min="1793" max="1793" width="2.5703125" style="224" customWidth="1"/>
    <col min="1794" max="1794" width="4.42578125" style="224" customWidth="1"/>
    <col min="1795" max="1795" width="43.7109375" style="224" customWidth="1"/>
    <col min="1796" max="1796" width="6.28515625" style="224" customWidth="1"/>
    <col min="1797" max="1797" width="7.5703125" style="224" customWidth="1"/>
    <col min="1798" max="1798" width="9.5703125" style="224" customWidth="1"/>
    <col min="1799" max="1799" width="13.28515625" style="224" customWidth="1"/>
    <col min="1800" max="1800" width="9.85546875" style="224" customWidth="1"/>
    <col min="1801" max="1801" width="2.5703125" style="224" bestFit="1" customWidth="1"/>
    <col min="1802" max="1802" width="9.140625" style="224"/>
    <col min="1803" max="1803" width="9" style="224" customWidth="1"/>
    <col min="1804" max="2048" width="9.140625" style="224"/>
    <col min="2049" max="2049" width="2.5703125" style="224" customWidth="1"/>
    <col min="2050" max="2050" width="4.42578125" style="224" customWidth="1"/>
    <col min="2051" max="2051" width="43.7109375" style="224" customWidth="1"/>
    <col min="2052" max="2052" width="6.28515625" style="224" customWidth="1"/>
    <col min="2053" max="2053" width="7.5703125" style="224" customWidth="1"/>
    <col min="2054" max="2054" width="9.5703125" style="224" customWidth="1"/>
    <col min="2055" max="2055" width="13.28515625" style="224" customWidth="1"/>
    <col min="2056" max="2056" width="9.85546875" style="224" customWidth="1"/>
    <col min="2057" max="2057" width="2.5703125" style="224" bestFit="1" customWidth="1"/>
    <col min="2058" max="2058" width="9.140625" style="224"/>
    <col min="2059" max="2059" width="9" style="224" customWidth="1"/>
    <col min="2060" max="2304" width="9.140625" style="224"/>
    <col min="2305" max="2305" width="2.5703125" style="224" customWidth="1"/>
    <col min="2306" max="2306" width="4.42578125" style="224" customWidth="1"/>
    <col min="2307" max="2307" width="43.7109375" style="224" customWidth="1"/>
    <col min="2308" max="2308" width="6.28515625" style="224" customWidth="1"/>
    <col min="2309" max="2309" width="7.5703125" style="224" customWidth="1"/>
    <col min="2310" max="2310" width="9.5703125" style="224" customWidth="1"/>
    <col min="2311" max="2311" width="13.28515625" style="224" customWidth="1"/>
    <col min="2312" max="2312" width="9.85546875" style="224" customWidth="1"/>
    <col min="2313" max="2313" width="2.5703125" style="224" bestFit="1" customWidth="1"/>
    <col min="2314" max="2314" width="9.140625" style="224"/>
    <col min="2315" max="2315" width="9" style="224" customWidth="1"/>
    <col min="2316" max="2560" width="9.140625" style="224"/>
    <col min="2561" max="2561" width="2.5703125" style="224" customWidth="1"/>
    <col min="2562" max="2562" width="4.42578125" style="224" customWidth="1"/>
    <col min="2563" max="2563" width="43.7109375" style="224" customWidth="1"/>
    <col min="2564" max="2564" width="6.28515625" style="224" customWidth="1"/>
    <col min="2565" max="2565" width="7.5703125" style="224" customWidth="1"/>
    <col min="2566" max="2566" width="9.5703125" style="224" customWidth="1"/>
    <col min="2567" max="2567" width="13.28515625" style="224" customWidth="1"/>
    <col min="2568" max="2568" width="9.85546875" style="224" customWidth="1"/>
    <col min="2569" max="2569" width="2.5703125" style="224" bestFit="1" customWidth="1"/>
    <col min="2570" max="2570" width="9.140625" style="224"/>
    <col min="2571" max="2571" width="9" style="224" customWidth="1"/>
    <col min="2572" max="2816" width="9.140625" style="224"/>
    <col min="2817" max="2817" width="2.5703125" style="224" customWidth="1"/>
    <col min="2818" max="2818" width="4.42578125" style="224" customWidth="1"/>
    <col min="2819" max="2819" width="43.7109375" style="224" customWidth="1"/>
    <col min="2820" max="2820" width="6.28515625" style="224" customWidth="1"/>
    <col min="2821" max="2821" width="7.5703125" style="224" customWidth="1"/>
    <col min="2822" max="2822" width="9.5703125" style="224" customWidth="1"/>
    <col min="2823" max="2823" width="13.28515625" style="224" customWidth="1"/>
    <col min="2824" max="2824" width="9.85546875" style="224" customWidth="1"/>
    <col min="2825" max="2825" width="2.5703125" style="224" bestFit="1" customWidth="1"/>
    <col min="2826" max="2826" width="9.140625" style="224"/>
    <col min="2827" max="2827" width="9" style="224" customWidth="1"/>
    <col min="2828" max="3072" width="9.140625" style="224"/>
    <col min="3073" max="3073" width="2.5703125" style="224" customWidth="1"/>
    <col min="3074" max="3074" width="4.42578125" style="224" customWidth="1"/>
    <col min="3075" max="3075" width="43.7109375" style="224" customWidth="1"/>
    <col min="3076" max="3076" width="6.28515625" style="224" customWidth="1"/>
    <col min="3077" max="3077" width="7.5703125" style="224" customWidth="1"/>
    <col min="3078" max="3078" width="9.5703125" style="224" customWidth="1"/>
    <col min="3079" max="3079" width="13.28515625" style="224" customWidth="1"/>
    <col min="3080" max="3080" width="9.85546875" style="224" customWidth="1"/>
    <col min="3081" max="3081" width="2.5703125" style="224" bestFit="1" customWidth="1"/>
    <col min="3082" max="3082" width="9.140625" style="224"/>
    <col min="3083" max="3083" width="9" style="224" customWidth="1"/>
    <col min="3084" max="3328" width="9.140625" style="224"/>
    <col min="3329" max="3329" width="2.5703125" style="224" customWidth="1"/>
    <col min="3330" max="3330" width="4.42578125" style="224" customWidth="1"/>
    <col min="3331" max="3331" width="43.7109375" style="224" customWidth="1"/>
    <col min="3332" max="3332" width="6.28515625" style="224" customWidth="1"/>
    <col min="3333" max="3333" width="7.5703125" style="224" customWidth="1"/>
    <col min="3334" max="3334" width="9.5703125" style="224" customWidth="1"/>
    <col min="3335" max="3335" width="13.28515625" style="224" customWidth="1"/>
    <col min="3336" max="3336" width="9.85546875" style="224" customWidth="1"/>
    <col min="3337" max="3337" width="2.5703125" style="224" bestFit="1" customWidth="1"/>
    <col min="3338" max="3338" width="9.140625" style="224"/>
    <col min="3339" max="3339" width="9" style="224" customWidth="1"/>
    <col min="3340" max="3584" width="9.140625" style="224"/>
    <col min="3585" max="3585" width="2.5703125" style="224" customWidth="1"/>
    <col min="3586" max="3586" width="4.42578125" style="224" customWidth="1"/>
    <col min="3587" max="3587" width="43.7109375" style="224" customWidth="1"/>
    <col min="3588" max="3588" width="6.28515625" style="224" customWidth="1"/>
    <col min="3589" max="3589" width="7.5703125" style="224" customWidth="1"/>
    <col min="3590" max="3590" width="9.5703125" style="224" customWidth="1"/>
    <col min="3591" max="3591" width="13.28515625" style="224" customWidth="1"/>
    <col min="3592" max="3592" width="9.85546875" style="224" customWidth="1"/>
    <col min="3593" max="3593" width="2.5703125" style="224" bestFit="1" customWidth="1"/>
    <col min="3594" max="3594" width="9.140625" style="224"/>
    <col min="3595" max="3595" width="9" style="224" customWidth="1"/>
    <col min="3596" max="3840" width="9.140625" style="224"/>
    <col min="3841" max="3841" width="2.5703125" style="224" customWidth="1"/>
    <col min="3842" max="3842" width="4.42578125" style="224" customWidth="1"/>
    <col min="3843" max="3843" width="43.7109375" style="224" customWidth="1"/>
    <col min="3844" max="3844" width="6.28515625" style="224" customWidth="1"/>
    <col min="3845" max="3845" width="7.5703125" style="224" customWidth="1"/>
    <col min="3846" max="3846" width="9.5703125" style="224" customWidth="1"/>
    <col min="3847" max="3847" width="13.28515625" style="224" customWidth="1"/>
    <col min="3848" max="3848" width="9.85546875" style="224" customWidth="1"/>
    <col min="3849" max="3849" width="2.5703125" style="224" bestFit="1" customWidth="1"/>
    <col min="3850" max="3850" width="9.140625" style="224"/>
    <col min="3851" max="3851" width="9" style="224" customWidth="1"/>
    <col min="3852" max="4096" width="9.140625" style="224"/>
    <col min="4097" max="4097" width="2.5703125" style="224" customWidth="1"/>
    <col min="4098" max="4098" width="4.42578125" style="224" customWidth="1"/>
    <col min="4099" max="4099" width="43.7109375" style="224" customWidth="1"/>
    <col min="4100" max="4100" width="6.28515625" style="224" customWidth="1"/>
    <col min="4101" max="4101" width="7.5703125" style="224" customWidth="1"/>
    <col min="4102" max="4102" width="9.5703125" style="224" customWidth="1"/>
    <col min="4103" max="4103" width="13.28515625" style="224" customWidth="1"/>
    <col min="4104" max="4104" width="9.85546875" style="224" customWidth="1"/>
    <col min="4105" max="4105" width="2.5703125" style="224" bestFit="1" customWidth="1"/>
    <col min="4106" max="4106" width="9.140625" style="224"/>
    <col min="4107" max="4107" width="9" style="224" customWidth="1"/>
    <col min="4108" max="4352" width="9.140625" style="224"/>
    <col min="4353" max="4353" width="2.5703125" style="224" customWidth="1"/>
    <col min="4354" max="4354" width="4.42578125" style="224" customWidth="1"/>
    <col min="4355" max="4355" width="43.7109375" style="224" customWidth="1"/>
    <col min="4356" max="4356" width="6.28515625" style="224" customWidth="1"/>
    <col min="4357" max="4357" width="7.5703125" style="224" customWidth="1"/>
    <col min="4358" max="4358" width="9.5703125" style="224" customWidth="1"/>
    <col min="4359" max="4359" width="13.28515625" style="224" customWidth="1"/>
    <col min="4360" max="4360" width="9.85546875" style="224" customWidth="1"/>
    <col min="4361" max="4361" width="2.5703125" style="224" bestFit="1" customWidth="1"/>
    <col min="4362" max="4362" width="9.140625" style="224"/>
    <col min="4363" max="4363" width="9" style="224" customWidth="1"/>
    <col min="4364" max="4608" width="9.140625" style="224"/>
    <col min="4609" max="4609" width="2.5703125" style="224" customWidth="1"/>
    <col min="4610" max="4610" width="4.42578125" style="224" customWidth="1"/>
    <col min="4611" max="4611" width="43.7109375" style="224" customWidth="1"/>
    <col min="4612" max="4612" width="6.28515625" style="224" customWidth="1"/>
    <col min="4613" max="4613" width="7.5703125" style="224" customWidth="1"/>
    <col min="4614" max="4614" width="9.5703125" style="224" customWidth="1"/>
    <col min="4615" max="4615" width="13.28515625" style="224" customWidth="1"/>
    <col min="4616" max="4616" width="9.85546875" style="224" customWidth="1"/>
    <col min="4617" max="4617" width="2.5703125" style="224" bestFit="1" customWidth="1"/>
    <col min="4618" max="4618" width="9.140625" style="224"/>
    <col min="4619" max="4619" width="9" style="224" customWidth="1"/>
    <col min="4620" max="4864" width="9.140625" style="224"/>
    <col min="4865" max="4865" width="2.5703125" style="224" customWidth="1"/>
    <col min="4866" max="4866" width="4.42578125" style="224" customWidth="1"/>
    <col min="4867" max="4867" width="43.7109375" style="224" customWidth="1"/>
    <col min="4868" max="4868" width="6.28515625" style="224" customWidth="1"/>
    <col min="4869" max="4869" width="7.5703125" style="224" customWidth="1"/>
    <col min="4870" max="4870" width="9.5703125" style="224" customWidth="1"/>
    <col min="4871" max="4871" width="13.28515625" style="224" customWidth="1"/>
    <col min="4872" max="4872" width="9.85546875" style="224" customWidth="1"/>
    <col min="4873" max="4873" width="2.5703125" style="224" bestFit="1" customWidth="1"/>
    <col min="4874" max="4874" width="9.140625" style="224"/>
    <col min="4875" max="4875" width="9" style="224" customWidth="1"/>
    <col min="4876" max="5120" width="9.140625" style="224"/>
    <col min="5121" max="5121" width="2.5703125" style="224" customWidth="1"/>
    <col min="5122" max="5122" width="4.42578125" style="224" customWidth="1"/>
    <col min="5123" max="5123" width="43.7109375" style="224" customWidth="1"/>
    <col min="5124" max="5124" width="6.28515625" style="224" customWidth="1"/>
    <col min="5125" max="5125" width="7.5703125" style="224" customWidth="1"/>
    <col min="5126" max="5126" width="9.5703125" style="224" customWidth="1"/>
    <col min="5127" max="5127" width="13.28515625" style="224" customWidth="1"/>
    <col min="5128" max="5128" width="9.85546875" style="224" customWidth="1"/>
    <col min="5129" max="5129" width="2.5703125" style="224" bestFit="1" customWidth="1"/>
    <col min="5130" max="5130" width="9.140625" style="224"/>
    <col min="5131" max="5131" width="9" style="224" customWidth="1"/>
    <col min="5132" max="5376" width="9.140625" style="224"/>
    <col min="5377" max="5377" width="2.5703125" style="224" customWidth="1"/>
    <col min="5378" max="5378" width="4.42578125" style="224" customWidth="1"/>
    <col min="5379" max="5379" width="43.7109375" style="224" customWidth="1"/>
    <col min="5380" max="5380" width="6.28515625" style="224" customWidth="1"/>
    <col min="5381" max="5381" width="7.5703125" style="224" customWidth="1"/>
    <col min="5382" max="5382" width="9.5703125" style="224" customWidth="1"/>
    <col min="5383" max="5383" width="13.28515625" style="224" customWidth="1"/>
    <col min="5384" max="5384" width="9.85546875" style="224" customWidth="1"/>
    <col min="5385" max="5385" width="2.5703125" style="224" bestFit="1" customWidth="1"/>
    <col min="5386" max="5386" width="9.140625" style="224"/>
    <col min="5387" max="5387" width="9" style="224" customWidth="1"/>
    <col min="5388" max="5632" width="9.140625" style="224"/>
    <col min="5633" max="5633" width="2.5703125" style="224" customWidth="1"/>
    <col min="5634" max="5634" width="4.42578125" style="224" customWidth="1"/>
    <col min="5635" max="5635" width="43.7109375" style="224" customWidth="1"/>
    <col min="5636" max="5636" width="6.28515625" style="224" customWidth="1"/>
    <col min="5637" max="5637" width="7.5703125" style="224" customWidth="1"/>
    <col min="5638" max="5638" width="9.5703125" style="224" customWidth="1"/>
    <col min="5639" max="5639" width="13.28515625" style="224" customWidth="1"/>
    <col min="5640" max="5640" width="9.85546875" style="224" customWidth="1"/>
    <col min="5641" max="5641" width="2.5703125" style="224" bestFit="1" customWidth="1"/>
    <col min="5642" max="5642" width="9.140625" style="224"/>
    <col min="5643" max="5643" width="9" style="224" customWidth="1"/>
    <col min="5644" max="5888" width="9.140625" style="224"/>
    <col min="5889" max="5889" width="2.5703125" style="224" customWidth="1"/>
    <col min="5890" max="5890" width="4.42578125" style="224" customWidth="1"/>
    <col min="5891" max="5891" width="43.7109375" style="224" customWidth="1"/>
    <col min="5892" max="5892" width="6.28515625" style="224" customWidth="1"/>
    <col min="5893" max="5893" width="7.5703125" style="224" customWidth="1"/>
    <col min="5894" max="5894" width="9.5703125" style="224" customWidth="1"/>
    <col min="5895" max="5895" width="13.28515625" style="224" customWidth="1"/>
    <col min="5896" max="5896" width="9.85546875" style="224" customWidth="1"/>
    <col min="5897" max="5897" width="2.5703125" style="224" bestFit="1" customWidth="1"/>
    <col min="5898" max="5898" width="9.140625" style="224"/>
    <col min="5899" max="5899" width="9" style="224" customWidth="1"/>
    <col min="5900" max="6144" width="9.140625" style="224"/>
    <col min="6145" max="6145" width="2.5703125" style="224" customWidth="1"/>
    <col min="6146" max="6146" width="4.42578125" style="224" customWidth="1"/>
    <col min="6147" max="6147" width="43.7109375" style="224" customWidth="1"/>
    <col min="6148" max="6148" width="6.28515625" style="224" customWidth="1"/>
    <col min="6149" max="6149" width="7.5703125" style="224" customWidth="1"/>
    <col min="6150" max="6150" width="9.5703125" style="224" customWidth="1"/>
    <col min="6151" max="6151" width="13.28515625" style="224" customWidth="1"/>
    <col min="6152" max="6152" width="9.85546875" style="224" customWidth="1"/>
    <col min="6153" max="6153" width="2.5703125" style="224" bestFit="1" customWidth="1"/>
    <col min="6154" max="6154" width="9.140625" style="224"/>
    <col min="6155" max="6155" width="9" style="224" customWidth="1"/>
    <col min="6156" max="6400" width="9.140625" style="224"/>
    <col min="6401" max="6401" width="2.5703125" style="224" customWidth="1"/>
    <col min="6402" max="6402" width="4.42578125" style="224" customWidth="1"/>
    <col min="6403" max="6403" width="43.7109375" style="224" customWidth="1"/>
    <col min="6404" max="6404" width="6.28515625" style="224" customWidth="1"/>
    <col min="6405" max="6405" width="7.5703125" style="224" customWidth="1"/>
    <col min="6406" max="6406" width="9.5703125" style="224" customWidth="1"/>
    <col min="6407" max="6407" width="13.28515625" style="224" customWidth="1"/>
    <col min="6408" max="6408" width="9.85546875" style="224" customWidth="1"/>
    <col min="6409" max="6409" width="2.5703125" style="224" bestFit="1" customWidth="1"/>
    <col min="6410" max="6410" width="9.140625" style="224"/>
    <col min="6411" max="6411" width="9" style="224" customWidth="1"/>
    <col min="6412" max="6656" width="9.140625" style="224"/>
    <col min="6657" max="6657" width="2.5703125" style="224" customWidth="1"/>
    <col min="6658" max="6658" width="4.42578125" style="224" customWidth="1"/>
    <col min="6659" max="6659" width="43.7109375" style="224" customWidth="1"/>
    <col min="6660" max="6660" width="6.28515625" style="224" customWidth="1"/>
    <col min="6661" max="6661" width="7.5703125" style="224" customWidth="1"/>
    <col min="6662" max="6662" width="9.5703125" style="224" customWidth="1"/>
    <col min="6663" max="6663" width="13.28515625" style="224" customWidth="1"/>
    <col min="6664" max="6664" width="9.85546875" style="224" customWidth="1"/>
    <col min="6665" max="6665" width="2.5703125" style="224" bestFit="1" customWidth="1"/>
    <col min="6666" max="6666" width="9.140625" style="224"/>
    <col min="6667" max="6667" width="9" style="224" customWidth="1"/>
    <col min="6668" max="6912" width="9.140625" style="224"/>
    <col min="6913" max="6913" width="2.5703125" style="224" customWidth="1"/>
    <col min="6914" max="6914" width="4.42578125" style="224" customWidth="1"/>
    <col min="6915" max="6915" width="43.7109375" style="224" customWidth="1"/>
    <col min="6916" max="6916" width="6.28515625" style="224" customWidth="1"/>
    <col min="6917" max="6917" width="7.5703125" style="224" customWidth="1"/>
    <col min="6918" max="6918" width="9.5703125" style="224" customWidth="1"/>
    <col min="6919" max="6919" width="13.28515625" style="224" customWidth="1"/>
    <col min="6920" max="6920" width="9.85546875" style="224" customWidth="1"/>
    <col min="6921" max="6921" width="2.5703125" style="224" bestFit="1" customWidth="1"/>
    <col min="6922" max="6922" width="9.140625" style="224"/>
    <col min="6923" max="6923" width="9" style="224" customWidth="1"/>
    <col min="6924" max="7168" width="9.140625" style="224"/>
    <col min="7169" max="7169" width="2.5703125" style="224" customWidth="1"/>
    <col min="7170" max="7170" width="4.42578125" style="224" customWidth="1"/>
    <col min="7171" max="7171" width="43.7109375" style="224" customWidth="1"/>
    <col min="7172" max="7172" width="6.28515625" style="224" customWidth="1"/>
    <col min="7173" max="7173" width="7.5703125" style="224" customWidth="1"/>
    <col min="7174" max="7174" width="9.5703125" style="224" customWidth="1"/>
    <col min="7175" max="7175" width="13.28515625" style="224" customWidth="1"/>
    <col min="7176" max="7176" width="9.85546875" style="224" customWidth="1"/>
    <col min="7177" max="7177" width="2.5703125" style="224" bestFit="1" customWidth="1"/>
    <col min="7178" max="7178" width="9.140625" style="224"/>
    <col min="7179" max="7179" width="9" style="224" customWidth="1"/>
    <col min="7180" max="7424" width="9.140625" style="224"/>
    <col min="7425" max="7425" width="2.5703125" style="224" customWidth="1"/>
    <col min="7426" max="7426" width="4.42578125" style="224" customWidth="1"/>
    <col min="7427" max="7427" width="43.7109375" style="224" customWidth="1"/>
    <col min="7428" max="7428" width="6.28515625" style="224" customWidth="1"/>
    <col min="7429" max="7429" width="7.5703125" style="224" customWidth="1"/>
    <col min="7430" max="7430" width="9.5703125" style="224" customWidth="1"/>
    <col min="7431" max="7431" width="13.28515625" style="224" customWidth="1"/>
    <col min="7432" max="7432" width="9.85546875" style="224" customWidth="1"/>
    <col min="7433" max="7433" width="2.5703125" style="224" bestFit="1" customWidth="1"/>
    <col min="7434" max="7434" width="9.140625" style="224"/>
    <col min="7435" max="7435" width="9" style="224" customWidth="1"/>
    <col min="7436" max="7680" width="9.140625" style="224"/>
    <col min="7681" max="7681" width="2.5703125" style="224" customWidth="1"/>
    <col min="7682" max="7682" width="4.42578125" style="224" customWidth="1"/>
    <col min="7683" max="7683" width="43.7109375" style="224" customWidth="1"/>
    <col min="7684" max="7684" width="6.28515625" style="224" customWidth="1"/>
    <col min="7685" max="7685" width="7.5703125" style="224" customWidth="1"/>
    <col min="7686" max="7686" width="9.5703125" style="224" customWidth="1"/>
    <col min="7687" max="7687" width="13.28515625" style="224" customWidth="1"/>
    <col min="7688" max="7688" width="9.85546875" style="224" customWidth="1"/>
    <col min="7689" max="7689" width="2.5703125" style="224" bestFit="1" customWidth="1"/>
    <col min="7690" max="7690" width="9.140625" style="224"/>
    <col min="7691" max="7691" width="9" style="224" customWidth="1"/>
    <col min="7692" max="7936" width="9.140625" style="224"/>
    <col min="7937" max="7937" width="2.5703125" style="224" customWidth="1"/>
    <col min="7938" max="7938" width="4.42578125" style="224" customWidth="1"/>
    <col min="7939" max="7939" width="43.7109375" style="224" customWidth="1"/>
    <col min="7940" max="7940" width="6.28515625" style="224" customWidth="1"/>
    <col min="7941" max="7941" width="7.5703125" style="224" customWidth="1"/>
    <col min="7942" max="7942" width="9.5703125" style="224" customWidth="1"/>
    <col min="7943" max="7943" width="13.28515625" style="224" customWidth="1"/>
    <col min="7944" max="7944" width="9.85546875" style="224" customWidth="1"/>
    <col min="7945" max="7945" width="2.5703125" style="224" bestFit="1" customWidth="1"/>
    <col min="7946" max="7946" width="9.140625" style="224"/>
    <col min="7947" max="7947" width="9" style="224" customWidth="1"/>
    <col min="7948" max="8192" width="9.140625" style="224"/>
    <col min="8193" max="8193" width="2.5703125" style="224" customWidth="1"/>
    <col min="8194" max="8194" width="4.42578125" style="224" customWidth="1"/>
    <col min="8195" max="8195" width="43.7109375" style="224" customWidth="1"/>
    <col min="8196" max="8196" width="6.28515625" style="224" customWidth="1"/>
    <col min="8197" max="8197" width="7.5703125" style="224" customWidth="1"/>
    <col min="8198" max="8198" width="9.5703125" style="224" customWidth="1"/>
    <col min="8199" max="8199" width="13.28515625" style="224" customWidth="1"/>
    <col min="8200" max="8200" width="9.85546875" style="224" customWidth="1"/>
    <col min="8201" max="8201" width="2.5703125" style="224" bestFit="1" customWidth="1"/>
    <col min="8202" max="8202" width="9.140625" style="224"/>
    <col min="8203" max="8203" width="9" style="224" customWidth="1"/>
    <col min="8204" max="8448" width="9.140625" style="224"/>
    <col min="8449" max="8449" width="2.5703125" style="224" customWidth="1"/>
    <col min="8450" max="8450" width="4.42578125" style="224" customWidth="1"/>
    <col min="8451" max="8451" width="43.7109375" style="224" customWidth="1"/>
    <col min="8452" max="8452" width="6.28515625" style="224" customWidth="1"/>
    <col min="8453" max="8453" width="7.5703125" style="224" customWidth="1"/>
    <col min="8454" max="8454" width="9.5703125" style="224" customWidth="1"/>
    <col min="8455" max="8455" width="13.28515625" style="224" customWidth="1"/>
    <col min="8456" max="8456" width="9.85546875" style="224" customWidth="1"/>
    <col min="8457" max="8457" width="2.5703125" style="224" bestFit="1" customWidth="1"/>
    <col min="8458" max="8458" width="9.140625" style="224"/>
    <col min="8459" max="8459" width="9" style="224" customWidth="1"/>
    <col min="8460" max="8704" width="9.140625" style="224"/>
    <col min="8705" max="8705" width="2.5703125" style="224" customWidth="1"/>
    <col min="8706" max="8706" width="4.42578125" style="224" customWidth="1"/>
    <col min="8707" max="8707" width="43.7109375" style="224" customWidth="1"/>
    <col min="8708" max="8708" width="6.28515625" style="224" customWidth="1"/>
    <col min="8709" max="8709" width="7.5703125" style="224" customWidth="1"/>
    <col min="8710" max="8710" width="9.5703125" style="224" customWidth="1"/>
    <col min="8711" max="8711" width="13.28515625" style="224" customWidth="1"/>
    <col min="8712" max="8712" width="9.85546875" style="224" customWidth="1"/>
    <col min="8713" max="8713" width="2.5703125" style="224" bestFit="1" customWidth="1"/>
    <col min="8714" max="8714" width="9.140625" style="224"/>
    <col min="8715" max="8715" width="9" style="224" customWidth="1"/>
    <col min="8716" max="8960" width="9.140625" style="224"/>
    <col min="8961" max="8961" width="2.5703125" style="224" customWidth="1"/>
    <col min="8962" max="8962" width="4.42578125" style="224" customWidth="1"/>
    <col min="8963" max="8963" width="43.7109375" style="224" customWidth="1"/>
    <col min="8964" max="8964" width="6.28515625" style="224" customWidth="1"/>
    <col min="8965" max="8965" width="7.5703125" style="224" customWidth="1"/>
    <col min="8966" max="8966" width="9.5703125" style="224" customWidth="1"/>
    <col min="8967" max="8967" width="13.28515625" style="224" customWidth="1"/>
    <col min="8968" max="8968" width="9.85546875" style="224" customWidth="1"/>
    <col min="8969" max="8969" width="2.5703125" style="224" bestFit="1" customWidth="1"/>
    <col min="8970" max="8970" width="9.140625" style="224"/>
    <col min="8971" max="8971" width="9" style="224" customWidth="1"/>
    <col min="8972" max="9216" width="9.140625" style="224"/>
    <col min="9217" max="9217" width="2.5703125" style="224" customWidth="1"/>
    <col min="9218" max="9218" width="4.42578125" style="224" customWidth="1"/>
    <col min="9219" max="9219" width="43.7109375" style="224" customWidth="1"/>
    <col min="9220" max="9220" width="6.28515625" style="224" customWidth="1"/>
    <col min="9221" max="9221" width="7.5703125" style="224" customWidth="1"/>
    <col min="9222" max="9222" width="9.5703125" style="224" customWidth="1"/>
    <col min="9223" max="9223" width="13.28515625" style="224" customWidth="1"/>
    <col min="9224" max="9224" width="9.85546875" style="224" customWidth="1"/>
    <col min="9225" max="9225" width="2.5703125" style="224" bestFit="1" customWidth="1"/>
    <col min="9226" max="9226" width="9.140625" style="224"/>
    <col min="9227" max="9227" width="9" style="224" customWidth="1"/>
    <col min="9228" max="9472" width="9.140625" style="224"/>
    <col min="9473" max="9473" width="2.5703125" style="224" customWidth="1"/>
    <col min="9474" max="9474" width="4.42578125" style="224" customWidth="1"/>
    <col min="9475" max="9475" width="43.7109375" style="224" customWidth="1"/>
    <col min="9476" max="9476" width="6.28515625" style="224" customWidth="1"/>
    <col min="9477" max="9477" width="7.5703125" style="224" customWidth="1"/>
    <col min="9478" max="9478" width="9.5703125" style="224" customWidth="1"/>
    <col min="9479" max="9479" width="13.28515625" style="224" customWidth="1"/>
    <col min="9480" max="9480" width="9.85546875" style="224" customWidth="1"/>
    <col min="9481" max="9481" width="2.5703125" style="224" bestFit="1" customWidth="1"/>
    <col min="9482" max="9482" width="9.140625" style="224"/>
    <col min="9483" max="9483" width="9" style="224" customWidth="1"/>
    <col min="9484" max="9728" width="9.140625" style="224"/>
    <col min="9729" max="9729" width="2.5703125" style="224" customWidth="1"/>
    <col min="9730" max="9730" width="4.42578125" style="224" customWidth="1"/>
    <col min="9731" max="9731" width="43.7109375" style="224" customWidth="1"/>
    <col min="9732" max="9732" width="6.28515625" style="224" customWidth="1"/>
    <col min="9733" max="9733" width="7.5703125" style="224" customWidth="1"/>
    <col min="9734" max="9734" width="9.5703125" style="224" customWidth="1"/>
    <col min="9735" max="9735" width="13.28515625" style="224" customWidth="1"/>
    <col min="9736" max="9736" width="9.85546875" style="224" customWidth="1"/>
    <col min="9737" max="9737" width="2.5703125" style="224" bestFit="1" customWidth="1"/>
    <col min="9738" max="9738" width="9.140625" style="224"/>
    <col min="9739" max="9739" width="9" style="224" customWidth="1"/>
    <col min="9740" max="9984" width="9.140625" style="224"/>
    <col min="9985" max="9985" width="2.5703125" style="224" customWidth="1"/>
    <col min="9986" max="9986" width="4.42578125" style="224" customWidth="1"/>
    <col min="9987" max="9987" width="43.7109375" style="224" customWidth="1"/>
    <col min="9988" max="9988" width="6.28515625" style="224" customWidth="1"/>
    <col min="9989" max="9989" width="7.5703125" style="224" customWidth="1"/>
    <col min="9990" max="9990" width="9.5703125" style="224" customWidth="1"/>
    <col min="9991" max="9991" width="13.28515625" style="224" customWidth="1"/>
    <col min="9992" max="9992" width="9.85546875" style="224" customWidth="1"/>
    <col min="9993" max="9993" width="2.5703125" style="224" bestFit="1" customWidth="1"/>
    <col min="9994" max="9994" width="9.140625" style="224"/>
    <col min="9995" max="9995" width="9" style="224" customWidth="1"/>
    <col min="9996" max="10240" width="9.140625" style="224"/>
    <col min="10241" max="10241" width="2.5703125" style="224" customWidth="1"/>
    <col min="10242" max="10242" width="4.42578125" style="224" customWidth="1"/>
    <col min="10243" max="10243" width="43.7109375" style="224" customWidth="1"/>
    <col min="10244" max="10244" width="6.28515625" style="224" customWidth="1"/>
    <col min="10245" max="10245" width="7.5703125" style="224" customWidth="1"/>
    <col min="10246" max="10246" width="9.5703125" style="224" customWidth="1"/>
    <col min="10247" max="10247" width="13.28515625" style="224" customWidth="1"/>
    <col min="10248" max="10248" width="9.85546875" style="224" customWidth="1"/>
    <col min="10249" max="10249" width="2.5703125" style="224" bestFit="1" customWidth="1"/>
    <col min="10250" max="10250" width="9.140625" style="224"/>
    <col min="10251" max="10251" width="9" style="224" customWidth="1"/>
    <col min="10252" max="10496" width="9.140625" style="224"/>
    <col min="10497" max="10497" width="2.5703125" style="224" customWidth="1"/>
    <col min="10498" max="10498" width="4.42578125" style="224" customWidth="1"/>
    <col min="10499" max="10499" width="43.7109375" style="224" customWidth="1"/>
    <col min="10500" max="10500" width="6.28515625" style="224" customWidth="1"/>
    <col min="10501" max="10501" width="7.5703125" style="224" customWidth="1"/>
    <col min="10502" max="10502" width="9.5703125" style="224" customWidth="1"/>
    <col min="10503" max="10503" width="13.28515625" style="224" customWidth="1"/>
    <col min="10504" max="10504" width="9.85546875" style="224" customWidth="1"/>
    <col min="10505" max="10505" width="2.5703125" style="224" bestFit="1" customWidth="1"/>
    <col min="10506" max="10506" width="9.140625" style="224"/>
    <col min="10507" max="10507" width="9" style="224" customWidth="1"/>
    <col min="10508" max="10752" width="9.140625" style="224"/>
    <col min="10753" max="10753" width="2.5703125" style="224" customWidth="1"/>
    <col min="10754" max="10754" width="4.42578125" style="224" customWidth="1"/>
    <col min="10755" max="10755" width="43.7109375" style="224" customWidth="1"/>
    <col min="10756" max="10756" width="6.28515625" style="224" customWidth="1"/>
    <col min="10757" max="10757" width="7.5703125" style="224" customWidth="1"/>
    <col min="10758" max="10758" width="9.5703125" style="224" customWidth="1"/>
    <col min="10759" max="10759" width="13.28515625" style="224" customWidth="1"/>
    <col min="10760" max="10760" width="9.85546875" style="224" customWidth="1"/>
    <col min="10761" max="10761" width="2.5703125" style="224" bestFit="1" customWidth="1"/>
    <col min="10762" max="10762" width="9.140625" style="224"/>
    <col min="10763" max="10763" width="9" style="224" customWidth="1"/>
    <col min="10764" max="11008" width="9.140625" style="224"/>
    <col min="11009" max="11009" width="2.5703125" style="224" customWidth="1"/>
    <col min="11010" max="11010" width="4.42578125" style="224" customWidth="1"/>
    <col min="11011" max="11011" width="43.7109375" style="224" customWidth="1"/>
    <col min="11012" max="11012" width="6.28515625" style="224" customWidth="1"/>
    <col min="11013" max="11013" width="7.5703125" style="224" customWidth="1"/>
    <col min="11014" max="11014" width="9.5703125" style="224" customWidth="1"/>
    <col min="11015" max="11015" width="13.28515625" style="224" customWidth="1"/>
    <col min="11016" max="11016" width="9.85546875" style="224" customWidth="1"/>
    <col min="11017" max="11017" width="2.5703125" style="224" bestFit="1" customWidth="1"/>
    <col min="11018" max="11018" width="9.140625" style="224"/>
    <col min="11019" max="11019" width="9" style="224" customWidth="1"/>
    <col min="11020" max="11264" width="9.140625" style="224"/>
    <col min="11265" max="11265" width="2.5703125" style="224" customWidth="1"/>
    <col min="11266" max="11266" width="4.42578125" style="224" customWidth="1"/>
    <col min="11267" max="11267" width="43.7109375" style="224" customWidth="1"/>
    <col min="11268" max="11268" width="6.28515625" style="224" customWidth="1"/>
    <col min="11269" max="11269" width="7.5703125" style="224" customWidth="1"/>
    <col min="11270" max="11270" width="9.5703125" style="224" customWidth="1"/>
    <col min="11271" max="11271" width="13.28515625" style="224" customWidth="1"/>
    <col min="11272" max="11272" width="9.85546875" style="224" customWidth="1"/>
    <col min="11273" max="11273" width="2.5703125" style="224" bestFit="1" customWidth="1"/>
    <col min="11274" max="11274" width="9.140625" style="224"/>
    <col min="11275" max="11275" width="9" style="224" customWidth="1"/>
    <col min="11276" max="11520" width="9.140625" style="224"/>
    <col min="11521" max="11521" width="2.5703125" style="224" customWidth="1"/>
    <col min="11522" max="11522" width="4.42578125" style="224" customWidth="1"/>
    <col min="11523" max="11523" width="43.7109375" style="224" customWidth="1"/>
    <col min="11524" max="11524" width="6.28515625" style="224" customWidth="1"/>
    <col min="11525" max="11525" width="7.5703125" style="224" customWidth="1"/>
    <col min="11526" max="11526" width="9.5703125" style="224" customWidth="1"/>
    <col min="11527" max="11527" width="13.28515625" style="224" customWidth="1"/>
    <col min="11528" max="11528" width="9.85546875" style="224" customWidth="1"/>
    <col min="11529" max="11529" width="2.5703125" style="224" bestFit="1" customWidth="1"/>
    <col min="11530" max="11530" width="9.140625" style="224"/>
    <col min="11531" max="11531" width="9" style="224" customWidth="1"/>
    <col min="11532" max="11776" width="9.140625" style="224"/>
    <col min="11777" max="11777" width="2.5703125" style="224" customWidth="1"/>
    <col min="11778" max="11778" width="4.42578125" style="224" customWidth="1"/>
    <col min="11779" max="11779" width="43.7109375" style="224" customWidth="1"/>
    <col min="11780" max="11780" width="6.28515625" style="224" customWidth="1"/>
    <col min="11781" max="11781" width="7.5703125" style="224" customWidth="1"/>
    <col min="11782" max="11782" width="9.5703125" style="224" customWidth="1"/>
    <col min="11783" max="11783" width="13.28515625" style="224" customWidth="1"/>
    <col min="11784" max="11784" width="9.85546875" style="224" customWidth="1"/>
    <col min="11785" max="11785" width="2.5703125" style="224" bestFit="1" customWidth="1"/>
    <col min="11786" max="11786" width="9.140625" style="224"/>
    <col min="11787" max="11787" width="9" style="224" customWidth="1"/>
    <col min="11788" max="12032" width="9.140625" style="224"/>
    <col min="12033" max="12033" width="2.5703125" style="224" customWidth="1"/>
    <col min="12034" max="12034" width="4.42578125" style="224" customWidth="1"/>
    <col min="12035" max="12035" width="43.7109375" style="224" customWidth="1"/>
    <col min="12036" max="12036" width="6.28515625" style="224" customWidth="1"/>
    <col min="12037" max="12037" width="7.5703125" style="224" customWidth="1"/>
    <col min="12038" max="12038" width="9.5703125" style="224" customWidth="1"/>
    <col min="12039" max="12039" width="13.28515625" style="224" customWidth="1"/>
    <col min="12040" max="12040" width="9.85546875" style="224" customWidth="1"/>
    <col min="12041" max="12041" width="2.5703125" style="224" bestFit="1" customWidth="1"/>
    <col min="12042" max="12042" width="9.140625" style="224"/>
    <col min="12043" max="12043" width="9" style="224" customWidth="1"/>
    <col min="12044" max="12288" width="9.140625" style="224"/>
    <col min="12289" max="12289" width="2.5703125" style="224" customWidth="1"/>
    <col min="12290" max="12290" width="4.42578125" style="224" customWidth="1"/>
    <col min="12291" max="12291" width="43.7109375" style="224" customWidth="1"/>
    <col min="12292" max="12292" width="6.28515625" style="224" customWidth="1"/>
    <col min="12293" max="12293" width="7.5703125" style="224" customWidth="1"/>
    <col min="12294" max="12294" width="9.5703125" style="224" customWidth="1"/>
    <col min="12295" max="12295" width="13.28515625" style="224" customWidth="1"/>
    <col min="12296" max="12296" width="9.85546875" style="224" customWidth="1"/>
    <col min="12297" max="12297" width="2.5703125" style="224" bestFit="1" customWidth="1"/>
    <col min="12298" max="12298" width="9.140625" style="224"/>
    <col min="12299" max="12299" width="9" style="224" customWidth="1"/>
    <col min="12300" max="12544" width="9.140625" style="224"/>
    <col min="12545" max="12545" width="2.5703125" style="224" customWidth="1"/>
    <col min="12546" max="12546" width="4.42578125" style="224" customWidth="1"/>
    <col min="12547" max="12547" width="43.7109375" style="224" customWidth="1"/>
    <col min="12548" max="12548" width="6.28515625" style="224" customWidth="1"/>
    <col min="12549" max="12549" width="7.5703125" style="224" customWidth="1"/>
    <col min="12550" max="12550" width="9.5703125" style="224" customWidth="1"/>
    <col min="12551" max="12551" width="13.28515625" style="224" customWidth="1"/>
    <col min="12552" max="12552" width="9.85546875" style="224" customWidth="1"/>
    <col min="12553" max="12553" width="2.5703125" style="224" bestFit="1" customWidth="1"/>
    <col min="12554" max="12554" width="9.140625" style="224"/>
    <col min="12555" max="12555" width="9" style="224" customWidth="1"/>
    <col min="12556" max="12800" width="9.140625" style="224"/>
    <col min="12801" max="12801" width="2.5703125" style="224" customWidth="1"/>
    <col min="12802" max="12802" width="4.42578125" style="224" customWidth="1"/>
    <col min="12803" max="12803" width="43.7109375" style="224" customWidth="1"/>
    <col min="12804" max="12804" width="6.28515625" style="224" customWidth="1"/>
    <col min="12805" max="12805" width="7.5703125" style="224" customWidth="1"/>
    <col min="12806" max="12806" width="9.5703125" style="224" customWidth="1"/>
    <col min="12807" max="12807" width="13.28515625" style="224" customWidth="1"/>
    <col min="12808" max="12808" width="9.85546875" style="224" customWidth="1"/>
    <col min="12809" max="12809" width="2.5703125" style="224" bestFit="1" customWidth="1"/>
    <col min="12810" max="12810" width="9.140625" style="224"/>
    <col min="12811" max="12811" width="9" style="224" customWidth="1"/>
    <col min="12812" max="13056" width="9.140625" style="224"/>
    <col min="13057" max="13057" width="2.5703125" style="224" customWidth="1"/>
    <col min="13058" max="13058" width="4.42578125" style="224" customWidth="1"/>
    <col min="13059" max="13059" width="43.7109375" style="224" customWidth="1"/>
    <col min="13060" max="13060" width="6.28515625" style="224" customWidth="1"/>
    <col min="13061" max="13061" width="7.5703125" style="224" customWidth="1"/>
    <col min="13062" max="13062" width="9.5703125" style="224" customWidth="1"/>
    <col min="13063" max="13063" width="13.28515625" style="224" customWidth="1"/>
    <col min="13064" max="13064" width="9.85546875" style="224" customWidth="1"/>
    <col min="13065" max="13065" width="2.5703125" style="224" bestFit="1" customWidth="1"/>
    <col min="13066" max="13066" width="9.140625" style="224"/>
    <col min="13067" max="13067" width="9" style="224" customWidth="1"/>
    <col min="13068" max="13312" width="9.140625" style="224"/>
    <col min="13313" max="13313" width="2.5703125" style="224" customWidth="1"/>
    <col min="13314" max="13314" width="4.42578125" style="224" customWidth="1"/>
    <col min="13315" max="13315" width="43.7109375" style="224" customWidth="1"/>
    <col min="13316" max="13316" width="6.28515625" style="224" customWidth="1"/>
    <col min="13317" max="13317" width="7.5703125" style="224" customWidth="1"/>
    <col min="13318" max="13318" width="9.5703125" style="224" customWidth="1"/>
    <col min="13319" max="13319" width="13.28515625" style="224" customWidth="1"/>
    <col min="13320" max="13320" width="9.85546875" style="224" customWidth="1"/>
    <col min="13321" max="13321" width="2.5703125" style="224" bestFit="1" customWidth="1"/>
    <col min="13322" max="13322" width="9.140625" style="224"/>
    <col min="13323" max="13323" width="9" style="224" customWidth="1"/>
    <col min="13324" max="13568" width="9.140625" style="224"/>
    <col min="13569" max="13569" width="2.5703125" style="224" customWidth="1"/>
    <col min="13570" max="13570" width="4.42578125" style="224" customWidth="1"/>
    <col min="13571" max="13571" width="43.7109375" style="224" customWidth="1"/>
    <col min="13572" max="13572" width="6.28515625" style="224" customWidth="1"/>
    <col min="13573" max="13573" width="7.5703125" style="224" customWidth="1"/>
    <col min="13574" max="13574" width="9.5703125" style="224" customWidth="1"/>
    <col min="13575" max="13575" width="13.28515625" style="224" customWidth="1"/>
    <col min="13576" max="13576" width="9.85546875" style="224" customWidth="1"/>
    <col min="13577" max="13577" width="2.5703125" style="224" bestFit="1" customWidth="1"/>
    <col min="13578" max="13578" width="9.140625" style="224"/>
    <col min="13579" max="13579" width="9" style="224" customWidth="1"/>
    <col min="13580" max="13824" width="9.140625" style="224"/>
    <col min="13825" max="13825" width="2.5703125" style="224" customWidth="1"/>
    <col min="13826" max="13826" width="4.42578125" style="224" customWidth="1"/>
    <col min="13827" max="13827" width="43.7109375" style="224" customWidth="1"/>
    <col min="13828" max="13828" width="6.28515625" style="224" customWidth="1"/>
    <col min="13829" max="13829" width="7.5703125" style="224" customWidth="1"/>
    <col min="13830" max="13830" width="9.5703125" style="224" customWidth="1"/>
    <col min="13831" max="13831" width="13.28515625" style="224" customWidth="1"/>
    <col min="13832" max="13832" width="9.85546875" style="224" customWidth="1"/>
    <col min="13833" max="13833" width="2.5703125" style="224" bestFit="1" customWidth="1"/>
    <col min="13834" max="13834" width="9.140625" style="224"/>
    <col min="13835" max="13835" width="9" style="224" customWidth="1"/>
    <col min="13836" max="14080" width="9.140625" style="224"/>
    <col min="14081" max="14081" width="2.5703125" style="224" customWidth="1"/>
    <col min="14082" max="14082" width="4.42578125" style="224" customWidth="1"/>
    <col min="14083" max="14083" width="43.7109375" style="224" customWidth="1"/>
    <col min="14084" max="14084" width="6.28515625" style="224" customWidth="1"/>
    <col min="14085" max="14085" width="7.5703125" style="224" customWidth="1"/>
    <col min="14086" max="14086" width="9.5703125" style="224" customWidth="1"/>
    <col min="14087" max="14087" width="13.28515625" style="224" customWidth="1"/>
    <col min="14088" max="14088" width="9.85546875" style="224" customWidth="1"/>
    <col min="14089" max="14089" width="2.5703125" style="224" bestFit="1" customWidth="1"/>
    <col min="14090" max="14090" width="9.140625" style="224"/>
    <col min="14091" max="14091" width="9" style="224" customWidth="1"/>
    <col min="14092" max="14336" width="9.140625" style="224"/>
    <col min="14337" max="14337" width="2.5703125" style="224" customWidth="1"/>
    <col min="14338" max="14338" width="4.42578125" style="224" customWidth="1"/>
    <col min="14339" max="14339" width="43.7109375" style="224" customWidth="1"/>
    <col min="14340" max="14340" width="6.28515625" style="224" customWidth="1"/>
    <col min="14341" max="14341" width="7.5703125" style="224" customWidth="1"/>
    <col min="14342" max="14342" width="9.5703125" style="224" customWidth="1"/>
    <col min="14343" max="14343" width="13.28515625" style="224" customWidth="1"/>
    <col min="14344" max="14344" width="9.85546875" style="224" customWidth="1"/>
    <col min="14345" max="14345" width="2.5703125" style="224" bestFit="1" customWidth="1"/>
    <col min="14346" max="14346" width="9.140625" style="224"/>
    <col min="14347" max="14347" width="9" style="224" customWidth="1"/>
    <col min="14348" max="14592" width="9.140625" style="224"/>
    <col min="14593" max="14593" width="2.5703125" style="224" customWidth="1"/>
    <col min="14594" max="14594" width="4.42578125" style="224" customWidth="1"/>
    <col min="14595" max="14595" width="43.7109375" style="224" customWidth="1"/>
    <col min="14596" max="14596" width="6.28515625" style="224" customWidth="1"/>
    <col min="14597" max="14597" width="7.5703125" style="224" customWidth="1"/>
    <col min="14598" max="14598" width="9.5703125" style="224" customWidth="1"/>
    <col min="14599" max="14599" width="13.28515625" style="224" customWidth="1"/>
    <col min="14600" max="14600" width="9.85546875" style="224" customWidth="1"/>
    <col min="14601" max="14601" width="2.5703125" style="224" bestFit="1" customWidth="1"/>
    <col min="14602" max="14602" width="9.140625" style="224"/>
    <col min="14603" max="14603" width="9" style="224" customWidth="1"/>
    <col min="14604" max="14848" width="9.140625" style="224"/>
    <col min="14849" max="14849" width="2.5703125" style="224" customWidth="1"/>
    <col min="14850" max="14850" width="4.42578125" style="224" customWidth="1"/>
    <col min="14851" max="14851" width="43.7109375" style="224" customWidth="1"/>
    <col min="14852" max="14852" width="6.28515625" style="224" customWidth="1"/>
    <col min="14853" max="14853" width="7.5703125" style="224" customWidth="1"/>
    <col min="14854" max="14854" width="9.5703125" style="224" customWidth="1"/>
    <col min="14855" max="14855" width="13.28515625" style="224" customWidth="1"/>
    <col min="14856" max="14856" width="9.85546875" style="224" customWidth="1"/>
    <col min="14857" max="14857" width="2.5703125" style="224" bestFit="1" customWidth="1"/>
    <col min="14858" max="14858" width="9.140625" style="224"/>
    <col min="14859" max="14859" width="9" style="224" customWidth="1"/>
    <col min="14860" max="15104" width="9.140625" style="224"/>
    <col min="15105" max="15105" width="2.5703125" style="224" customWidth="1"/>
    <col min="15106" max="15106" width="4.42578125" style="224" customWidth="1"/>
    <col min="15107" max="15107" width="43.7109375" style="224" customWidth="1"/>
    <col min="15108" max="15108" width="6.28515625" style="224" customWidth="1"/>
    <col min="15109" max="15109" width="7.5703125" style="224" customWidth="1"/>
    <col min="15110" max="15110" width="9.5703125" style="224" customWidth="1"/>
    <col min="15111" max="15111" width="13.28515625" style="224" customWidth="1"/>
    <col min="15112" max="15112" width="9.85546875" style="224" customWidth="1"/>
    <col min="15113" max="15113" width="2.5703125" style="224" bestFit="1" customWidth="1"/>
    <col min="15114" max="15114" width="9.140625" style="224"/>
    <col min="15115" max="15115" width="9" style="224" customWidth="1"/>
    <col min="15116" max="15360" width="9.140625" style="224"/>
    <col min="15361" max="15361" width="2.5703125" style="224" customWidth="1"/>
    <col min="15362" max="15362" width="4.42578125" style="224" customWidth="1"/>
    <col min="15363" max="15363" width="43.7109375" style="224" customWidth="1"/>
    <col min="15364" max="15364" width="6.28515625" style="224" customWidth="1"/>
    <col min="15365" max="15365" width="7.5703125" style="224" customWidth="1"/>
    <col min="15366" max="15366" width="9.5703125" style="224" customWidth="1"/>
    <col min="15367" max="15367" width="13.28515625" style="224" customWidth="1"/>
    <col min="15368" max="15368" width="9.85546875" style="224" customWidth="1"/>
    <col min="15369" max="15369" width="2.5703125" style="224" bestFit="1" customWidth="1"/>
    <col min="15370" max="15370" width="9.140625" style="224"/>
    <col min="15371" max="15371" width="9" style="224" customWidth="1"/>
    <col min="15372" max="15616" width="9.140625" style="224"/>
    <col min="15617" max="15617" width="2.5703125" style="224" customWidth="1"/>
    <col min="15618" max="15618" width="4.42578125" style="224" customWidth="1"/>
    <col min="15619" max="15619" width="43.7109375" style="224" customWidth="1"/>
    <col min="15620" max="15620" width="6.28515625" style="224" customWidth="1"/>
    <col min="15621" max="15621" width="7.5703125" style="224" customWidth="1"/>
    <col min="15622" max="15622" width="9.5703125" style="224" customWidth="1"/>
    <col min="15623" max="15623" width="13.28515625" style="224" customWidth="1"/>
    <col min="15624" max="15624" width="9.85546875" style="224" customWidth="1"/>
    <col min="15625" max="15625" width="2.5703125" style="224" bestFit="1" customWidth="1"/>
    <col min="15626" max="15626" width="9.140625" style="224"/>
    <col min="15627" max="15627" width="9" style="224" customWidth="1"/>
    <col min="15628" max="15872" width="9.140625" style="224"/>
    <col min="15873" max="15873" width="2.5703125" style="224" customWidth="1"/>
    <col min="15874" max="15874" width="4.42578125" style="224" customWidth="1"/>
    <col min="15875" max="15875" width="43.7109375" style="224" customWidth="1"/>
    <col min="15876" max="15876" width="6.28515625" style="224" customWidth="1"/>
    <col min="15877" max="15877" width="7.5703125" style="224" customWidth="1"/>
    <col min="15878" max="15878" width="9.5703125" style="224" customWidth="1"/>
    <col min="15879" max="15879" width="13.28515625" style="224" customWidth="1"/>
    <col min="15880" max="15880" width="9.85546875" style="224" customWidth="1"/>
    <col min="15881" max="15881" width="2.5703125" style="224" bestFit="1" customWidth="1"/>
    <col min="15882" max="15882" width="9.140625" style="224"/>
    <col min="15883" max="15883" width="9" style="224" customWidth="1"/>
    <col min="15884" max="16128" width="9.140625" style="224"/>
    <col min="16129" max="16129" width="2.5703125" style="224" customWidth="1"/>
    <col min="16130" max="16130" width="4.42578125" style="224" customWidth="1"/>
    <col min="16131" max="16131" width="43.7109375" style="224" customWidth="1"/>
    <col min="16132" max="16132" width="6.28515625" style="224" customWidth="1"/>
    <col min="16133" max="16133" width="7.5703125" style="224" customWidth="1"/>
    <col min="16134" max="16134" width="9.5703125" style="224" customWidth="1"/>
    <col min="16135" max="16135" width="13.28515625" style="224" customWidth="1"/>
    <col min="16136" max="16136" width="9.85546875" style="224" customWidth="1"/>
    <col min="16137" max="16137" width="2.5703125" style="224" bestFit="1" customWidth="1"/>
    <col min="16138" max="16138" width="9.140625" style="224"/>
    <col min="16139" max="16139" width="9" style="224" customWidth="1"/>
    <col min="16140" max="16384" width="9.140625" style="224"/>
  </cols>
  <sheetData>
    <row r="1" spans="1:11" s="213" customFormat="1" ht="18" x14ac:dyDescent="0.25">
      <c r="A1" s="753"/>
      <c r="B1" s="757"/>
      <c r="C1" s="753"/>
      <c r="E1" s="754"/>
      <c r="F1" s="1954"/>
      <c r="G1" s="755"/>
      <c r="H1" s="756"/>
    </row>
    <row r="2" spans="1:11" s="330" customFormat="1" ht="18" x14ac:dyDescent="0.25">
      <c r="A2" s="819" t="s">
        <v>1048</v>
      </c>
      <c r="B2" s="758"/>
      <c r="C2" s="759" t="s">
        <v>1102</v>
      </c>
      <c r="E2" s="760"/>
      <c r="F2" s="1955"/>
      <c r="G2" s="755"/>
      <c r="H2" s="762"/>
    </row>
    <row r="3" spans="1:11" ht="14.25" customHeight="1" x14ac:dyDescent="0.25">
      <c r="A3" s="763" t="s">
        <v>561</v>
      </c>
      <c r="B3" s="763"/>
      <c r="H3" s="2049"/>
    </row>
    <row r="4" spans="1:11" x14ac:dyDescent="0.25">
      <c r="C4" s="766"/>
      <c r="D4" s="763"/>
      <c r="E4" s="763"/>
      <c r="F4" s="1957"/>
      <c r="G4" s="763"/>
      <c r="H4" s="2049"/>
    </row>
    <row r="5" spans="1:11" ht="12.75" customHeight="1" x14ac:dyDescent="0.25">
      <c r="A5" s="763" t="s">
        <v>63</v>
      </c>
      <c r="B5" s="763"/>
      <c r="C5" s="766"/>
      <c r="D5" s="763"/>
      <c r="E5" s="763"/>
      <c r="F5" s="1957"/>
      <c r="G5" s="763"/>
      <c r="H5" s="767"/>
    </row>
    <row r="6" spans="1:11" s="230" customFormat="1" x14ac:dyDescent="0.25">
      <c r="A6" s="675" t="s">
        <v>26</v>
      </c>
      <c r="B6" s="675"/>
      <c r="C6" s="676" t="s">
        <v>27</v>
      </c>
      <c r="D6" s="675" t="s">
        <v>28</v>
      </c>
      <c r="E6" s="677" t="s">
        <v>29</v>
      </c>
      <c r="F6" s="1935" t="s">
        <v>30</v>
      </c>
      <c r="G6" s="678" t="s">
        <v>31</v>
      </c>
      <c r="H6" s="224"/>
      <c r="J6" s="231"/>
      <c r="K6" s="231"/>
    </row>
    <row r="7" spans="1:11" s="246" customFormat="1" ht="12" x14ac:dyDescent="0.25">
      <c r="A7" s="768"/>
      <c r="B7" s="769"/>
      <c r="C7" s="770"/>
      <c r="E7" s="771"/>
      <c r="F7" s="1957"/>
      <c r="G7" s="763"/>
    </row>
    <row r="8" spans="1:11" s="239" customFormat="1" ht="16.5" thickBot="1" x14ac:dyDescent="0.3">
      <c r="A8" s="772"/>
      <c r="B8" s="773" t="s">
        <v>20</v>
      </c>
      <c r="C8" s="774" t="s">
        <v>1011</v>
      </c>
      <c r="D8" s="235"/>
      <c r="E8" s="775"/>
      <c r="F8" s="1958"/>
      <c r="G8" s="1706"/>
    </row>
    <row r="9" spans="1:11" s="239" customFormat="1" ht="15.75" x14ac:dyDescent="0.25">
      <c r="A9" s="827"/>
      <c r="B9" s="828"/>
      <c r="C9" s="689" t="s">
        <v>1089</v>
      </c>
      <c r="E9" s="829"/>
      <c r="F9" s="1969"/>
      <c r="G9" s="780"/>
    </row>
    <row r="10" spans="1:11" x14ac:dyDescent="0.25">
      <c r="A10" s="777"/>
      <c r="B10" s="778"/>
      <c r="C10" s="692"/>
      <c r="E10" s="779"/>
      <c r="G10" s="780"/>
    </row>
    <row r="11" spans="1:11" s="246" customFormat="1" ht="60" x14ac:dyDescent="0.2">
      <c r="A11" s="781" t="s">
        <v>20</v>
      </c>
      <c r="B11" s="817">
        <f>COUNT($A$10:B10)+1</f>
        <v>1</v>
      </c>
      <c r="C11" s="782" t="s">
        <v>1090</v>
      </c>
      <c r="D11" s="695" t="s">
        <v>65</v>
      </c>
      <c r="E11" s="696">
        <v>165</v>
      </c>
      <c r="F11" s="1959"/>
      <c r="G11" s="783">
        <f>ROUND(E11*F11,2)</f>
        <v>0</v>
      </c>
      <c r="H11" s="783"/>
      <c r="I11" s="249"/>
      <c r="J11" s="250"/>
      <c r="K11" s="224"/>
    </row>
    <row r="12" spans="1:11" s="246" customFormat="1" x14ac:dyDescent="0.2">
      <c r="A12" s="781"/>
      <c r="B12" s="817"/>
      <c r="C12" s="782"/>
      <c r="D12" s="695"/>
      <c r="E12" s="696"/>
      <c r="F12" s="1970"/>
      <c r="G12" s="783"/>
      <c r="H12" s="783"/>
      <c r="I12" s="249"/>
      <c r="J12" s="250"/>
      <c r="K12" s="224"/>
    </row>
    <row r="13" spans="1:11" s="246" customFormat="1" ht="24" x14ac:dyDescent="0.2">
      <c r="A13" s="781" t="s">
        <v>20</v>
      </c>
      <c r="B13" s="817">
        <f>COUNT($A$10:B12)+1</f>
        <v>2</v>
      </c>
      <c r="C13" s="782" t="s">
        <v>1091</v>
      </c>
      <c r="D13" s="695" t="s">
        <v>65</v>
      </c>
      <c r="E13" s="696">
        <v>61</v>
      </c>
      <c r="F13" s="1959"/>
      <c r="G13" s="783">
        <f>ROUND(E13*F13,2)</f>
        <v>0</v>
      </c>
      <c r="H13" s="783"/>
      <c r="I13" s="249"/>
      <c r="J13" s="250"/>
      <c r="K13" s="224"/>
    </row>
    <row r="14" spans="1:11" s="246" customFormat="1" x14ac:dyDescent="0.2">
      <c r="A14" s="781"/>
      <c r="B14" s="817"/>
      <c r="C14" s="708"/>
      <c r="D14" s="260"/>
      <c r="E14" s="786"/>
      <c r="F14" s="1970"/>
      <c r="G14" s="783"/>
      <c r="H14" s="783"/>
      <c r="I14" s="249"/>
      <c r="J14" s="250"/>
      <c r="K14" s="644"/>
    </row>
    <row r="15" spans="1:11" s="246" customFormat="1" ht="26.25" customHeight="1" x14ac:dyDescent="0.2">
      <c r="A15" s="781" t="s">
        <v>20</v>
      </c>
      <c r="B15" s="817">
        <f>COUNT($A$10:B14)+1</f>
        <v>3</v>
      </c>
      <c r="C15" s="782" t="s">
        <v>1092</v>
      </c>
      <c r="D15" s="695" t="s">
        <v>39</v>
      </c>
      <c r="E15" s="696">
        <v>31</v>
      </c>
      <c r="F15" s="1959"/>
      <c r="G15" s="783">
        <f>ROUND(E15*F15,2)</f>
        <v>0</v>
      </c>
      <c r="H15" s="783"/>
      <c r="I15" s="249"/>
      <c r="J15" s="250"/>
      <c r="K15" s="644"/>
    </row>
    <row r="16" spans="1:11" s="246" customFormat="1" ht="12.75" customHeight="1" x14ac:dyDescent="0.2">
      <c r="A16" s="781"/>
      <c r="B16" s="817"/>
      <c r="C16" s="782"/>
      <c r="D16" s="695"/>
      <c r="E16" s="696"/>
      <c r="F16" s="1970"/>
      <c r="G16" s="783"/>
      <c r="H16" s="783"/>
      <c r="I16" s="249"/>
      <c r="J16" s="250"/>
      <c r="K16" s="644"/>
    </row>
    <row r="17" spans="1:256" s="246" customFormat="1" ht="26.25" customHeight="1" x14ac:dyDescent="0.25">
      <c r="A17" s="781" t="s">
        <v>20</v>
      </c>
      <c r="B17" s="817">
        <f>COUNT($A$10:B16)+1</f>
        <v>4</v>
      </c>
      <c r="C17" s="782" t="s">
        <v>1093</v>
      </c>
      <c r="D17" s="695" t="s">
        <v>39</v>
      </c>
      <c r="E17" s="696">
        <v>26</v>
      </c>
      <c r="F17" s="1959"/>
      <c r="G17" s="783">
        <f>ROUND(E17*F17,2)</f>
        <v>0</v>
      </c>
      <c r="H17" s="783"/>
      <c r="I17" s="781"/>
      <c r="J17" s="817"/>
      <c r="K17" s="782"/>
      <c r="L17" s="695"/>
      <c r="M17" s="696"/>
      <c r="N17" s="831"/>
      <c r="O17" s="783"/>
      <c r="P17" s="783"/>
      <c r="Q17" s="781"/>
      <c r="R17" s="817"/>
      <c r="S17" s="782"/>
      <c r="T17" s="695"/>
      <c r="U17" s="696"/>
      <c r="V17" s="831"/>
      <c r="W17" s="783"/>
      <c r="X17" s="783"/>
      <c r="Y17" s="781"/>
      <c r="Z17" s="817"/>
      <c r="AA17" s="782"/>
      <c r="AB17" s="695"/>
      <c r="AC17" s="696"/>
      <c r="AD17" s="831"/>
      <c r="AE17" s="783"/>
      <c r="AF17" s="783"/>
      <c r="AG17" s="781"/>
      <c r="AH17" s="817"/>
      <c r="AI17" s="782"/>
      <c r="AJ17" s="695"/>
      <c r="AK17" s="696"/>
      <c r="AL17" s="831"/>
      <c r="AM17" s="783"/>
      <c r="AN17" s="783"/>
      <c r="AO17" s="781"/>
      <c r="AP17" s="817"/>
      <c r="AQ17" s="782"/>
      <c r="AR17" s="695"/>
      <c r="AS17" s="696"/>
      <c r="AT17" s="831"/>
      <c r="AU17" s="783"/>
      <c r="AV17" s="783"/>
      <c r="AW17" s="781"/>
      <c r="AX17" s="817"/>
      <c r="AY17" s="782"/>
      <c r="AZ17" s="695"/>
      <c r="BA17" s="696"/>
      <c r="BB17" s="831"/>
      <c r="BC17" s="783"/>
      <c r="BD17" s="783"/>
      <c r="BE17" s="781"/>
      <c r="BF17" s="817"/>
      <c r="BG17" s="782"/>
      <c r="BH17" s="695"/>
      <c r="BI17" s="696"/>
      <c r="BJ17" s="831"/>
      <c r="BK17" s="783"/>
      <c r="BL17" s="783"/>
      <c r="BM17" s="781"/>
      <c r="BN17" s="817"/>
      <c r="BO17" s="782"/>
      <c r="BP17" s="695"/>
      <c r="BQ17" s="696"/>
      <c r="BR17" s="831"/>
      <c r="BS17" s="783"/>
      <c r="BT17" s="783"/>
      <c r="BU17" s="781"/>
      <c r="BV17" s="817"/>
      <c r="BW17" s="782"/>
      <c r="BX17" s="695"/>
      <c r="BY17" s="696"/>
      <c r="BZ17" s="831"/>
      <c r="CA17" s="783"/>
      <c r="CB17" s="783"/>
      <c r="CC17" s="781"/>
      <c r="CD17" s="817"/>
      <c r="CE17" s="782"/>
      <c r="CF17" s="695"/>
      <c r="CG17" s="696"/>
      <c r="CH17" s="831"/>
      <c r="CI17" s="783"/>
      <c r="CJ17" s="783"/>
      <c r="CK17" s="781"/>
      <c r="CL17" s="817"/>
      <c r="CM17" s="782"/>
      <c r="CN17" s="695"/>
      <c r="CO17" s="696"/>
      <c r="CP17" s="831"/>
      <c r="CQ17" s="783"/>
      <c r="CR17" s="783"/>
      <c r="CS17" s="781"/>
      <c r="CT17" s="817"/>
      <c r="CU17" s="782"/>
      <c r="CV17" s="695"/>
      <c r="CW17" s="696"/>
      <c r="CX17" s="831"/>
      <c r="CY17" s="783"/>
      <c r="CZ17" s="783"/>
      <c r="DA17" s="781"/>
      <c r="DB17" s="817"/>
      <c r="DC17" s="782"/>
      <c r="DD17" s="695"/>
      <c r="DE17" s="696"/>
      <c r="DF17" s="831"/>
      <c r="DG17" s="783"/>
      <c r="DH17" s="783"/>
      <c r="DI17" s="781"/>
      <c r="DJ17" s="817"/>
      <c r="DK17" s="782"/>
      <c r="DL17" s="695"/>
      <c r="DM17" s="696"/>
      <c r="DN17" s="831"/>
      <c r="DO17" s="783"/>
      <c r="DP17" s="783"/>
      <c r="DQ17" s="781"/>
      <c r="DR17" s="817"/>
      <c r="DS17" s="782"/>
      <c r="DT17" s="695"/>
      <c r="DU17" s="696"/>
      <c r="DV17" s="831"/>
      <c r="DW17" s="783"/>
      <c r="DX17" s="783"/>
      <c r="DY17" s="781"/>
      <c r="DZ17" s="817"/>
      <c r="EA17" s="782"/>
      <c r="EB17" s="695"/>
      <c r="EC17" s="696"/>
      <c r="ED17" s="831"/>
      <c r="EE17" s="783"/>
      <c r="EF17" s="783"/>
      <c r="EG17" s="781"/>
      <c r="EH17" s="817"/>
      <c r="EI17" s="782"/>
      <c r="EJ17" s="695"/>
      <c r="EK17" s="696"/>
      <c r="EL17" s="831"/>
      <c r="EM17" s="783"/>
      <c r="EN17" s="783"/>
      <c r="EO17" s="781"/>
      <c r="EP17" s="817"/>
      <c r="EQ17" s="782"/>
      <c r="ER17" s="695"/>
      <c r="ES17" s="696"/>
      <c r="ET17" s="831"/>
      <c r="EU17" s="783"/>
      <c r="EV17" s="783"/>
      <c r="EW17" s="781"/>
      <c r="EX17" s="817"/>
      <c r="EY17" s="782"/>
      <c r="EZ17" s="695"/>
      <c r="FA17" s="696"/>
      <c r="FB17" s="831"/>
      <c r="FC17" s="783"/>
      <c r="FD17" s="783"/>
      <c r="FE17" s="781"/>
      <c r="FF17" s="817"/>
      <c r="FG17" s="782"/>
      <c r="FH17" s="695"/>
      <c r="FI17" s="696"/>
      <c r="FJ17" s="831"/>
      <c r="FK17" s="783"/>
      <c r="FL17" s="783"/>
      <c r="FM17" s="781"/>
      <c r="FN17" s="817"/>
      <c r="FO17" s="782"/>
      <c r="FP17" s="695"/>
      <c r="FQ17" s="696"/>
      <c r="FR17" s="831"/>
      <c r="FS17" s="783"/>
      <c r="FT17" s="783"/>
      <c r="FU17" s="781"/>
      <c r="FV17" s="817"/>
      <c r="FW17" s="782"/>
      <c r="FX17" s="695"/>
      <c r="FY17" s="696"/>
      <c r="FZ17" s="831"/>
      <c r="GA17" s="783"/>
      <c r="GB17" s="783"/>
      <c r="GC17" s="781"/>
      <c r="GD17" s="817"/>
      <c r="GE17" s="782"/>
      <c r="GF17" s="695"/>
      <c r="GG17" s="696"/>
      <c r="GH17" s="831"/>
      <c r="GI17" s="783"/>
      <c r="GJ17" s="783"/>
      <c r="GK17" s="781"/>
      <c r="GL17" s="817"/>
      <c r="GM17" s="782"/>
      <c r="GN17" s="695"/>
      <c r="GO17" s="696"/>
      <c r="GP17" s="831"/>
      <c r="GQ17" s="783"/>
      <c r="GR17" s="783"/>
      <c r="GS17" s="781"/>
      <c r="GT17" s="817"/>
      <c r="GU17" s="782"/>
      <c r="GV17" s="695"/>
      <c r="GW17" s="696"/>
      <c r="GX17" s="831"/>
      <c r="GY17" s="783"/>
      <c r="GZ17" s="783"/>
      <c r="HA17" s="781"/>
      <c r="HB17" s="817"/>
      <c r="HC17" s="782"/>
      <c r="HD17" s="695"/>
      <c r="HE17" s="696"/>
      <c r="HF17" s="831"/>
      <c r="HG17" s="783"/>
      <c r="HH17" s="783"/>
      <c r="HI17" s="781"/>
      <c r="HJ17" s="817"/>
      <c r="HK17" s="782"/>
      <c r="HL17" s="695"/>
      <c r="HM17" s="696"/>
      <c r="HN17" s="831"/>
      <c r="HO17" s="783"/>
      <c r="HP17" s="783"/>
      <c r="HQ17" s="781"/>
      <c r="HR17" s="817"/>
      <c r="HS17" s="782"/>
      <c r="HT17" s="695"/>
      <c r="HU17" s="696"/>
      <c r="HV17" s="831"/>
      <c r="HW17" s="783"/>
      <c r="HX17" s="783"/>
      <c r="HY17" s="781"/>
      <c r="HZ17" s="817"/>
      <c r="IA17" s="782"/>
      <c r="IB17" s="695"/>
      <c r="IC17" s="696"/>
      <c r="ID17" s="831"/>
      <c r="IE17" s="783"/>
      <c r="IF17" s="783"/>
      <c r="IG17" s="781"/>
      <c r="IH17" s="817"/>
      <c r="II17" s="782"/>
      <c r="IJ17" s="695"/>
      <c r="IK17" s="696"/>
      <c r="IL17" s="831"/>
      <c r="IM17" s="783"/>
      <c r="IN17" s="783"/>
      <c r="IO17" s="781"/>
      <c r="IP17" s="817"/>
      <c r="IQ17" s="782"/>
      <c r="IR17" s="695"/>
      <c r="IS17" s="696"/>
      <c r="IT17" s="831"/>
      <c r="IU17" s="783"/>
      <c r="IV17" s="783"/>
    </row>
    <row r="18" spans="1:256" s="246" customFormat="1" x14ac:dyDescent="0.2">
      <c r="A18" s="781"/>
      <c r="B18" s="769"/>
      <c r="C18" s="708"/>
      <c r="D18" s="260"/>
      <c r="E18" s="786"/>
      <c r="F18" s="1970"/>
      <c r="G18" s="783"/>
      <c r="H18" s="783"/>
      <c r="I18" s="249"/>
      <c r="J18" s="250"/>
      <c r="K18" s="644"/>
    </row>
    <row r="19" spans="1:256" s="246" customFormat="1" ht="24" x14ac:dyDescent="0.2">
      <c r="A19" s="781" t="s">
        <v>20</v>
      </c>
      <c r="B19" s="817">
        <f>COUNT($A$10:B18)+1</f>
        <v>5</v>
      </c>
      <c r="C19" s="782" t="s">
        <v>1094</v>
      </c>
      <c r="D19" s="695" t="s">
        <v>39</v>
      </c>
      <c r="E19" s="696">
        <v>1</v>
      </c>
      <c r="F19" s="1959"/>
      <c r="G19" s="783">
        <f>ROUND(E19*F19,2)</f>
        <v>0</v>
      </c>
      <c r="H19" s="783"/>
      <c r="I19" s="249"/>
      <c r="J19" s="250"/>
      <c r="K19" s="251"/>
    </row>
    <row r="20" spans="1:256" s="246" customFormat="1" x14ac:dyDescent="0.2">
      <c r="A20" s="781"/>
      <c r="B20" s="817"/>
      <c r="C20" s="782"/>
      <c r="D20" s="695"/>
      <c r="E20" s="696"/>
      <c r="F20" s="1970"/>
      <c r="G20" s="783"/>
      <c r="H20" s="783"/>
      <c r="I20" s="249"/>
      <c r="J20" s="250"/>
      <c r="K20" s="251"/>
    </row>
    <row r="21" spans="1:256" s="246" customFormat="1" ht="24" x14ac:dyDescent="0.2">
      <c r="A21" s="781" t="s">
        <v>20</v>
      </c>
      <c r="B21" s="817">
        <f>COUNT($A$10:B20)+1</f>
        <v>6</v>
      </c>
      <c r="C21" s="782" t="s">
        <v>1095</v>
      </c>
      <c r="D21" s="695" t="s">
        <v>39</v>
      </c>
      <c r="E21" s="696">
        <v>1</v>
      </c>
      <c r="F21" s="1959"/>
      <c r="G21" s="783">
        <f>ROUND(E21*F21,2)</f>
        <v>0</v>
      </c>
      <c r="H21" s="783"/>
      <c r="I21" s="249"/>
      <c r="J21" s="250"/>
      <c r="K21" s="251"/>
    </row>
    <row r="22" spans="1:256" s="246" customFormat="1" x14ac:dyDescent="0.2">
      <c r="A22" s="781"/>
      <c r="B22" s="769"/>
      <c r="C22" s="713"/>
      <c r="D22" s="260"/>
      <c r="E22" s="786"/>
      <c r="F22" s="1970"/>
      <c r="G22" s="783"/>
      <c r="H22" s="783"/>
      <c r="I22" s="249"/>
      <c r="J22" s="250"/>
      <c r="K22" s="251"/>
    </row>
    <row r="23" spans="1:256" s="246" customFormat="1" ht="24" x14ac:dyDescent="0.2">
      <c r="A23" s="781" t="s">
        <v>20</v>
      </c>
      <c r="B23" s="817">
        <f>COUNT($A$10:B19)+1</f>
        <v>6</v>
      </c>
      <c r="C23" s="782" t="s">
        <v>1096</v>
      </c>
      <c r="D23" s="695" t="s">
        <v>39</v>
      </c>
      <c r="E23" s="696">
        <v>39</v>
      </c>
      <c r="F23" s="1959"/>
      <c r="G23" s="783">
        <f>ROUND(E23*F23,2)</f>
        <v>0</v>
      </c>
      <c r="H23" s="783"/>
      <c r="I23" s="249"/>
      <c r="J23" s="250"/>
      <c r="K23" s="251"/>
    </row>
    <row r="24" spans="1:256" s="246" customFormat="1" x14ac:dyDescent="0.2">
      <c r="A24" s="781"/>
      <c r="B24" s="769"/>
      <c r="C24" s="713"/>
      <c r="D24" s="260"/>
      <c r="E24" s="786"/>
      <c r="F24" s="1970"/>
      <c r="G24" s="783"/>
      <c r="H24" s="783"/>
      <c r="I24" s="249"/>
      <c r="J24" s="250"/>
      <c r="K24" s="251"/>
    </row>
    <row r="25" spans="1:256" s="246" customFormat="1" ht="24" x14ac:dyDescent="0.2">
      <c r="A25" s="781" t="s">
        <v>20</v>
      </c>
      <c r="B25" s="817">
        <f>COUNT($A$10:B23)+1</f>
        <v>8</v>
      </c>
      <c r="C25" s="782" t="s">
        <v>1097</v>
      </c>
      <c r="D25" s="695" t="s">
        <v>39</v>
      </c>
      <c r="E25" s="696">
        <v>6</v>
      </c>
      <c r="F25" s="1959"/>
      <c r="G25" s="783">
        <f>ROUND(E25*F25,2)</f>
        <v>0</v>
      </c>
      <c r="H25" s="783"/>
      <c r="I25" s="249"/>
      <c r="J25" s="250"/>
      <c r="K25" s="251"/>
    </row>
    <row r="26" spans="1:256" s="246" customFormat="1" x14ac:dyDescent="0.2">
      <c r="A26" s="781"/>
      <c r="B26" s="769"/>
      <c r="C26" s="708"/>
      <c r="D26" s="695"/>
      <c r="E26" s="696"/>
      <c r="F26" s="1970"/>
      <c r="G26" s="783"/>
      <c r="H26" s="783"/>
      <c r="I26" s="249"/>
      <c r="J26" s="250"/>
      <c r="K26" s="251"/>
    </row>
    <row r="27" spans="1:256" s="246" customFormat="1" ht="36" x14ac:dyDescent="0.2">
      <c r="A27" s="781" t="s">
        <v>20</v>
      </c>
      <c r="B27" s="817">
        <f>COUNT($A$10:B25)+1</f>
        <v>9</v>
      </c>
      <c r="C27" s="782" t="s">
        <v>1098</v>
      </c>
      <c r="D27" s="695" t="s">
        <v>65</v>
      </c>
      <c r="E27" s="696">
        <v>100</v>
      </c>
      <c r="F27" s="1959"/>
      <c r="G27" s="783">
        <f>ROUND(E27*F27,2)</f>
        <v>0</v>
      </c>
      <c r="H27" s="783"/>
      <c r="I27" s="249"/>
      <c r="J27" s="250"/>
      <c r="K27" s="251"/>
    </row>
    <row r="28" spans="1:256" s="246" customFormat="1" x14ac:dyDescent="0.2">
      <c r="A28" s="781"/>
      <c r="B28" s="769"/>
      <c r="C28" s="782"/>
      <c r="D28" s="695"/>
      <c r="E28" s="696"/>
      <c r="F28" s="1970"/>
      <c r="G28" s="783"/>
      <c r="H28" s="783"/>
      <c r="I28" s="249"/>
      <c r="J28" s="250"/>
      <c r="K28" s="251"/>
    </row>
    <row r="29" spans="1:256" s="246" customFormat="1" ht="51" customHeight="1" x14ac:dyDescent="0.2">
      <c r="A29" s="781" t="s">
        <v>20</v>
      </c>
      <c r="B29" s="817">
        <f>COUNT($A$10:B27)+1</f>
        <v>10</v>
      </c>
      <c r="C29" s="782" t="s">
        <v>1099</v>
      </c>
      <c r="D29" s="695" t="s">
        <v>39</v>
      </c>
      <c r="E29" s="696">
        <v>100</v>
      </c>
      <c r="F29" s="1959"/>
      <c r="G29" s="783">
        <f>ROUND(E29*F29,2)</f>
        <v>0</v>
      </c>
      <c r="H29" s="783"/>
      <c r="I29" s="249"/>
      <c r="J29" s="250"/>
      <c r="K29" s="251"/>
    </row>
    <row r="30" spans="1:256" s="246" customFormat="1" ht="11.25" customHeight="1" x14ac:dyDescent="0.2">
      <c r="A30" s="781"/>
      <c r="B30" s="817"/>
      <c r="C30" s="782"/>
      <c r="D30" s="695"/>
      <c r="E30" s="696"/>
      <c r="F30" s="1970"/>
      <c r="G30" s="783"/>
      <c r="H30" s="783"/>
      <c r="I30" s="249"/>
      <c r="J30" s="250"/>
      <c r="K30" s="251"/>
    </row>
    <row r="31" spans="1:256" s="369" customFormat="1" x14ac:dyDescent="0.2">
      <c r="A31" s="781" t="s">
        <v>20</v>
      </c>
      <c r="B31" s="817">
        <f>COUNT($A$10:B30)+1</f>
        <v>11</v>
      </c>
      <c r="C31" s="782" t="s">
        <v>1100</v>
      </c>
      <c r="D31" s="695" t="s">
        <v>39</v>
      </c>
      <c r="E31" s="696">
        <v>6</v>
      </c>
      <c r="F31" s="1959"/>
      <c r="G31" s="783">
        <f>ROUND(E31*F31,2)</f>
        <v>0</v>
      </c>
      <c r="H31" s="783"/>
      <c r="I31" s="249"/>
      <c r="J31" s="250"/>
      <c r="K31" s="251"/>
    </row>
    <row r="32" spans="1:256" s="633" customFormat="1" ht="15" x14ac:dyDescent="0.2">
      <c r="A32" s="781"/>
      <c r="B32" s="817"/>
      <c r="C32" s="713"/>
      <c r="D32" s="260"/>
      <c r="E32" s="786"/>
      <c r="F32" s="1959"/>
      <c r="G32" s="783"/>
      <c r="H32" s="248"/>
      <c r="I32" s="249"/>
      <c r="J32" s="250"/>
      <c r="K32" s="251"/>
    </row>
    <row r="33" spans="1:11" s="616" customFormat="1" ht="14.25" customHeight="1" x14ac:dyDescent="0.2">
      <c r="A33" s="781" t="s">
        <v>20</v>
      </c>
      <c r="B33" s="817">
        <f>COUNT($A$10:B32)+1</f>
        <v>12</v>
      </c>
      <c r="C33" s="782" t="s">
        <v>1101</v>
      </c>
      <c r="D33" s="695" t="s">
        <v>58</v>
      </c>
      <c r="E33" s="696">
        <v>1</v>
      </c>
      <c r="F33" s="1959"/>
      <c r="G33" s="783">
        <f>ROUND(E33*F33,2)</f>
        <v>0</v>
      </c>
      <c r="H33" s="783"/>
      <c r="I33" s="249"/>
      <c r="J33" s="250"/>
      <c r="K33" s="251"/>
    </row>
    <row r="34" spans="1:11" s="616" customFormat="1" ht="14.25" customHeight="1" x14ac:dyDescent="0.2">
      <c r="A34" s="781"/>
      <c r="B34" s="817"/>
      <c r="C34" s="782"/>
      <c r="D34" s="695"/>
      <c r="E34" s="696"/>
      <c r="F34" s="1959"/>
      <c r="G34" s="783"/>
      <c r="H34" s="248"/>
      <c r="I34" s="249"/>
      <c r="J34" s="250"/>
      <c r="K34" s="251"/>
    </row>
    <row r="35" spans="1:11" s="369" customFormat="1" ht="13.5" thickBot="1" x14ac:dyDescent="0.3">
      <c r="A35" s="366"/>
      <c r="B35" s="366"/>
      <c r="C35" s="366"/>
      <c r="D35" s="366"/>
      <c r="E35" s="366"/>
      <c r="F35" s="1961"/>
      <c r="G35" s="792"/>
    </row>
    <row r="36" spans="1:11" s="369" customFormat="1" ht="13.5" thickBot="1" x14ac:dyDescent="0.3">
      <c r="A36" s="790"/>
      <c r="B36" s="791"/>
      <c r="C36" s="366" t="str">
        <f>CONCATENATE(B8," ",C8," - SKUPAJ:")</f>
        <v>I. ELEKTRO DEL - SKUPAJ:</v>
      </c>
      <c r="D36" s="366"/>
      <c r="E36" s="366"/>
      <c r="F36" s="1961"/>
      <c r="G36" s="792">
        <f>ROUND(SUM(G11:G33),2)</f>
        <v>0</v>
      </c>
    </row>
    <row r="37" spans="1:11" s="720" customFormat="1" ht="19.5" thickBot="1" x14ac:dyDescent="0.3">
      <c r="A37" s="797"/>
      <c r="B37" s="797"/>
      <c r="C37" s="797"/>
      <c r="D37" s="796"/>
      <c r="E37" s="797"/>
      <c r="F37" s="1962"/>
      <c r="G37" s="1720"/>
    </row>
    <row r="38" spans="1:11" s="616" customFormat="1" ht="14.25" customHeight="1" thickBot="1" x14ac:dyDescent="0.3">
      <c r="A38" s="793" t="str">
        <f>CONCATENATE("DELNA REKAPITULACIJA - ",A2,C2)</f>
        <v>DELNA REKAPITULACIJA - 4.4STRELOVOD NA NOVIH OBJEKTIH</v>
      </c>
      <c r="B38" s="793"/>
      <c r="C38" s="793"/>
      <c r="D38" s="793"/>
      <c r="E38" s="793"/>
      <c r="F38" s="1971"/>
      <c r="G38" s="1721"/>
    </row>
    <row r="39" spans="1:11" s="616" customFormat="1" ht="12.75" customHeight="1" x14ac:dyDescent="0.25">
      <c r="A39" s="799"/>
      <c r="B39" s="799"/>
      <c r="C39" s="800"/>
      <c r="D39" s="803"/>
      <c r="E39" s="803"/>
      <c r="F39" s="1964"/>
      <c r="G39" s="787"/>
    </row>
    <row r="40" spans="1:11" s="369" customFormat="1" x14ac:dyDescent="0.25">
      <c r="A40" s="763" t="s">
        <v>1044</v>
      </c>
      <c r="B40" s="803"/>
      <c r="C40" s="804"/>
      <c r="E40" s="627"/>
      <c r="F40" s="1949"/>
      <c r="G40" s="730"/>
      <c r="H40" s="616"/>
      <c r="J40" s="628"/>
      <c r="K40" s="628"/>
    </row>
    <row r="41" spans="1:11" s="616" customFormat="1" x14ac:dyDescent="0.25">
      <c r="A41" s="725"/>
      <c r="B41" s="725"/>
      <c r="C41" s="727"/>
      <c r="D41" s="727"/>
      <c r="E41" s="728"/>
      <c r="F41" s="1948"/>
      <c r="G41" s="1367"/>
    </row>
    <row r="42" spans="1:11" s="616" customFormat="1" x14ac:dyDescent="0.25">
      <c r="A42" s="625"/>
      <c r="B42" s="625"/>
      <c r="C42" s="369"/>
      <c r="D42" s="369"/>
      <c r="E42" s="627"/>
      <c r="F42" s="1949"/>
      <c r="G42" s="730"/>
    </row>
    <row r="43" spans="1:11" s="375" customFormat="1" x14ac:dyDescent="0.25">
      <c r="A43" s="805"/>
      <c r="B43" s="809" t="str">
        <f>+B8</f>
        <v>I.</v>
      </c>
      <c r="C43" s="371" t="str">
        <f>+C8</f>
        <v>ELEKTRO DEL</v>
      </c>
      <c r="E43" s="744"/>
      <c r="F43" s="1966"/>
      <c r="G43" s="730">
        <f>ROUND(G36,2)</f>
        <v>0</v>
      </c>
    </row>
    <row r="44" spans="1:11" s="375" customFormat="1" x14ac:dyDescent="0.25">
      <c r="A44" s="809"/>
      <c r="E44" s="744"/>
      <c r="F44" s="1966"/>
      <c r="G44" s="730"/>
    </row>
    <row r="45" spans="1:11" s="375" customFormat="1" x14ac:dyDescent="0.25">
      <c r="A45" s="736"/>
      <c r="B45" s="736"/>
      <c r="C45" s="743" t="str">
        <f>CONCATENATE(A2," ",C2," - SKUPAJ:")</f>
        <v>4.4 STRELOVOD NA NOVIH OBJEKTIH - SKUPAJ:</v>
      </c>
      <c r="D45" s="744"/>
      <c r="E45" s="744"/>
      <c r="F45" s="1966"/>
      <c r="G45" s="730">
        <f>ROUND(G43,2)</f>
        <v>0</v>
      </c>
    </row>
    <row r="46" spans="1:11" s="616" customFormat="1" x14ac:dyDescent="0.25">
      <c r="A46" s="815"/>
      <c r="B46" s="815"/>
      <c r="E46" s="816"/>
      <c r="F46" s="1965"/>
      <c r="G46" s="803"/>
    </row>
    <row r="47" spans="1:11" s="246" customFormat="1" x14ac:dyDescent="0.25">
      <c r="A47" s="616"/>
      <c r="B47" s="616"/>
      <c r="C47" s="806"/>
      <c r="E47" s="771"/>
      <c r="F47" s="1957"/>
      <c r="G47" s="763"/>
    </row>
    <row r="48" spans="1:11" s="246" customFormat="1" ht="12" x14ac:dyDescent="0.25">
      <c r="C48" s="817"/>
      <c r="E48" s="771"/>
      <c r="F48" s="1957"/>
      <c r="G48" s="763"/>
    </row>
    <row r="49" spans="3:7" s="246" customFormat="1" ht="12" x14ac:dyDescent="0.25">
      <c r="C49" s="817"/>
      <c r="E49" s="771"/>
      <c r="F49" s="1957"/>
      <c r="G49" s="763"/>
    </row>
    <row r="50" spans="3:7" s="246" customFormat="1" ht="12" x14ac:dyDescent="0.25">
      <c r="C50" s="817"/>
      <c r="E50" s="771"/>
      <c r="F50" s="1957"/>
      <c r="G50" s="763"/>
    </row>
    <row r="51" spans="3:7" s="246" customFormat="1" ht="12" x14ac:dyDescent="0.25">
      <c r="C51" s="817"/>
      <c r="E51" s="771"/>
      <c r="F51" s="1957"/>
      <c r="G51" s="763"/>
    </row>
    <row r="52" spans="3:7" s="246" customFormat="1" ht="12" x14ac:dyDescent="0.25">
      <c r="C52" s="817"/>
      <c r="E52" s="771"/>
      <c r="F52" s="1957"/>
      <c r="G52" s="763"/>
    </row>
    <row r="53" spans="3:7" s="246" customFormat="1" ht="12" x14ac:dyDescent="0.25">
      <c r="C53" s="817"/>
      <c r="E53" s="771"/>
      <c r="F53" s="1957"/>
      <c r="G53" s="763"/>
    </row>
    <row r="54" spans="3:7" s="246" customFormat="1" ht="12" x14ac:dyDescent="0.25">
      <c r="C54" s="817"/>
      <c r="E54" s="771"/>
      <c r="F54" s="1957"/>
      <c r="G54" s="763"/>
    </row>
    <row r="55" spans="3:7" s="246" customFormat="1" ht="12" x14ac:dyDescent="0.25">
      <c r="C55" s="817"/>
      <c r="E55" s="771"/>
      <c r="F55" s="1957"/>
      <c r="G55" s="763"/>
    </row>
    <row r="56" spans="3:7" s="246" customFormat="1" ht="12" x14ac:dyDescent="0.25">
      <c r="C56" s="817"/>
      <c r="E56" s="771"/>
      <c r="F56" s="1957"/>
      <c r="G56" s="763"/>
    </row>
    <row r="57" spans="3:7" s="246" customFormat="1" ht="12" x14ac:dyDescent="0.25">
      <c r="C57" s="817"/>
      <c r="E57" s="771"/>
      <c r="F57" s="1957"/>
      <c r="G57" s="763"/>
    </row>
    <row r="58" spans="3:7" s="246" customFormat="1" ht="12" x14ac:dyDescent="0.25">
      <c r="C58" s="817"/>
      <c r="E58" s="771"/>
      <c r="F58" s="1957"/>
      <c r="G58" s="763"/>
    </row>
    <row r="59" spans="3:7" s="246" customFormat="1" ht="12" x14ac:dyDescent="0.25">
      <c r="C59" s="817"/>
      <c r="E59" s="771"/>
      <c r="F59" s="1957"/>
      <c r="G59" s="763"/>
    </row>
    <row r="60" spans="3:7" s="246" customFormat="1" ht="12" x14ac:dyDescent="0.25">
      <c r="C60" s="817"/>
      <c r="E60" s="771"/>
      <c r="F60" s="1957"/>
      <c r="G60" s="763"/>
    </row>
    <row r="61" spans="3:7" s="246" customFormat="1" ht="12" x14ac:dyDescent="0.25">
      <c r="C61" s="817"/>
      <c r="E61" s="771"/>
      <c r="F61" s="1957"/>
      <c r="G61" s="763"/>
    </row>
    <row r="62" spans="3:7" s="246" customFormat="1" ht="12" x14ac:dyDescent="0.25">
      <c r="C62" s="817"/>
      <c r="E62" s="771"/>
      <c r="F62" s="1957"/>
      <c r="G62" s="763"/>
    </row>
    <row r="63" spans="3:7" s="246" customFormat="1" ht="12" x14ac:dyDescent="0.25">
      <c r="C63" s="817"/>
      <c r="E63" s="771"/>
      <c r="F63" s="1957"/>
      <c r="G63" s="763"/>
    </row>
    <row r="64" spans="3:7" s="246" customFormat="1" ht="12" x14ac:dyDescent="0.25">
      <c r="C64" s="817"/>
      <c r="E64" s="771"/>
      <c r="F64" s="1957"/>
      <c r="G64" s="763"/>
    </row>
    <row r="65" spans="3:7" s="246" customFormat="1" ht="12" x14ac:dyDescent="0.25">
      <c r="C65" s="817"/>
      <c r="E65" s="771"/>
      <c r="F65" s="1957"/>
      <c r="G65" s="763"/>
    </row>
    <row r="66" spans="3:7" s="246" customFormat="1" ht="12" x14ac:dyDescent="0.25">
      <c r="C66" s="817"/>
      <c r="E66" s="771"/>
      <c r="F66" s="1957"/>
      <c r="G66" s="763"/>
    </row>
    <row r="67" spans="3:7" s="246" customFormat="1" ht="12" x14ac:dyDescent="0.25">
      <c r="C67" s="817"/>
      <c r="E67" s="771"/>
      <c r="F67" s="1957"/>
      <c r="G67" s="763"/>
    </row>
    <row r="68" spans="3:7" s="246" customFormat="1" ht="12" x14ac:dyDescent="0.25">
      <c r="C68" s="817"/>
      <c r="E68" s="771"/>
      <c r="F68" s="1957"/>
      <c r="G68" s="763"/>
    </row>
    <row r="69" spans="3:7" s="246" customFormat="1" ht="12" x14ac:dyDescent="0.25">
      <c r="C69" s="817"/>
      <c r="E69" s="771"/>
      <c r="F69" s="1957"/>
      <c r="G69" s="763"/>
    </row>
    <row r="70" spans="3:7" s="246" customFormat="1" ht="12" x14ac:dyDescent="0.25">
      <c r="C70" s="817"/>
      <c r="E70" s="771"/>
      <c r="F70" s="1957"/>
      <c r="G70" s="763"/>
    </row>
    <row r="71" spans="3:7" s="246" customFormat="1" ht="12" x14ac:dyDescent="0.25">
      <c r="C71" s="817"/>
      <c r="E71" s="771"/>
      <c r="F71" s="1957"/>
      <c r="G71" s="763"/>
    </row>
    <row r="72" spans="3:7" s="246" customFormat="1" ht="12" x14ac:dyDescent="0.25">
      <c r="C72" s="817"/>
      <c r="E72" s="771"/>
      <c r="F72" s="1957"/>
      <c r="G72" s="763"/>
    </row>
    <row r="73" spans="3:7" s="246" customFormat="1" ht="12" x14ac:dyDescent="0.25">
      <c r="C73" s="817"/>
      <c r="E73" s="771"/>
      <c r="F73" s="1957"/>
      <c r="G73" s="763"/>
    </row>
    <row r="74" spans="3:7" s="246" customFormat="1" ht="12" x14ac:dyDescent="0.25">
      <c r="C74" s="817"/>
      <c r="E74" s="771"/>
      <c r="F74" s="1957"/>
      <c r="G74" s="763"/>
    </row>
    <row r="75" spans="3:7" s="246" customFormat="1" ht="12" x14ac:dyDescent="0.25">
      <c r="C75" s="817"/>
      <c r="E75" s="771"/>
      <c r="F75" s="1957"/>
      <c r="G75" s="763"/>
    </row>
    <row r="76" spans="3:7" s="246" customFormat="1" ht="12" x14ac:dyDescent="0.25">
      <c r="C76" s="817"/>
      <c r="E76" s="771"/>
      <c r="F76" s="1957"/>
      <c r="G76" s="763"/>
    </row>
    <row r="77" spans="3:7" s="246" customFormat="1" ht="12" x14ac:dyDescent="0.25">
      <c r="C77" s="817"/>
      <c r="E77" s="771"/>
      <c r="F77" s="1957"/>
      <c r="G77" s="763"/>
    </row>
    <row r="78" spans="3:7" s="246" customFormat="1" ht="12" x14ac:dyDescent="0.25">
      <c r="C78" s="817"/>
      <c r="E78" s="771"/>
      <c r="F78" s="1957"/>
      <c r="G78" s="763"/>
    </row>
    <row r="79" spans="3:7" s="246" customFormat="1" ht="12" x14ac:dyDescent="0.25">
      <c r="C79" s="817"/>
      <c r="E79" s="771"/>
      <c r="F79" s="1957"/>
      <c r="G79" s="763"/>
    </row>
    <row r="80" spans="3:7" s="246" customFormat="1" ht="12" x14ac:dyDescent="0.25">
      <c r="C80" s="817"/>
      <c r="E80" s="771"/>
      <c r="F80" s="1957"/>
      <c r="G80" s="763"/>
    </row>
    <row r="81" spans="3:7" s="246" customFormat="1" ht="12" x14ac:dyDescent="0.25">
      <c r="C81" s="817"/>
      <c r="E81" s="771"/>
      <c r="F81" s="1957"/>
      <c r="G81" s="763"/>
    </row>
    <row r="82" spans="3:7" s="246" customFormat="1" ht="12" x14ac:dyDescent="0.25">
      <c r="C82" s="817"/>
      <c r="E82" s="771"/>
      <c r="F82" s="1957"/>
      <c r="G82" s="763"/>
    </row>
    <row r="83" spans="3:7" s="246" customFormat="1" ht="12" x14ac:dyDescent="0.25">
      <c r="C83" s="817"/>
      <c r="E83" s="771"/>
      <c r="F83" s="1957"/>
      <c r="G83" s="763"/>
    </row>
    <row r="84" spans="3:7" s="246" customFormat="1" ht="12" x14ac:dyDescent="0.25">
      <c r="C84" s="817"/>
      <c r="E84" s="771"/>
      <c r="F84" s="1957"/>
      <c r="G84" s="763"/>
    </row>
    <row r="85" spans="3:7" s="246" customFormat="1" ht="12" x14ac:dyDescent="0.25">
      <c r="C85" s="817"/>
      <c r="E85" s="771"/>
      <c r="F85" s="1957"/>
      <c r="G85" s="763"/>
    </row>
    <row r="86" spans="3:7" s="246" customFormat="1" ht="12" x14ac:dyDescent="0.25">
      <c r="C86" s="817"/>
      <c r="E86" s="771"/>
      <c r="F86" s="1957"/>
      <c r="G86" s="763"/>
    </row>
    <row r="87" spans="3:7" s="246" customFormat="1" ht="12" x14ac:dyDescent="0.25">
      <c r="C87" s="817"/>
      <c r="E87" s="771"/>
      <c r="F87" s="1957"/>
      <c r="G87" s="763"/>
    </row>
    <row r="88" spans="3:7" s="246" customFormat="1" ht="12" x14ac:dyDescent="0.25">
      <c r="C88" s="817"/>
      <c r="E88" s="771"/>
      <c r="F88" s="1957"/>
      <c r="G88" s="763"/>
    </row>
    <row r="89" spans="3:7" s="246" customFormat="1" ht="12" x14ac:dyDescent="0.25">
      <c r="C89" s="817"/>
      <c r="E89" s="771"/>
      <c r="F89" s="1957"/>
      <c r="G89" s="763"/>
    </row>
    <row r="90" spans="3:7" s="246" customFormat="1" ht="12" x14ac:dyDescent="0.25">
      <c r="C90" s="817"/>
      <c r="E90" s="771"/>
      <c r="F90" s="1957"/>
      <c r="G90" s="763"/>
    </row>
    <row r="91" spans="3:7" s="246" customFormat="1" ht="12" x14ac:dyDescent="0.25">
      <c r="C91" s="817"/>
      <c r="E91" s="771"/>
      <c r="F91" s="1957"/>
      <c r="G91" s="763"/>
    </row>
    <row r="92" spans="3:7" s="246" customFormat="1" ht="12" x14ac:dyDescent="0.25">
      <c r="C92" s="817"/>
      <c r="E92" s="771"/>
      <c r="F92" s="1957"/>
      <c r="G92" s="763"/>
    </row>
    <row r="93" spans="3:7" s="246" customFormat="1" ht="12" x14ac:dyDescent="0.25">
      <c r="C93" s="817"/>
      <c r="E93" s="771"/>
      <c r="F93" s="1957"/>
      <c r="G93" s="763"/>
    </row>
    <row r="94" spans="3:7" s="246" customFormat="1" ht="12" x14ac:dyDescent="0.25">
      <c r="C94" s="817"/>
      <c r="E94" s="771"/>
      <c r="F94" s="1957"/>
      <c r="G94" s="763"/>
    </row>
    <row r="95" spans="3:7" s="246" customFormat="1" ht="12" x14ac:dyDescent="0.25">
      <c r="C95" s="817"/>
      <c r="E95" s="771"/>
      <c r="F95" s="1957"/>
      <c r="G95" s="763"/>
    </row>
    <row r="96" spans="3:7" s="246" customFormat="1" ht="12" x14ac:dyDescent="0.25">
      <c r="C96" s="817"/>
      <c r="E96" s="771"/>
      <c r="F96" s="1957"/>
      <c r="G96" s="763"/>
    </row>
    <row r="97" spans="3:7" s="246" customFormat="1" ht="12" x14ac:dyDescent="0.25">
      <c r="C97" s="817"/>
      <c r="E97" s="771"/>
      <c r="F97" s="1957"/>
      <c r="G97" s="763"/>
    </row>
    <row r="98" spans="3:7" s="246" customFormat="1" ht="12" x14ac:dyDescent="0.25">
      <c r="C98" s="817"/>
      <c r="E98" s="771"/>
      <c r="F98" s="1957"/>
      <c r="G98" s="763"/>
    </row>
    <row r="99" spans="3:7" s="246" customFormat="1" ht="12" x14ac:dyDescent="0.25">
      <c r="C99" s="817"/>
      <c r="E99" s="771"/>
      <c r="F99" s="1957"/>
      <c r="G99" s="763"/>
    </row>
    <row r="100" spans="3:7" s="246" customFormat="1" ht="12" x14ac:dyDescent="0.25">
      <c r="C100" s="817"/>
      <c r="E100" s="771"/>
      <c r="F100" s="1957"/>
      <c r="G100" s="763"/>
    </row>
    <row r="101" spans="3:7" s="246" customFormat="1" ht="12" x14ac:dyDescent="0.25">
      <c r="C101" s="817"/>
      <c r="E101" s="771"/>
      <c r="F101" s="1957"/>
      <c r="G101" s="763"/>
    </row>
    <row r="102" spans="3:7" s="246" customFormat="1" ht="12" x14ac:dyDescent="0.25">
      <c r="C102" s="817"/>
      <c r="E102" s="771"/>
      <c r="F102" s="1957"/>
      <c r="G102" s="763"/>
    </row>
    <row r="103" spans="3:7" s="246" customFormat="1" ht="12" x14ac:dyDescent="0.25">
      <c r="C103" s="817"/>
      <c r="E103" s="771"/>
      <c r="F103" s="1957"/>
      <c r="G103" s="763"/>
    </row>
    <row r="104" spans="3:7" s="246" customFormat="1" ht="12" x14ac:dyDescent="0.25">
      <c r="C104" s="817"/>
      <c r="E104" s="771"/>
      <c r="F104" s="1957"/>
      <c r="G104" s="763"/>
    </row>
    <row r="105" spans="3:7" s="246" customFormat="1" ht="12" x14ac:dyDescent="0.25">
      <c r="C105" s="817"/>
      <c r="E105" s="771"/>
      <c r="F105" s="1957"/>
      <c r="G105" s="763"/>
    </row>
    <row r="106" spans="3:7" s="246" customFormat="1" ht="12" x14ac:dyDescent="0.25">
      <c r="C106" s="817"/>
      <c r="E106" s="771"/>
      <c r="F106" s="1957"/>
      <c r="G106" s="763"/>
    </row>
    <row r="107" spans="3:7" s="246" customFormat="1" ht="12" x14ac:dyDescent="0.25">
      <c r="C107" s="817"/>
      <c r="E107" s="771"/>
      <c r="F107" s="1957"/>
      <c r="G107" s="763"/>
    </row>
    <row r="108" spans="3:7" s="246" customFormat="1" ht="12" x14ac:dyDescent="0.25">
      <c r="C108" s="817"/>
      <c r="E108" s="771"/>
      <c r="F108" s="1957"/>
      <c r="G108" s="763"/>
    </row>
    <row r="109" spans="3:7" s="246" customFormat="1" ht="12" x14ac:dyDescent="0.25">
      <c r="C109" s="817"/>
      <c r="E109" s="771"/>
      <c r="F109" s="1957"/>
      <c r="G109" s="763"/>
    </row>
    <row r="110" spans="3:7" s="246" customFormat="1" ht="12" x14ac:dyDescent="0.25">
      <c r="C110" s="817"/>
      <c r="E110" s="771"/>
      <c r="F110" s="1957"/>
      <c r="G110" s="763"/>
    </row>
    <row r="111" spans="3:7" s="246" customFormat="1" ht="12" x14ac:dyDescent="0.25">
      <c r="C111" s="817"/>
      <c r="E111" s="771"/>
      <c r="F111" s="1957"/>
      <c r="G111" s="763"/>
    </row>
    <row r="112" spans="3:7" s="246" customFormat="1" ht="12" x14ac:dyDescent="0.25">
      <c r="C112" s="817"/>
      <c r="E112" s="771"/>
      <c r="F112" s="1957"/>
      <c r="G112" s="763"/>
    </row>
    <row r="113" spans="3:7" s="246" customFormat="1" ht="12" x14ac:dyDescent="0.25">
      <c r="C113" s="817"/>
      <c r="E113" s="771"/>
      <c r="F113" s="1957"/>
      <c r="G113" s="763"/>
    </row>
    <row r="114" spans="3:7" s="246" customFormat="1" ht="12" x14ac:dyDescent="0.25">
      <c r="C114" s="817"/>
      <c r="E114" s="771"/>
      <c r="F114" s="1957"/>
      <c r="G114" s="763"/>
    </row>
    <row r="115" spans="3:7" s="246" customFormat="1" ht="12" x14ac:dyDescent="0.25">
      <c r="C115" s="817"/>
      <c r="E115" s="771"/>
      <c r="F115" s="1957"/>
      <c r="G115" s="763"/>
    </row>
    <row r="116" spans="3:7" s="246" customFormat="1" ht="12" x14ac:dyDescent="0.25">
      <c r="C116" s="817"/>
      <c r="E116" s="771"/>
      <c r="F116" s="1957"/>
      <c r="G116" s="763"/>
    </row>
    <row r="117" spans="3:7" s="246" customFormat="1" ht="12" x14ac:dyDescent="0.25">
      <c r="C117" s="817"/>
      <c r="E117" s="771"/>
      <c r="F117" s="1957"/>
      <c r="G117" s="763"/>
    </row>
    <row r="118" spans="3:7" s="246" customFormat="1" ht="12" x14ac:dyDescent="0.25">
      <c r="C118" s="817"/>
      <c r="E118" s="771"/>
      <c r="F118" s="1957"/>
      <c r="G118" s="763"/>
    </row>
    <row r="119" spans="3:7" s="246" customFormat="1" ht="12" x14ac:dyDescent="0.25">
      <c r="C119" s="817"/>
      <c r="E119" s="771"/>
      <c r="F119" s="1957"/>
      <c r="G119" s="763"/>
    </row>
    <row r="120" spans="3:7" s="246" customFormat="1" ht="12" x14ac:dyDescent="0.25">
      <c r="C120" s="817"/>
      <c r="E120" s="771"/>
      <c r="F120" s="1957"/>
      <c r="G120" s="763"/>
    </row>
    <row r="121" spans="3:7" s="246" customFormat="1" ht="12" x14ac:dyDescent="0.25">
      <c r="C121" s="817"/>
      <c r="E121" s="771"/>
      <c r="F121" s="1957"/>
      <c r="G121" s="763"/>
    </row>
    <row r="122" spans="3:7" s="246" customFormat="1" ht="12" x14ac:dyDescent="0.25">
      <c r="C122" s="817"/>
      <c r="E122" s="771"/>
      <c r="F122" s="1957"/>
      <c r="G122" s="763"/>
    </row>
    <row r="123" spans="3:7" s="246" customFormat="1" ht="12" x14ac:dyDescent="0.25">
      <c r="C123" s="817"/>
      <c r="E123" s="771"/>
      <c r="F123" s="1957"/>
      <c r="G123" s="763"/>
    </row>
    <row r="124" spans="3:7" s="246" customFormat="1" ht="12" x14ac:dyDescent="0.25">
      <c r="C124" s="817"/>
      <c r="E124" s="771"/>
      <c r="F124" s="1957"/>
      <c r="G124" s="763"/>
    </row>
    <row r="125" spans="3:7" s="246" customFormat="1" ht="12" x14ac:dyDescent="0.25">
      <c r="C125" s="817"/>
      <c r="E125" s="771"/>
      <c r="F125" s="1957"/>
      <c r="G125" s="763"/>
    </row>
    <row r="126" spans="3:7" s="246" customFormat="1" ht="12" x14ac:dyDescent="0.25">
      <c r="C126" s="817"/>
      <c r="E126" s="771"/>
      <c r="F126" s="1957"/>
      <c r="G126" s="763"/>
    </row>
    <row r="127" spans="3:7" s="246" customFormat="1" ht="12" x14ac:dyDescent="0.25">
      <c r="C127" s="817"/>
      <c r="E127" s="771"/>
      <c r="F127" s="1957"/>
      <c r="G127" s="763"/>
    </row>
    <row r="128" spans="3:7" s="246" customFormat="1" ht="12" x14ac:dyDescent="0.25">
      <c r="C128" s="817"/>
      <c r="E128" s="771"/>
      <c r="F128" s="1957"/>
      <c r="G128" s="763"/>
    </row>
    <row r="129" spans="3:7" s="246" customFormat="1" ht="12" x14ac:dyDescent="0.25">
      <c r="C129" s="817"/>
      <c r="E129" s="771"/>
      <c r="F129" s="1957"/>
      <c r="G129" s="763"/>
    </row>
    <row r="130" spans="3:7" s="246" customFormat="1" ht="12" x14ac:dyDescent="0.25">
      <c r="C130" s="817"/>
      <c r="E130" s="771"/>
      <c r="F130" s="1957"/>
      <c r="G130" s="763"/>
    </row>
    <row r="131" spans="3:7" s="246" customFormat="1" ht="12" x14ac:dyDescent="0.25">
      <c r="C131" s="817"/>
      <c r="E131" s="771"/>
      <c r="F131" s="1957"/>
      <c r="G131" s="763"/>
    </row>
    <row r="132" spans="3:7" s="246" customFormat="1" ht="12" x14ac:dyDescent="0.25">
      <c r="C132" s="817"/>
      <c r="E132" s="771"/>
      <c r="F132" s="1957"/>
      <c r="G132" s="763"/>
    </row>
    <row r="133" spans="3:7" s="246" customFormat="1" ht="12" x14ac:dyDescent="0.25">
      <c r="C133" s="817"/>
      <c r="E133" s="771"/>
      <c r="F133" s="1957"/>
      <c r="G133" s="763"/>
    </row>
    <row r="134" spans="3:7" s="246" customFormat="1" ht="12" x14ac:dyDescent="0.25">
      <c r="C134" s="817"/>
      <c r="E134" s="771"/>
      <c r="F134" s="1957"/>
      <c r="G134" s="763"/>
    </row>
    <row r="135" spans="3:7" s="246" customFormat="1" ht="12" x14ac:dyDescent="0.25">
      <c r="C135" s="817"/>
      <c r="E135" s="771"/>
      <c r="F135" s="1957"/>
      <c r="G135" s="763"/>
    </row>
    <row r="136" spans="3:7" s="246" customFormat="1" ht="12" x14ac:dyDescent="0.25">
      <c r="C136" s="817"/>
      <c r="E136" s="771"/>
      <c r="F136" s="1957"/>
      <c r="G136" s="763"/>
    </row>
    <row r="137" spans="3:7" s="246" customFormat="1" ht="12" x14ac:dyDescent="0.25">
      <c r="C137" s="817"/>
      <c r="E137" s="771"/>
      <c r="F137" s="1957"/>
      <c r="G137" s="763"/>
    </row>
    <row r="138" spans="3:7" s="246" customFormat="1" ht="12" x14ac:dyDescent="0.25">
      <c r="C138" s="817"/>
      <c r="E138" s="771"/>
      <c r="F138" s="1957"/>
      <c r="G138" s="763"/>
    </row>
    <row r="139" spans="3:7" s="246" customFormat="1" ht="12" x14ac:dyDescent="0.25">
      <c r="C139" s="817"/>
      <c r="E139" s="771"/>
      <c r="F139" s="1957"/>
      <c r="G139" s="763"/>
    </row>
    <row r="140" spans="3:7" s="246" customFormat="1" ht="12" x14ac:dyDescent="0.25">
      <c r="C140" s="817"/>
      <c r="E140" s="771"/>
      <c r="F140" s="1957"/>
      <c r="G140" s="763"/>
    </row>
    <row r="141" spans="3:7" s="246" customFormat="1" ht="12" x14ac:dyDescent="0.25">
      <c r="C141" s="817"/>
      <c r="E141" s="771"/>
      <c r="F141" s="1957"/>
      <c r="G141" s="763"/>
    </row>
    <row r="142" spans="3:7" s="246" customFormat="1" ht="12" x14ac:dyDescent="0.25">
      <c r="C142" s="817"/>
      <c r="E142" s="771"/>
      <c r="F142" s="1957"/>
      <c r="G142" s="763"/>
    </row>
    <row r="143" spans="3:7" s="246" customFormat="1" ht="12" x14ac:dyDescent="0.25">
      <c r="C143" s="817"/>
      <c r="E143" s="771"/>
      <c r="F143" s="1957"/>
      <c r="G143" s="763"/>
    </row>
    <row r="144" spans="3:7" s="246" customFormat="1" ht="12" x14ac:dyDescent="0.25">
      <c r="C144" s="817"/>
      <c r="E144" s="771"/>
      <c r="F144" s="1957"/>
      <c r="G144" s="763"/>
    </row>
    <row r="145" spans="1:7" s="246" customFormat="1" ht="12" x14ac:dyDescent="0.25">
      <c r="C145" s="817"/>
      <c r="E145" s="771"/>
      <c r="F145" s="1957"/>
      <c r="G145" s="763"/>
    </row>
    <row r="146" spans="1:7" s="246" customFormat="1" ht="12" x14ac:dyDescent="0.25">
      <c r="C146" s="817"/>
      <c r="E146" s="771"/>
      <c r="F146" s="1957"/>
      <c r="G146" s="763"/>
    </row>
    <row r="147" spans="1:7" s="246" customFormat="1" ht="12" x14ac:dyDescent="0.25">
      <c r="C147" s="817"/>
      <c r="E147" s="771"/>
      <c r="F147" s="1957"/>
      <c r="G147" s="763"/>
    </row>
    <row r="148" spans="1:7" s="246" customFormat="1" ht="12" x14ac:dyDescent="0.25">
      <c r="C148" s="817"/>
      <c r="E148" s="771"/>
      <c r="F148" s="1957"/>
      <c r="G148" s="763"/>
    </row>
    <row r="149" spans="1:7" s="246" customFormat="1" ht="12" x14ac:dyDescent="0.25">
      <c r="C149" s="817"/>
      <c r="E149" s="771"/>
      <c r="F149" s="1957"/>
      <c r="G149" s="763"/>
    </row>
    <row r="150" spans="1:7" x14ac:dyDescent="0.25">
      <c r="A150" s="246"/>
      <c r="B150" s="246"/>
      <c r="C150" s="817"/>
    </row>
  </sheetData>
  <sheetProtection algorithmName="SHA-512" hashValue="QVhQ0adYhGQ/2zc0SuHSc4BviJ5ZAjm0B60O2pcqj9y4CTM0efxddQlzErhW/HrXScEwSmlmWMpjF+40PL6CtA==" saltValue="T0fhLH4B+D6w7lKDDg8myQ==" spinCount="100000" sheet="1" objects="1" scenarios="1"/>
  <mergeCells count="1">
    <mergeCell ref="H3:H4"/>
  </mergeCells>
  <pageMargins left="0.98425196850393704" right="0.39370078740157483" top="0.98425196850393704" bottom="0.74803149606299213" header="0" footer="0.39370078740157483"/>
  <pageSetup paperSize="9" firstPageNumber="0" orientation="portrait" r:id="rId1"/>
  <headerFooter alignWithMargins="0">
    <oddHeader>&amp;L
&amp;R&amp;"Projekt,Običajno"&amp;72p</oddHeader>
    <oddFooter>&amp;C&amp;6 &amp; List: &amp;A&amp;R &amp;  &amp; Stran: &amp;P/&amp;N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2">
    <tabColor theme="6" tint="-0.249977111117893"/>
  </sheetPr>
  <dimension ref="A1:K162"/>
  <sheetViews>
    <sheetView view="pageBreakPreview" zoomScaleNormal="85" zoomScaleSheetLayoutView="100" workbookViewId="0"/>
  </sheetViews>
  <sheetFormatPr defaultRowHeight="12.75" x14ac:dyDescent="0.25"/>
  <cols>
    <col min="1" max="1" width="2.5703125" style="224" customWidth="1"/>
    <col min="2" max="2" width="4.42578125" style="224" customWidth="1"/>
    <col min="3" max="3" width="42.7109375" style="818" customWidth="1"/>
    <col min="4" max="4" width="6.28515625" style="224" customWidth="1"/>
    <col min="5" max="5" width="7.5703125" style="764" customWidth="1"/>
    <col min="6" max="6" width="10.7109375" style="1956" customWidth="1"/>
    <col min="7" max="7" width="13.28515625" style="765" customWidth="1"/>
    <col min="8" max="8" width="9.85546875" style="224" customWidth="1"/>
    <col min="9" max="9" width="2.5703125" style="224" bestFit="1" customWidth="1"/>
    <col min="10" max="10" width="9.140625" style="224"/>
    <col min="11" max="11" width="9" style="224" customWidth="1"/>
    <col min="12" max="256" width="9.140625" style="224"/>
    <col min="257" max="257" width="2.5703125" style="224" customWidth="1"/>
    <col min="258" max="258" width="4.42578125" style="224" customWidth="1"/>
    <col min="259" max="259" width="43.7109375" style="224" customWidth="1"/>
    <col min="260" max="260" width="6.28515625" style="224" customWidth="1"/>
    <col min="261" max="261" width="7.5703125" style="224" customWidth="1"/>
    <col min="262" max="262" width="9.5703125" style="224" customWidth="1"/>
    <col min="263" max="263" width="13.28515625" style="224" customWidth="1"/>
    <col min="264" max="264" width="9.85546875" style="224" customWidth="1"/>
    <col min="265" max="265" width="2.5703125" style="224" bestFit="1" customWidth="1"/>
    <col min="266" max="266" width="9.140625" style="224"/>
    <col min="267" max="267" width="9" style="224" customWidth="1"/>
    <col min="268" max="512" width="9.140625" style="224"/>
    <col min="513" max="513" width="2.5703125" style="224" customWidth="1"/>
    <col min="514" max="514" width="4.42578125" style="224" customWidth="1"/>
    <col min="515" max="515" width="43.7109375" style="224" customWidth="1"/>
    <col min="516" max="516" width="6.28515625" style="224" customWidth="1"/>
    <col min="517" max="517" width="7.5703125" style="224" customWidth="1"/>
    <col min="518" max="518" width="9.5703125" style="224" customWidth="1"/>
    <col min="519" max="519" width="13.28515625" style="224" customWidth="1"/>
    <col min="520" max="520" width="9.85546875" style="224" customWidth="1"/>
    <col min="521" max="521" width="2.5703125" style="224" bestFit="1" customWidth="1"/>
    <col min="522" max="522" width="9.140625" style="224"/>
    <col min="523" max="523" width="9" style="224" customWidth="1"/>
    <col min="524" max="768" width="9.140625" style="224"/>
    <col min="769" max="769" width="2.5703125" style="224" customWidth="1"/>
    <col min="770" max="770" width="4.42578125" style="224" customWidth="1"/>
    <col min="771" max="771" width="43.7109375" style="224" customWidth="1"/>
    <col min="772" max="772" width="6.28515625" style="224" customWidth="1"/>
    <col min="773" max="773" width="7.5703125" style="224" customWidth="1"/>
    <col min="774" max="774" width="9.5703125" style="224" customWidth="1"/>
    <col min="775" max="775" width="13.28515625" style="224" customWidth="1"/>
    <col min="776" max="776" width="9.85546875" style="224" customWidth="1"/>
    <col min="777" max="777" width="2.5703125" style="224" bestFit="1" customWidth="1"/>
    <col min="778" max="778" width="9.140625" style="224"/>
    <col min="779" max="779" width="9" style="224" customWidth="1"/>
    <col min="780" max="1024" width="9.140625" style="224"/>
    <col min="1025" max="1025" width="2.5703125" style="224" customWidth="1"/>
    <col min="1026" max="1026" width="4.42578125" style="224" customWidth="1"/>
    <col min="1027" max="1027" width="43.7109375" style="224" customWidth="1"/>
    <col min="1028" max="1028" width="6.28515625" style="224" customWidth="1"/>
    <col min="1029" max="1029" width="7.5703125" style="224" customWidth="1"/>
    <col min="1030" max="1030" width="9.5703125" style="224" customWidth="1"/>
    <col min="1031" max="1031" width="13.28515625" style="224" customWidth="1"/>
    <col min="1032" max="1032" width="9.85546875" style="224" customWidth="1"/>
    <col min="1033" max="1033" width="2.5703125" style="224" bestFit="1" customWidth="1"/>
    <col min="1034" max="1034" width="9.140625" style="224"/>
    <col min="1035" max="1035" width="9" style="224" customWidth="1"/>
    <col min="1036" max="1280" width="9.140625" style="224"/>
    <col min="1281" max="1281" width="2.5703125" style="224" customWidth="1"/>
    <col min="1282" max="1282" width="4.42578125" style="224" customWidth="1"/>
    <col min="1283" max="1283" width="43.7109375" style="224" customWidth="1"/>
    <col min="1284" max="1284" width="6.28515625" style="224" customWidth="1"/>
    <col min="1285" max="1285" width="7.5703125" style="224" customWidth="1"/>
    <col min="1286" max="1286" width="9.5703125" style="224" customWidth="1"/>
    <col min="1287" max="1287" width="13.28515625" style="224" customWidth="1"/>
    <col min="1288" max="1288" width="9.85546875" style="224" customWidth="1"/>
    <col min="1289" max="1289" width="2.5703125" style="224" bestFit="1" customWidth="1"/>
    <col min="1290" max="1290" width="9.140625" style="224"/>
    <col min="1291" max="1291" width="9" style="224" customWidth="1"/>
    <col min="1292" max="1536" width="9.140625" style="224"/>
    <col min="1537" max="1537" width="2.5703125" style="224" customWidth="1"/>
    <col min="1538" max="1538" width="4.42578125" style="224" customWidth="1"/>
    <col min="1539" max="1539" width="43.7109375" style="224" customWidth="1"/>
    <col min="1540" max="1540" width="6.28515625" style="224" customWidth="1"/>
    <col min="1541" max="1541" width="7.5703125" style="224" customWidth="1"/>
    <col min="1542" max="1542" width="9.5703125" style="224" customWidth="1"/>
    <col min="1543" max="1543" width="13.28515625" style="224" customWidth="1"/>
    <col min="1544" max="1544" width="9.85546875" style="224" customWidth="1"/>
    <col min="1545" max="1545" width="2.5703125" style="224" bestFit="1" customWidth="1"/>
    <col min="1546" max="1546" width="9.140625" style="224"/>
    <col min="1547" max="1547" width="9" style="224" customWidth="1"/>
    <col min="1548" max="1792" width="9.140625" style="224"/>
    <col min="1793" max="1793" width="2.5703125" style="224" customWidth="1"/>
    <col min="1794" max="1794" width="4.42578125" style="224" customWidth="1"/>
    <col min="1795" max="1795" width="43.7109375" style="224" customWidth="1"/>
    <col min="1796" max="1796" width="6.28515625" style="224" customWidth="1"/>
    <col min="1797" max="1797" width="7.5703125" style="224" customWidth="1"/>
    <col min="1798" max="1798" width="9.5703125" style="224" customWidth="1"/>
    <col min="1799" max="1799" width="13.28515625" style="224" customWidth="1"/>
    <col min="1800" max="1800" width="9.85546875" style="224" customWidth="1"/>
    <col min="1801" max="1801" width="2.5703125" style="224" bestFit="1" customWidth="1"/>
    <col min="1802" max="1802" width="9.140625" style="224"/>
    <col min="1803" max="1803" width="9" style="224" customWidth="1"/>
    <col min="1804" max="2048" width="9.140625" style="224"/>
    <col min="2049" max="2049" width="2.5703125" style="224" customWidth="1"/>
    <col min="2050" max="2050" width="4.42578125" style="224" customWidth="1"/>
    <col min="2051" max="2051" width="43.7109375" style="224" customWidth="1"/>
    <col min="2052" max="2052" width="6.28515625" style="224" customWidth="1"/>
    <col min="2053" max="2053" width="7.5703125" style="224" customWidth="1"/>
    <col min="2054" max="2054" width="9.5703125" style="224" customWidth="1"/>
    <col min="2055" max="2055" width="13.28515625" style="224" customWidth="1"/>
    <col min="2056" max="2056" width="9.85546875" style="224" customWidth="1"/>
    <col min="2057" max="2057" width="2.5703125" style="224" bestFit="1" customWidth="1"/>
    <col min="2058" max="2058" width="9.140625" style="224"/>
    <col min="2059" max="2059" width="9" style="224" customWidth="1"/>
    <col min="2060" max="2304" width="9.140625" style="224"/>
    <col min="2305" max="2305" width="2.5703125" style="224" customWidth="1"/>
    <col min="2306" max="2306" width="4.42578125" style="224" customWidth="1"/>
    <col min="2307" max="2307" width="43.7109375" style="224" customWidth="1"/>
    <col min="2308" max="2308" width="6.28515625" style="224" customWidth="1"/>
    <col min="2309" max="2309" width="7.5703125" style="224" customWidth="1"/>
    <col min="2310" max="2310" width="9.5703125" style="224" customWidth="1"/>
    <col min="2311" max="2311" width="13.28515625" style="224" customWidth="1"/>
    <col min="2312" max="2312" width="9.85546875" style="224" customWidth="1"/>
    <col min="2313" max="2313" width="2.5703125" style="224" bestFit="1" customWidth="1"/>
    <col min="2314" max="2314" width="9.140625" style="224"/>
    <col min="2315" max="2315" width="9" style="224" customWidth="1"/>
    <col min="2316" max="2560" width="9.140625" style="224"/>
    <col min="2561" max="2561" width="2.5703125" style="224" customWidth="1"/>
    <col min="2562" max="2562" width="4.42578125" style="224" customWidth="1"/>
    <col min="2563" max="2563" width="43.7109375" style="224" customWidth="1"/>
    <col min="2564" max="2564" width="6.28515625" style="224" customWidth="1"/>
    <col min="2565" max="2565" width="7.5703125" style="224" customWidth="1"/>
    <col min="2566" max="2566" width="9.5703125" style="224" customWidth="1"/>
    <col min="2567" max="2567" width="13.28515625" style="224" customWidth="1"/>
    <col min="2568" max="2568" width="9.85546875" style="224" customWidth="1"/>
    <col min="2569" max="2569" width="2.5703125" style="224" bestFit="1" customWidth="1"/>
    <col min="2570" max="2570" width="9.140625" style="224"/>
    <col min="2571" max="2571" width="9" style="224" customWidth="1"/>
    <col min="2572" max="2816" width="9.140625" style="224"/>
    <col min="2817" max="2817" width="2.5703125" style="224" customWidth="1"/>
    <col min="2818" max="2818" width="4.42578125" style="224" customWidth="1"/>
    <col min="2819" max="2819" width="43.7109375" style="224" customWidth="1"/>
    <col min="2820" max="2820" width="6.28515625" style="224" customWidth="1"/>
    <col min="2821" max="2821" width="7.5703125" style="224" customWidth="1"/>
    <col min="2822" max="2822" width="9.5703125" style="224" customWidth="1"/>
    <col min="2823" max="2823" width="13.28515625" style="224" customWidth="1"/>
    <col min="2824" max="2824" width="9.85546875" style="224" customWidth="1"/>
    <col min="2825" max="2825" width="2.5703125" style="224" bestFit="1" customWidth="1"/>
    <col min="2826" max="2826" width="9.140625" style="224"/>
    <col min="2827" max="2827" width="9" style="224" customWidth="1"/>
    <col min="2828" max="3072" width="9.140625" style="224"/>
    <col min="3073" max="3073" width="2.5703125" style="224" customWidth="1"/>
    <col min="3074" max="3074" width="4.42578125" style="224" customWidth="1"/>
    <col min="3075" max="3075" width="43.7109375" style="224" customWidth="1"/>
    <col min="3076" max="3076" width="6.28515625" style="224" customWidth="1"/>
    <col min="3077" max="3077" width="7.5703125" style="224" customWidth="1"/>
    <col min="3078" max="3078" width="9.5703125" style="224" customWidth="1"/>
    <col min="3079" max="3079" width="13.28515625" style="224" customWidth="1"/>
    <col min="3080" max="3080" width="9.85546875" style="224" customWidth="1"/>
    <col min="3081" max="3081" width="2.5703125" style="224" bestFit="1" customWidth="1"/>
    <col min="3082" max="3082" width="9.140625" style="224"/>
    <col min="3083" max="3083" width="9" style="224" customWidth="1"/>
    <col min="3084" max="3328" width="9.140625" style="224"/>
    <col min="3329" max="3329" width="2.5703125" style="224" customWidth="1"/>
    <col min="3330" max="3330" width="4.42578125" style="224" customWidth="1"/>
    <col min="3331" max="3331" width="43.7109375" style="224" customWidth="1"/>
    <col min="3332" max="3332" width="6.28515625" style="224" customWidth="1"/>
    <col min="3333" max="3333" width="7.5703125" style="224" customWidth="1"/>
    <col min="3334" max="3334" width="9.5703125" style="224" customWidth="1"/>
    <col min="3335" max="3335" width="13.28515625" style="224" customWidth="1"/>
    <col min="3336" max="3336" width="9.85546875" style="224" customWidth="1"/>
    <col min="3337" max="3337" width="2.5703125" style="224" bestFit="1" customWidth="1"/>
    <col min="3338" max="3338" width="9.140625" style="224"/>
    <col min="3339" max="3339" width="9" style="224" customWidth="1"/>
    <col min="3340" max="3584" width="9.140625" style="224"/>
    <col min="3585" max="3585" width="2.5703125" style="224" customWidth="1"/>
    <col min="3586" max="3586" width="4.42578125" style="224" customWidth="1"/>
    <col min="3587" max="3587" width="43.7109375" style="224" customWidth="1"/>
    <col min="3588" max="3588" width="6.28515625" style="224" customWidth="1"/>
    <col min="3589" max="3589" width="7.5703125" style="224" customWidth="1"/>
    <col min="3590" max="3590" width="9.5703125" style="224" customWidth="1"/>
    <col min="3591" max="3591" width="13.28515625" style="224" customWidth="1"/>
    <col min="3592" max="3592" width="9.85546875" style="224" customWidth="1"/>
    <col min="3593" max="3593" width="2.5703125" style="224" bestFit="1" customWidth="1"/>
    <col min="3594" max="3594" width="9.140625" style="224"/>
    <col min="3595" max="3595" width="9" style="224" customWidth="1"/>
    <col min="3596" max="3840" width="9.140625" style="224"/>
    <col min="3841" max="3841" width="2.5703125" style="224" customWidth="1"/>
    <col min="3842" max="3842" width="4.42578125" style="224" customWidth="1"/>
    <col min="3843" max="3843" width="43.7109375" style="224" customWidth="1"/>
    <col min="3844" max="3844" width="6.28515625" style="224" customWidth="1"/>
    <col min="3845" max="3845" width="7.5703125" style="224" customWidth="1"/>
    <col min="3846" max="3846" width="9.5703125" style="224" customWidth="1"/>
    <col min="3847" max="3847" width="13.28515625" style="224" customWidth="1"/>
    <col min="3848" max="3848" width="9.85546875" style="224" customWidth="1"/>
    <col min="3849" max="3849" width="2.5703125" style="224" bestFit="1" customWidth="1"/>
    <col min="3850" max="3850" width="9.140625" style="224"/>
    <col min="3851" max="3851" width="9" style="224" customWidth="1"/>
    <col min="3852" max="4096" width="9.140625" style="224"/>
    <col min="4097" max="4097" width="2.5703125" style="224" customWidth="1"/>
    <col min="4098" max="4098" width="4.42578125" style="224" customWidth="1"/>
    <col min="4099" max="4099" width="43.7109375" style="224" customWidth="1"/>
    <col min="4100" max="4100" width="6.28515625" style="224" customWidth="1"/>
    <col min="4101" max="4101" width="7.5703125" style="224" customWidth="1"/>
    <col min="4102" max="4102" width="9.5703125" style="224" customWidth="1"/>
    <col min="4103" max="4103" width="13.28515625" style="224" customWidth="1"/>
    <col min="4104" max="4104" width="9.85546875" style="224" customWidth="1"/>
    <col min="4105" max="4105" width="2.5703125" style="224" bestFit="1" customWidth="1"/>
    <col min="4106" max="4106" width="9.140625" style="224"/>
    <col min="4107" max="4107" width="9" style="224" customWidth="1"/>
    <col min="4108" max="4352" width="9.140625" style="224"/>
    <col min="4353" max="4353" width="2.5703125" style="224" customWidth="1"/>
    <col min="4354" max="4354" width="4.42578125" style="224" customWidth="1"/>
    <col min="4355" max="4355" width="43.7109375" style="224" customWidth="1"/>
    <col min="4356" max="4356" width="6.28515625" style="224" customWidth="1"/>
    <col min="4357" max="4357" width="7.5703125" style="224" customWidth="1"/>
    <col min="4358" max="4358" width="9.5703125" style="224" customWidth="1"/>
    <col min="4359" max="4359" width="13.28515625" style="224" customWidth="1"/>
    <col min="4360" max="4360" width="9.85546875" style="224" customWidth="1"/>
    <col min="4361" max="4361" width="2.5703125" style="224" bestFit="1" customWidth="1"/>
    <col min="4362" max="4362" width="9.140625" style="224"/>
    <col min="4363" max="4363" width="9" style="224" customWidth="1"/>
    <col min="4364" max="4608" width="9.140625" style="224"/>
    <col min="4609" max="4609" width="2.5703125" style="224" customWidth="1"/>
    <col min="4610" max="4610" width="4.42578125" style="224" customWidth="1"/>
    <col min="4611" max="4611" width="43.7109375" style="224" customWidth="1"/>
    <col min="4612" max="4612" width="6.28515625" style="224" customWidth="1"/>
    <col min="4613" max="4613" width="7.5703125" style="224" customWidth="1"/>
    <col min="4614" max="4614" width="9.5703125" style="224" customWidth="1"/>
    <col min="4615" max="4615" width="13.28515625" style="224" customWidth="1"/>
    <col min="4616" max="4616" width="9.85546875" style="224" customWidth="1"/>
    <col min="4617" max="4617" width="2.5703125" style="224" bestFit="1" customWidth="1"/>
    <col min="4618" max="4618" width="9.140625" style="224"/>
    <col min="4619" max="4619" width="9" style="224" customWidth="1"/>
    <col min="4620" max="4864" width="9.140625" style="224"/>
    <col min="4865" max="4865" width="2.5703125" style="224" customWidth="1"/>
    <col min="4866" max="4866" width="4.42578125" style="224" customWidth="1"/>
    <col min="4867" max="4867" width="43.7109375" style="224" customWidth="1"/>
    <col min="4868" max="4868" width="6.28515625" style="224" customWidth="1"/>
    <col min="4869" max="4869" width="7.5703125" style="224" customWidth="1"/>
    <col min="4870" max="4870" width="9.5703125" style="224" customWidth="1"/>
    <col min="4871" max="4871" width="13.28515625" style="224" customWidth="1"/>
    <col min="4872" max="4872" width="9.85546875" style="224" customWidth="1"/>
    <col min="4873" max="4873" width="2.5703125" style="224" bestFit="1" customWidth="1"/>
    <col min="4874" max="4874" width="9.140625" style="224"/>
    <col min="4875" max="4875" width="9" style="224" customWidth="1"/>
    <col min="4876" max="5120" width="9.140625" style="224"/>
    <col min="5121" max="5121" width="2.5703125" style="224" customWidth="1"/>
    <col min="5122" max="5122" width="4.42578125" style="224" customWidth="1"/>
    <col min="5123" max="5123" width="43.7109375" style="224" customWidth="1"/>
    <col min="5124" max="5124" width="6.28515625" style="224" customWidth="1"/>
    <col min="5125" max="5125" width="7.5703125" style="224" customWidth="1"/>
    <col min="5126" max="5126" width="9.5703125" style="224" customWidth="1"/>
    <col min="5127" max="5127" width="13.28515625" style="224" customWidth="1"/>
    <col min="5128" max="5128" width="9.85546875" style="224" customWidth="1"/>
    <col min="5129" max="5129" width="2.5703125" style="224" bestFit="1" customWidth="1"/>
    <col min="5130" max="5130" width="9.140625" style="224"/>
    <col min="5131" max="5131" width="9" style="224" customWidth="1"/>
    <col min="5132" max="5376" width="9.140625" style="224"/>
    <col min="5377" max="5377" width="2.5703125" style="224" customWidth="1"/>
    <col min="5378" max="5378" width="4.42578125" style="224" customWidth="1"/>
    <col min="5379" max="5379" width="43.7109375" style="224" customWidth="1"/>
    <col min="5380" max="5380" width="6.28515625" style="224" customWidth="1"/>
    <col min="5381" max="5381" width="7.5703125" style="224" customWidth="1"/>
    <col min="5382" max="5382" width="9.5703125" style="224" customWidth="1"/>
    <col min="5383" max="5383" width="13.28515625" style="224" customWidth="1"/>
    <col min="5384" max="5384" width="9.85546875" style="224" customWidth="1"/>
    <col min="5385" max="5385" width="2.5703125" style="224" bestFit="1" customWidth="1"/>
    <col min="5386" max="5386" width="9.140625" style="224"/>
    <col min="5387" max="5387" width="9" style="224" customWidth="1"/>
    <col min="5388" max="5632" width="9.140625" style="224"/>
    <col min="5633" max="5633" width="2.5703125" style="224" customWidth="1"/>
    <col min="5634" max="5634" width="4.42578125" style="224" customWidth="1"/>
    <col min="5635" max="5635" width="43.7109375" style="224" customWidth="1"/>
    <col min="5636" max="5636" width="6.28515625" style="224" customWidth="1"/>
    <col min="5637" max="5637" width="7.5703125" style="224" customWidth="1"/>
    <col min="5638" max="5638" width="9.5703125" style="224" customWidth="1"/>
    <col min="5639" max="5639" width="13.28515625" style="224" customWidth="1"/>
    <col min="5640" max="5640" width="9.85546875" style="224" customWidth="1"/>
    <col min="5641" max="5641" width="2.5703125" style="224" bestFit="1" customWidth="1"/>
    <col min="5642" max="5642" width="9.140625" style="224"/>
    <col min="5643" max="5643" width="9" style="224" customWidth="1"/>
    <col min="5644" max="5888" width="9.140625" style="224"/>
    <col min="5889" max="5889" width="2.5703125" style="224" customWidth="1"/>
    <col min="5890" max="5890" width="4.42578125" style="224" customWidth="1"/>
    <col min="5891" max="5891" width="43.7109375" style="224" customWidth="1"/>
    <col min="5892" max="5892" width="6.28515625" style="224" customWidth="1"/>
    <col min="5893" max="5893" width="7.5703125" style="224" customWidth="1"/>
    <col min="5894" max="5894" width="9.5703125" style="224" customWidth="1"/>
    <col min="5895" max="5895" width="13.28515625" style="224" customWidth="1"/>
    <col min="5896" max="5896" width="9.85546875" style="224" customWidth="1"/>
    <col min="5897" max="5897" width="2.5703125" style="224" bestFit="1" customWidth="1"/>
    <col min="5898" max="5898" width="9.140625" style="224"/>
    <col min="5899" max="5899" width="9" style="224" customWidth="1"/>
    <col min="5900" max="6144" width="9.140625" style="224"/>
    <col min="6145" max="6145" width="2.5703125" style="224" customWidth="1"/>
    <col min="6146" max="6146" width="4.42578125" style="224" customWidth="1"/>
    <col min="6147" max="6147" width="43.7109375" style="224" customWidth="1"/>
    <col min="6148" max="6148" width="6.28515625" style="224" customWidth="1"/>
    <col min="6149" max="6149" width="7.5703125" style="224" customWidth="1"/>
    <col min="6150" max="6150" width="9.5703125" style="224" customWidth="1"/>
    <col min="6151" max="6151" width="13.28515625" style="224" customWidth="1"/>
    <col min="6152" max="6152" width="9.85546875" style="224" customWidth="1"/>
    <col min="6153" max="6153" width="2.5703125" style="224" bestFit="1" customWidth="1"/>
    <col min="6154" max="6154" width="9.140625" style="224"/>
    <col min="6155" max="6155" width="9" style="224" customWidth="1"/>
    <col min="6156" max="6400" width="9.140625" style="224"/>
    <col min="6401" max="6401" width="2.5703125" style="224" customWidth="1"/>
    <col min="6402" max="6402" width="4.42578125" style="224" customWidth="1"/>
    <col min="6403" max="6403" width="43.7109375" style="224" customWidth="1"/>
    <col min="6404" max="6404" width="6.28515625" style="224" customWidth="1"/>
    <col min="6405" max="6405" width="7.5703125" style="224" customWidth="1"/>
    <col min="6406" max="6406" width="9.5703125" style="224" customWidth="1"/>
    <col min="6407" max="6407" width="13.28515625" style="224" customWidth="1"/>
    <col min="6408" max="6408" width="9.85546875" style="224" customWidth="1"/>
    <col min="6409" max="6409" width="2.5703125" style="224" bestFit="1" customWidth="1"/>
    <col min="6410" max="6410" width="9.140625" style="224"/>
    <col min="6411" max="6411" width="9" style="224" customWidth="1"/>
    <col min="6412" max="6656" width="9.140625" style="224"/>
    <col min="6657" max="6657" width="2.5703125" style="224" customWidth="1"/>
    <col min="6658" max="6658" width="4.42578125" style="224" customWidth="1"/>
    <col min="6659" max="6659" width="43.7109375" style="224" customWidth="1"/>
    <col min="6660" max="6660" width="6.28515625" style="224" customWidth="1"/>
    <col min="6661" max="6661" width="7.5703125" style="224" customWidth="1"/>
    <col min="6662" max="6662" width="9.5703125" style="224" customWidth="1"/>
    <col min="6663" max="6663" width="13.28515625" style="224" customWidth="1"/>
    <col min="6664" max="6664" width="9.85546875" style="224" customWidth="1"/>
    <col min="6665" max="6665" width="2.5703125" style="224" bestFit="1" customWidth="1"/>
    <col min="6666" max="6666" width="9.140625" style="224"/>
    <col min="6667" max="6667" width="9" style="224" customWidth="1"/>
    <col min="6668" max="6912" width="9.140625" style="224"/>
    <col min="6913" max="6913" width="2.5703125" style="224" customWidth="1"/>
    <col min="6914" max="6914" width="4.42578125" style="224" customWidth="1"/>
    <col min="6915" max="6915" width="43.7109375" style="224" customWidth="1"/>
    <col min="6916" max="6916" width="6.28515625" style="224" customWidth="1"/>
    <col min="6917" max="6917" width="7.5703125" style="224" customWidth="1"/>
    <col min="6918" max="6918" width="9.5703125" style="224" customWidth="1"/>
    <col min="6919" max="6919" width="13.28515625" style="224" customWidth="1"/>
    <col min="6920" max="6920" width="9.85546875" style="224" customWidth="1"/>
    <col min="6921" max="6921" width="2.5703125" style="224" bestFit="1" customWidth="1"/>
    <col min="6922" max="6922" width="9.140625" style="224"/>
    <col min="6923" max="6923" width="9" style="224" customWidth="1"/>
    <col min="6924" max="7168" width="9.140625" style="224"/>
    <col min="7169" max="7169" width="2.5703125" style="224" customWidth="1"/>
    <col min="7170" max="7170" width="4.42578125" style="224" customWidth="1"/>
    <col min="7171" max="7171" width="43.7109375" style="224" customWidth="1"/>
    <col min="7172" max="7172" width="6.28515625" style="224" customWidth="1"/>
    <col min="7173" max="7173" width="7.5703125" style="224" customWidth="1"/>
    <col min="7174" max="7174" width="9.5703125" style="224" customWidth="1"/>
    <col min="7175" max="7175" width="13.28515625" style="224" customWidth="1"/>
    <col min="7176" max="7176" width="9.85546875" style="224" customWidth="1"/>
    <col min="7177" max="7177" width="2.5703125" style="224" bestFit="1" customWidth="1"/>
    <col min="7178" max="7178" width="9.140625" style="224"/>
    <col min="7179" max="7179" width="9" style="224" customWidth="1"/>
    <col min="7180" max="7424" width="9.140625" style="224"/>
    <col min="7425" max="7425" width="2.5703125" style="224" customWidth="1"/>
    <col min="7426" max="7426" width="4.42578125" style="224" customWidth="1"/>
    <col min="7427" max="7427" width="43.7109375" style="224" customWidth="1"/>
    <col min="7428" max="7428" width="6.28515625" style="224" customWidth="1"/>
    <col min="7429" max="7429" width="7.5703125" style="224" customWidth="1"/>
    <col min="7430" max="7430" width="9.5703125" style="224" customWidth="1"/>
    <col min="7431" max="7431" width="13.28515625" style="224" customWidth="1"/>
    <col min="7432" max="7432" width="9.85546875" style="224" customWidth="1"/>
    <col min="7433" max="7433" width="2.5703125" style="224" bestFit="1" customWidth="1"/>
    <col min="7434" max="7434" width="9.140625" style="224"/>
    <col min="7435" max="7435" width="9" style="224" customWidth="1"/>
    <col min="7436" max="7680" width="9.140625" style="224"/>
    <col min="7681" max="7681" width="2.5703125" style="224" customWidth="1"/>
    <col min="7682" max="7682" width="4.42578125" style="224" customWidth="1"/>
    <col min="7683" max="7683" width="43.7109375" style="224" customWidth="1"/>
    <col min="7684" max="7684" width="6.28515625" style="224" customWidth="1"/>
    <col min="7685" max="7685" width="7.5703125" style="224" customWidth="1"/>
    <col min="7686" max="7686" width="9.5703125" style="224" customWidth="1"/>
    <col min="7687" max="7687" width="13.28515625" style="224" customWidth="1"/>
    <col min="7688" max="7688" width="9.85546875" style="224" customWidth="1"/>
    <col min="7689" max="7689" width="2.5703125" style="224" bestFit="1" customWidth="1"/>
    <col min="7690" max="7690" width="9.140625" style="224"/>
    <col min="7691" max="7691" width="9" style="224" customWidth="1"/>
    <col min="7692" max="7936" width="9.140625" style="224"/>
    <col min="7937" max="7937" width="2.5703125" style="224" customWidth="1"/>
    <col min="7938" max="7938" width="4.42578125" style="224" customWidth="1"/>
    <col min="7939" max="7939" width="43.7109375" style="224" customWidth="1"/>
    <col min="7940" max="7940" width="6.28515625" style="224" customWidth="1"/>
    <col min="7941" max="7941" width="7.5703125" style="224" customWidth="1"/>
    <col min="7942" max="7942" width="9.5703125" style="224" customWidth="1"/>
    <col min="7943" max="7943" width="13.28515625" style="224" customWidth="1"/>
    <col min="7944" max="7944" width="9.85546875" style="224" customWidth="1"/>
    <col min="7945" max="7945" width="2.5703125" style="224" bestFit="1" customWidth="1"/>
    <col min="7946" max="7946" width="9.140625" style="224"/>
    <col min="7947" max="7947" width="9" style="224" customWidth="1"/>
    <col min="7948" max="8192" width="9.140625" style="224"/>
    <col min="8193" max="8193" width="2.5703125" style="224" customWidth="1"/>
    <col min="8194" max="8194" width="4.42578125" style="224" customWidth="1"/>
    <col min="8195" max="8195" width="43.7109375" style="224" customWidth="1"/>
    <col min="8196" max="8196" width="6.28515625" style="224" customWidth="1"/>
    <col min="8197" max="8197" width="7.5703125" style="224" customWidth="1"/>
    <col min="8198" max="8198" width="9.5703125" style="224" customWidth="1"/>
    <col min="8199" max="8199" width="13.28515625" style="224" customWidth="1"/>
    <col min="8200" max="8200" width="9.85546875" style="224" customWidth="1"/>
    <col min="8201" max="8201" width="2.5703125" style="224" bestFit="1" customWidth="1"/>
    <col min="8202" max="8202" width="9.140625" style="224"/>
    <col min="8203" max="8203" width="9" style="224" customWidth="1"/>
    <col min="8204" max="8448" width="9.140625" style="224"/>
    <col min="8449" max="8449" width="2.5703125" style="224" customWidth="1"/>
    <col min="8450" max="8450" width="4.42578125" style="224" customWidth="1"/>
    <col min="8451" max="8451" width="43.7109375" style="224" customWidth="1"/>
    <col min="8452" max="8452" width="6.28515625" style="224" customWidth="1"/>
    <col min="8453" max="8453" width="7.5703125" style="224" customWidth="1"/>
    <col min="8454" max="8454" width="9.5703125" style="224" customWidth="1"/>
    <col min="8455" max="8455" width="13.28515625" style="224" customWidth="1"/>
    <col min="8456" max="8456" width="9.85546875" style="224" customWidth="1"/>
    <col min="8457" max="8457" width="2.5703125" style="224" bestFit="1" customWidth="1"/>
    <col min="8458" max="8458" width="9.140625" style="224"/>
    <col min="8459" max="8459" width="9" style="224" customWidth="1"/>
    <col min="8460" max="8704" width="9.140625" style="224"/>
    <col min="8705" max="8705" width="2.5703125" style="224" customWidth="1"/>
    <col min="8706" max="8706" width="4.42578125" style="224" customWidth="1"/>
    <col min="8707" max="8707" width="43.7109375" style="224" customWidth="1"/>
    <col min="8708" max="8708" width="6.28515625" style="224" customWidth="1"/>
    <col min="8709" max="8709" width="7.5703125" style="224" customWidth="1"/>
    <col min="8710" max="8710" width="9.5703125" style="224" customWidth="1"/>
    <col min="8711" max="8711" width="13.28515625" style="224" customWidth="1"/>
    <col min="8712" max="8712" width="9.85546875" style="224" customWidth="1"/>
    <col min="8713" max="8713" width="2.5703125" style="224" bestFit="1" customWidth="1"/>
    <col min="8714" max="8714" width="9.140625" style="224"/>
    <col min="8715" max="8715" width="9" style="224" customWidth="1"/>
    <col min="8716" max="8960" width="9.140625" style="224"/>
    <col min="8961" max="8961" width="2.5703125" style="224" customWidth="1"/>
    <col min="8962" max="8962" width="4.42578125" style="224" customWidth="1"/>
    <col min="8963" max="8963" width="43.7109375" style="224" customWidth="1"/>
    <col min="8964" max="8964" width="6.28515625" style="224" customWidth="1"/>
    <col min="8965" max="8965" width="7.5703125" style="224" customWidth="1"/>
    <col min="8966" max="8966" width="9.5703125" style="224" customWidth="1"/>
    <col min="8967" max="8967" width="13.28515625" style="224" customWidth="1"/>
    <col min="8968" max="8968" width="9.85546875" style="224" customWidth="1"/>
    <col min="8969" max="8969" width="2.5703125" style="224" bestFit="1" customWidth="1"/>
    <col min="8970" max="8970" width="9.140625" style="224"/>
    <col min="8971" max="8971" width="9" style="224" customWidth="1"/>
    <col min="8972" max="9216" width="9.140625" style="224"/>
    <col min="9217" max="9217" width="2.5703125" style="224" customWidth="1"/>
    <col min="9218" max="9218" width="4.42578125" style="224" customWidth="1"/>
    <col min="9219" max="9219" width="43.7109375" style="224" customWidth="1"/>
    <col min="9220" max="9220" width="6.28515625" style="224" customWidth="1"/>
    <col min="9221" max="9221" width="7.5703125" style="224" customWidth="1"/>
    <col min="9222" max="9222" width="9.5703125" style="224" customWidth="1"/>
    <col min="9223" max="9223" width="13.28515625" style="224" customWidth="1"/>
    <col min="9224" max="9224" width="9.85546875" style="224" customWidth="1"/>
    <col min="9225" max="9225" width="2.5703125" style="224" bestFit="1" customWidth="1"/>
    <col min="9226" max="9226" width="9.140625" style="224"/>
    <col min="9227" max="9227" width="9" style="224" customWidth="1"/>
    <col min="9228" max="9472" width="9.140625" style="224"/>
    <col min="9473" max="9473" width="2.5703125" style="224" customWidth="1"/>
    <col min="9474" max="9474" width="4.42578125" style="224" customWidth="1"/>
    <col min="9475" max="9475" width="43.7109375" style="224" customWidth="1"/>
    <col min="9476" max="9476" width="6.28515625" style="224" customWidth="1"/>
    <col min="9477" max="9477" width="7.5703125" style="224" customWidth="1"/>
    <col min="9478" max="9478" width="9.5703125" style="224" customWidth="1"/>
    <col min="9479" max="9479" width="13.28515625" style="224" customWidth="1"/>
    <col min="9480" max="9480" width="9.85546875" style="224" customWidth="1"/>
    <col min="9481" max="9481" width="2.5703125" style="224" bestFit="1" customWidth="1"/>
    <col min="9482" max="9482" width="9.140625" style="224"/>
    <col min="9483" max="9483" width="9" style="224" customWidth="1"/>
    <col min="9484" max="9728" width="9.140625" style="224"/>
    <col min="9729" max="9729" width="2.5703125" style="224" customWidth="1"/>
    <col min="9730" max="9730" width="4.42578125" style="224" customWidth="1"/>
    <col min="9731" max="9731" width="43.7109375" style="224" customWidth="1"/>
    <col min="9732" max="9732" width="6.28515625" style="224" customWidth="1"/>
    <col min="9733" max="9733" width="7.5703125" style="224" customWidth="1"/>
    <col min="9734" max="9734" width="9.5703125" style="224" customWidth="1"/>
    <col min="9735" max="9735" width="13.28515625" style="224" customWidth="1"/>
    <col min="9736" max="9736" width="9.85546875" style="224" customWidth="1"/>
    <col min="9737" max="9737" width="2.5703125" style="224" bestFit="1" customWidth="1"/>
    <col min="9738" max="9738" width="9.140625" style="224"/>
    <col min="9739" max="9739" width="9" style="224" customWidth="1"/>
    <col min="9740" max="9984" width="9.140625" style="224"/>
    <col min="9985" max="9985" width="2.5703125" style="224" customWidth="1"/>
    <col min="9986" max="9986" width="4.42578125" style="224" customWidth="1"/>
    <col min="9987" max="9987" width="43.7109375" style="224" customWidth="1"/>
    <col min="9988" max="9988" width="6.28515625" style="224" customWidth="1"/>
    <col min="9989" max="9989" width="7.5703125" style="224" customWidth="1"/>
    <col min="9990" max="9990" width="9.5703125" style="224" customWidth="1"/>
    <col min="9991" max="9991" width="13.28515625" style="224" customWidth="1"/>
    <col min="9992" max="9992" width="9.85546875" style="224" customWidth="1"/>
    <col min="9993" max="9993" width="2.5703125" style="224" bestFit="1" customWidth="1"/>
    <col min="9994" max="9994" width="9.140625" style="224"/>
    <col min="9995" max="9995" width="9" style="224" customWidth="1"/>
    <col min="9996" max="10240" width="9.140625" style="224"/>
    <col min="10241" max="10241" width="2.5703125" style="224" customWidth="1"/>
    <col min="10242" max="10242" width="4.42578125" style="224" customWidth="1"/>
    <col min="10243" max="10243" width="43.7109375" style="224" customWidth="1"/>
    <col min="10244" max="10244" width="6.28515625" style="224" customWidth="1"/>
    <col min="10245" max="10245" width="7.5703125" style="224" customWidth="1"/>
    <col min="10246" max="10246" width="9.5703125" style="224" customWidth="1"/>
    <col min="10247" max="10247" width="13.28515625" style="224" customWidth="1"/>
    <col min="10248" max="10248" width="9.85546875" style="224" customWidth="1"/>
    <col min="10249" max="10249" width="2.5703125" style="224" bestFit="1" customWidth="1"/>
    <col min="10250" max="10250" width="9.140625" style="224"/>
    <col min="10251" max="10251" width="9" style="224" customWidth="1"/>
    <col min="10252" max="10496" width="9.140625" style="224"/>
    <col min="10497" max="10497" width="2.5703125" style="224" customWidth="1"/>
    <col min="10498" max="10498" width="4.42578125" style="224" customWidth="1"/>
    <col min="10499" max="10499" width="43.7109375" style="224" customWidth="1"/>
    <col min="10500" max="10500" width="6.28515625" style="224" customWidth="1"/>
    <col min="10501" max="10501" width="7.5703125" style="224" customWidth="1"/>
    <col min="10502" max="10502" width="9.5703125" style="224" customWidth="1"/>
    <col min="10503" max="10503" width="13.28515625" style="224" customWidth="1"/>
    <col min="10504" max="10504" width="9.85546875" style="224" customWidth="1"/>
    <col min="10505" max="10505" width="2.5703125" style="224" bestFit="1" customWidth="1"/>
    <col min="10506" max="10506" width="9.140625" style="224"/>
    <col min="10507" max="10507" width="9" style="224" customWidth="1"/>
    <col min="10508" max="10752" width="9.140625" style="224"/>
    <col min="10753" max="10753" width="2.5703125" style="224" customWidth="1"/>
    <col min="10754" max="10754" width="4.42578125" style="224" customWidth="1"/>
    <col min="10755" max="10755" width="43.7109375" style="224" customWidth="1"/>
    <col min="10756" max="10756" width="6.28515625" style="224" customWidth="1"/>
    <col min="10757" max="10757" width="7.5703125" style="224" customWidth="1"/>
    <col min="10758" max="10758" width="9.5703125" style="224" customWidth="1"/>
    <col min="10759" max="10759" width="13.28515625" style="224" customWidth="1"/>
    <col min="10760" max="10760" width="9.85546875" style="224" customWidth="1"/>
    <col min="10761" max="10761" width="2.5703125" style="224" bestFit="1" customWidth="1"/>
    <col min="10762" max="10762" width="9.140625" style="224"/>
    <col min="10763" max="10763" width="9" style="224" customWidth="1"/>
    <col min="10764" max="11008" width="9.140625" style="224"/>
    <col min="11009" max="11009" width="2.5703125" style="224" customWidth="1"/>
    <col min="11010" max="11010" width="4.42578125" style="224" customWidth="1"/>
    <col min="11011" max="11011" width="43.7109375" style="224" customWidth="1"/>
    <col min="11012" max="11012" width="6.28515625" style="224" customWidth="1"/>
    <col min="11013" max="11013" width="7.5703125" style="224" customWidth="1"/>
    <col min="11014" max="11014" width="9.5703125" style="224" customWidth="1"/>
    <col min="11015" max="11015" width="13.28515625" style="224" customWidth="1"/>
    <col min="11016" max="11016" width="9.85546875" style="224" customWidth="1"/>
    <col min="11017" max="11017" width="2.5703125" style="224" bestFit="1" customWidth="1"/>
    <col min="11018" max="11018" width="9.140625" style="224"/>
    <col min="11019" max="11019" width="9" style="224" customWidth="1"/>
    <col min="11020" max="11264" width="9.140625" style="224"/>
    <col min="11265" max="11265" width="2.5703125" style="224" customWidth="1"/>
    <col min="11266" max="11266" width="4.42578125" style="224" customWidth="1"/>
    <col min="11267" max="11267" width="43.7109375" style="224" customWidth="1"/>
    <col min="11268" max="11268" width="6.28515625" style="224" customWidth="1"/>
    <col min="11269" max="11269" width="7.5703125" style="224" customWidth="1"/>
    <col min="11270" max="11270" width="9.5703125" style="224" customWidth="1"/>
    <col min="11271" max="11271" width="13.28515625" style="224" customWidth="1"/>
    <col min="11272" max="11272" width="9.85546875" style="224" customWidth="1"/>
    <col min="11273" max="11273" width="2.5703125" style="224" bestFit="1" customWidth="1"/>
    <col min="11274" max="11274" width="9.140625" style="224"/>
    <col min="11275" max="11275" width="9" style="224" customWidth="1"/>
    <col min="11276" max="11520" width="9.140625" style="224"/>
    <col min="11521" max="11521" width="2.5703125" style="224" customWidth="1"/>
    <col min="11522" max="11522" width="4.42578125" style="224" customWidth="1"/>
    <col min="11523" max="11523" width="43.7109375" style="224" customWidth="1"/>
    <col min="11524" max="11524" width="6.28515625" style="224" customWidth="1"/>
    <col min="11525" max="11525" width="7.5703125" style="224" customWidth="1"/>
    <col min="11526" max="11526" width="9.5703125" style="224" customWidth="1"/>
    <col min="11527" max="11527" width="13.28515625" style="224" customWidth="1"/>
    <col min="11528" max="11528" width="9.85546875" style="224" customWidth="1"/>
    <col min="11529" max="11529" width="2.5703125" style="224" bestFit="1" customWidth="1"/>
    <col min="11530" max="11530" width="9.140625" style="224"/>
    <col min="11531" max="11531" width="9" style="224" customWidth="1"/>
    <col min="11532" max="11776" width="9.140625" style="224"/>
    <col min="11777" max="11777" width="2.5703125" style="224" customWidth="1"/>
    <col min="11778" max="11778" width="4.42578125" style="224" customWidth="1"/>
    <col min="11779" max="11779" width="43.7109375" style="224" customWidth="1"/>
    <col min="11780" max="11780" width="6.28515625" style="224" customWidth="1"/>
    <col min="11781" max="11781" width="7.5703125" style="224" customWidth="1"/>
    <col min="11782" max="11782" width="9.5703125" style="224" customWidth="1"/>
    <col min="11783" max="11783" width="13.28515625" style="224" customWidth="1"/>
    <col min="11784" max="11784" width="9.85546875" style="224" customWidth="1"/>
    <col min="11785" max="11785" width="2.5703125" style="224" bestFit="1" customWidth="1"/>
    <col min="11786" max="11786" width="9.140625" style="224"/>
    <col min="11787" max="11787" width="9" style="224" customWidth="1"/>
    <col min="11788" max="12032" width="9.140625" style="224"/>
    <col min="12033" max="12033" width="2.5703125" style="224" customWidth="1"/>
    <col min="12034" max="12034" width="4.42578125" style="224" customWidth="1"/>
    <col min="12035" max="12035" width="43.7109375" style="224" customWidth="1"/>
    <col min="12036" max="12036" width="6.28515625" style="224" customWidth="1"/>
    <col min="12037" max="12037" width="7.5703125" style="224" customWidth="1"/>
    <col min="12038" max="12038" width="9.5703125" style="224" customWidth="1"/>
    <col min="12039" max="12039" width="13.28515625" style="224" customWidth="1"/>
    <col min="12040" max="12040" width="9.85546875" style="224" customWidth="1"/>
    <col min="12041" max="12041" width="2.5703125" style="224" bestFit="1" customWidth="1"/>
    <col min="12042" max="12042" width="9.140625" style="224"/>
    <col min="12043" max="12043" width="9" style="224" customWidth="1"/>
    <col min="12044" max="12288" width="9.140625" style="224"/>
    <col min="12289" max="12289" width="2.5703125" style="224" customWidth="1"/>
    <col min="12290" max="12290" width="4.42578125" style="224" customWidth="1"/>
    <col min="12291" max="12291" width="43.7109375" style="224" customWidth="1"/>
    <col min="12292" max="12292" width="6.28515625" style="224" customWidth="1"/>
    <col min="12293" max="12293" width="7.5703125" style="224" customWidth="1"/>
    <col min="12294" max="12294" width="9.5703125" style="224" customWidth="1"/>
    <col min="12295" max="12295" width="13.28515625" style="224" customWidth="1"/>
    <col min="12296" max="12296" width="9.85546875" style="224" customWidth="1"/>
    <col min="12297" max="12297" width="2.5703125" style="224" bestFit="1" customWidth="1"/>
    <col min="12298" max="12298" width="9.140625" style="224"/>
    <col min="12299" max="12299" width="9" style="224" customWidth="1"/>
    <col min="12300" max="12544" width="9.140625" style="224"/>
    <col min="12545" max="12545" width="2.5703125" style="224" customWidth="1"/>
    <col min="12546" max="12546" width="4.42578125" style="224" customWidth="1"/>
    <col min="12547" max="12547" width="43.7109375" style="224" customWidth="1"/>
    <col min="12548" max="12548" width="6.28515625" style="224" customWidth="1"/>
    <col min="12549" max="12549" width="7.5703125" style="224" customWidth="1"/>
    <col min="12550" max="12550" width="9.5703125" style="224" customWidth="1"/>
    <col min="12551" max="12551" width="13.28515625" style="224" customWidth="1"/>
    <col min="12552" max="12552" width="9.85546875" style="224" customWidth="1"/>
    <col min="12553" max="12553" width="2.5703125" style="224" bestFit="1" customWidth="1"/>
    <col min="12554" max="12554" width="9.140625" style="224"/>
    <col min="12555" max="12555" width="9" style="224" customWidth="1"/>
    <col min="12556" max="12800" width="9.140625" style="224"/>
    <col min="12801" max="12801" width="2.5703125" style="224" customWidth="1"/>
    <col min="12802" max="12802" width="4.42578125" style="224" customWidth="1"/>
    <col min="12803" max="12803" width="43.7109375" style="224" customWidth="1"/>
    <col min="12804" max="12804" width="6.28515625" style="224" customWidth="1"/>
    <col min="12805" max="12805" width="7.5703125" style="224" customWidth="1"/>
    <col min="12806" max="12806" width="9.5703125" style="224" customWidth="1"/>
    <col min="12807" max="12807" width="13.28515625" style="224" customWidth="1"/>
    <col min="12808" max="12808" width="9.85546875" style="224" customWidth="1"/>
    <col min="12809" max="12809" width="2.5703125" style="224" bestFit="1" customWidth="1"/>
    <col min="12810" max="12810" width="9.140625" style="224"/>
    <col min="12811" max="12811" width="9" style="224" customWidth="1"/>
    <col min="12812" max="13056" width="9.140625" style="224"/>
    <col min="13057" max="13057" width="2.5703125" style="224" customWidth="1"/>
    <col min="13058" max="13058" width="4.42578125" style="224" customWidth="1"/>
    <col min="13059" max="13059" width="43.7109375" style="224" customWidth="1"/>
    <col min="13060" max="13060" width="6.28515625" style="224" customWidth="1"/>
    <col min="13061" max="13061" width="7.5703125" style="224" customWidth="1"/>
    <col min="13062" max="13062" width="9.5703125" style="224" customWidth="1"/>
    <col min="13063" max="13063" width="13.28515625" style="224" customWidth="1"/>
    <col min="13064" max="13064" width="9.85546875" style="224" customWidth="1"/>
    <col min="13065" max="13065" width="2.5703125" style="224" bestFit="1" customWidth="1"/>
    <col min="13066" max="13066" width="9.140625" style="224"/>
    <col min="13067" max="13067" width="9" style="224" customWidth="1"/>
    <col min="13068" max="13312" width="9.140625" style="224"/>
    <col min="13313" max="13313" width="2.5703125" style="224" customWidth="1"/>
    <col min="13314" max="13314" width="4.42578125" style="224" customWidth="1"/>
    <col min="13315" max="13315" width="43.7109375" style="224" customWidth="1"/>
    <col min="13316" max="13316" width="6.28515625" style="224" customWidth="1"/>
    <col min="13317" max="13317" width="7.5703125" style="224" customWidth="1"/>
    <col min="13318" max="13318" width="9.5703125" style="224" customWidth="1"/>
    <col min="13319" max="13319" width="13.28515625" style="224" customWidth="1"/>
    <col min="13320" max="13320" width="9.85546875" style="224" customWidth="1"/>
    <col min="13321" max="13321" width="2.5703125" style="224" bestFit="1" customWidth="1"/>
    <col min="13322" max="13322" width="9.140625" style="224"/>
    <col min="13323" max="13323" width="9" style="224" customWidth="1"/>
    <col min="13324" max="13568" width="9.140625" style="224"/>
    <col min="13569" max="13569" width="2.5703125" style="224" customWidth="1"/>
    <col min="13570" max="13570" width="4.42578125" style="224" customWidth="1"/>
    <col min="13571" max="13571" width="43.7109375" style="224" customWidth="1"/>
    <col min="13572" max="13572" width="6.28515625" style="224" customWidth="1"/>
    <col min="13573" max="13573" width="7.5703125" style="224" customWidth="1"/>
    <col min="13574" max="13574" width="9.5703125" style="224" customWidth="1"/>
    <col min="13575" max="13575" width="13.28515625" style="224" customWidth="1"/>
    <col min="13576" max="13576" width="9.85546875" style="224" customWidth="1"/>
    <col min="13577" max="13577" width="2.5703125" style="224" bestFit="1" customWidth="1"/>
    <col min="13578" max="13578" width="9.140625" style="224"/>
    <col min="13579" max="13579" width="9" style="224" customWidth="1"/>
    <col min="13580" max="13824" width="9.140625" style="224"/>
    <col min="13825" max="13825" width="2.5703125" style="224" customWidth="1"/>
    <col min="13826" max="13826" width="4.42578125" style="224" customWidth="1"/>
    <col min="13827" max="13827" width="43.7109375" style="224" customWidth="1"/>
    <col min="13828" max="13828" width="6.28515625" style="224" customWidth="1"/>
    <col min="13829" max="13829" width="7.5703125" style="224" customWidth="1"/>
    <col min="13830" max="13830" width="9.5703125" style="224" customWidth="1"/>
    <col min="13831" max="13831" width="13.28515625" style="224" customWidth="1"/>
    <col min="13832" max="13832" width="9.85546875" style="224" customWidth="1"/>
    <col min="13833" max="13833" width="2.5703125" style="224" bestFit="1" customWidth="1"/>
    <col min="13834" max="13834" width="9.140625" style="224"/>
    <col min="13835" max="13835" width="9" style="224" customWidth="1"/>
    <col min="13836" max="14080" width="9.140625" style="224"/>
    <col min="14081" max="14081" width="2.5703125" style="224" customWidth="1"/>
    <col min="14082" max="14082" width="4.42578125" style="224" customWidth="1"/>
    <col min="14083" max="14083" width="43.7109375" style="224" customWidth="1"/>
    <col min="14084" max="14084" width="6.28515625" style="224" customWidth="1"/>
    <col min="14085" max="14085" width="7.5703125" style="224" customWidth="1"/>
    <col min="14086" max="14086" width="9.5703125" style="224" customWidth="1"/>
    <col min="14087" max="14087" width="13.28515625" style="224" customWidth="1"/>
    <col min="14088" max="14088" width="9.85546875" style="224" customWidth="1"/>
    <col min="14089" max="14089" width="2.5703125" style="224" bestFit="1" customWidth="1"/>
    <col min="14090" max="14090" width="9.140625" style="224"/>
    <col min="14091" max="14091" width="9" style="224" customWidth="1"/>
    <col min="14092" max="14336" width="9.140625" style="224"/>
    <col min="14337" max="14337" width="2.5703125" style="224" customWidth="1"/>
    <col min="14338" max="14338" width="4.42578125" style="224" customWidth="1"/>
    <col min="14339" max="14339" width="43.7109375" style="224" customWidth="1"/>
    <col min="14340" max="14340" width="6.28515625" style="224" customWidth="1"/>
    <col min="14341" max="14341" width="7.5703125" style="224" customWidth="1"/>
    <col min="14342" max="14342" width="9.5703125" style="224" customWidth="1"/>
    <col min="14343" max="14343" width="13.28515625" style="224" customWidth="1"/>
    <col min="14344" max="14344" width="9.85546875" style="224" customWidth="1"/>
    <col min="14345" max="14345" width="2.5703125" style="224" bestFit="1" customWidth="1"/>
    <col min="14346" max="14346" width="9.140625" style="224"/>
    <col min="14347" max="14347" width="9" style="224" customWidth="1"/>
    <col min="14348" max="14592" width="9.140625" style="224"/>
    <col min="14593" max="14593" width="2.5703125" style="224" customWidth="1"/>
    <col min="14594" max="14594" width="4.42578125" style="224" customWidth="1"/>
    <col min="14595" max="14595" width="43.7109375" style="224" customWidth="1"/>
    <col min="14596" max="14596" width="6.28515625" style="224" customWidth="1"/>
    <col min="14597" max="14597" width="7.5703125" style="224" customWidth="1"/>
    <col min="14598" max="14598" width="9.5703125" style="224" customWidth="1"/>
    <col min="14599" max="14599" width="13.28515625" style="224" customWidth="1"/>
    <col min="14600" max="14600" width="9.85546875" style="224" customWidth="1"/>
    <col min="14601" max="14601" width="2.5703125" style="224" bestFit="1" customWidth="1"/>
    <col min="14602" max="14602" width="9.140625" style="224"/>
    <col min="14603" max="14603" width="9" style="224" customWidth="1"/>
    <col min="14604" max="14848" width="9.140625" style="224"/>
    <col min="14849" max="14849" width="2.5703125" style="224" customWidth="1"/>
    <col min="14850" max="14850" width="4.42578125" style="224" customWidth="1"/>
    <col min="14851" max="14851" width="43.7109375" style="224" customWidth="1"/>
    <col min="14852" max="14852" width="6.28515625" style="224" customWidth="1"/>
    <col min="14853" max="14853" width="7.5703125" style="224" customWidth="1"/>
    <col min="14854" max="14854" width="9.5703125" style="224" customWidth="1"/>
    <col min="14855" max="14855" width="13.28515625" style="224" customWidth="1"/>
    <col min="14856" max="14856" width="9.85546875" style="224" customWidth="1"/>
    <col min="14857" max="14857" width="2.5703125" style="224" bestFit="1" customWidth="1"/>
    <col min="14858" max="14858" width="9.140625" style="224"/>
    <col min="14859" max="14859" width="9" style="224" customWidth="1"/>
    <col min="14860" max="15104" width="9.140625" style="224"/>
    <col min="15105" max="15105" width="2.5703125" style="224" customWidth="1"/>
    <col min="15106" max="15106" width="4.42578125" style="224" customWidth="1"/>
    <col min="15107" max="15107" width="43.7109375" style="224" customWidth="1"/>
    <col min="15108" max="15108" width="6.28515625" style="224" customWidth="1"/>
    <col min="15109" max="15109" width="7.5703125" style="224" customWidth="1"/>
    <col min="15110" max="15110" width="9.5703125" style="224" customWidth="1"/>
    <col min="15111" max="15111" width="13.28515625" style="224" customWidth="1"/>
    <col min="15112" max="15112" width="9.85546875" style="224" customWidth="1"/>
    <col min="15113" max="15113" width="2.5703125" style="224" bestFit="1" customWidth="1"/>
    <col min="15114" max="15114" width="9.140625" style="224"/>
    <col min="15115" max="15115" width="9" style="224" customWidth="1"/>
    <col min="15116" max="15360" width="9.140625" style="224"/>
    <col min="15361" max="15361" width="2.5703125" style="224" customWidth="1"/>
    <col min="15362" max="15362" width="4.42578125" style="224" customWidth="1"/>
    <col min="15363" max="15363" width="43.7109375" style="224" customWidth="1"/>
    <col min="15364" max="15364" width="6.28515625" style="224" customWidth="1"/>
    <col min="15365" max="15365" width="7.5703125" style="224" customWidth="1"/>
    <col min="15366" max="15366" width="9.5703125" style="224" customWidth="1"/>
    <col min="15367" max="15367" width="13.28515625" style="224" customWidth="1"/>
    <col min="15368" max="15368" width="9.85546875" style="224" customWidth="1"/>
    <col min="15369" max="15369" width="2.5703125" style="224" bestFit="1" customWidth="1"/>
    <col min="15370" max="15370" width="9.140625" style="224"/>
    <col min="15371" max="15371" width="9" style="224" customWidth="1"/>
    <col min="15372" max="15616" width="9.140625" style="224"/>
    <col min="15617" max="15617" width="2.5703125" style="224" customWidth="1"/>
    <col min="15618" max="15618" width="4.42578125" style="224" customWidth="1"/>
    <col min="15619" max="15619" width="43.7109375" style="224" customWidth="1"/>
    <col min="15620" max="15620" width="6.28515625" style="224" customWidth="1"/>
    <col min="15621" max="15621" width="7.5703125" style="224" customWidth="1"/>
    <col min="15622" max="15622" width="9.5703125" style="224" customWidth="1"/>
    <col min="15623" max="15623" width="13.28515625" style="224" customWidth="1"/>
    <col min="15624" max="15624" width="9.85546875" style="224" customWidth="1"/>
    <col min="15625" max="15625" width="2.5703125" style="224" bestFit="1" customWidth="1"/>
    <col min="15626" max="15626" width="9.140625" style="224"/>
    <col min="15627" max="15627" width="9" style="224" customWidth="1"/>
    <col min="15628" max="15872" width="9.140625" style="224"/>
    <col min="15873" max="15873" width="2.5703125" style="224" customWidth="1"/>
    <col min="15874" max="15874" width="4.42578125" style="224" customWidth="1"/>
    <col min="15875" max="15875" width="43.7109375" style="224" customWidth="1"/>
    <col min="15876" max="15876" width="6.28515625" style="224" customWidth="1"/>
    <col min="15877" max="15877" width="7.5703125" style="224" customWidth="1"/>
    <col min="15878" max="15878" width="9.5703125" style="224" customWidth="1"/>
    <col min="15879" max="15879" width="13.28515625" style="224" customWidth="1"/>
    <col min="15880" max="15880" width="9.85546875" style="224" customWidth="1"/>
    <col min="15881" max="15881" width="2.5703125" style="224" bestFit="1" customWidth="1"/>
    <col min="15882" max="15882" width="9.140625" style="224"/>
    <col min="15883" max="15883" width="9" style="224" customWidth="1"/>
    <col min="15884" max="16128" width="9.140625" style="224"/>
    <col min="16129" max="16129" width="2.5703125" style="224" customWidth="1"/>
    <col min="16130" max="16130" width="4.42578125" style="224" customWidth="1"/>
    <col min="16131" max="16131" width="43.7109375" style="224" customWidth="1"/>
    <col min="16132" max="16132" width="6.28515625" style="224" customWidth="1"/>
    <col min="16133" max="16133" width="7.5703125" style="224" customWidth="1"/>
    <col min="16134" max="16134" width="9.5703125" style="224" customWidth="1"/>
    <col min="16135" max="16135" width="13.28515625" style="224" customWidth="1"/>
    <col min="16136" max="16136" width="9.85546875" style="224" customWidth="1"/>
    <col min="16137" max="16137" width="2.5703125" style="224" bestFit="1" customWidth="1"/>
    <col min="16138" max="16138" width="9.140625" style="224"/>
    <col min="16139" max="16139" width="9" style="224" customWidth="1"/>
    <col min="16140" max="16384" width="9.140625" style="224"/>
  </cols>
  <sheetData>
    <row r="1" spans="1:11" s="213" customFormat="1" ht="18" x14ac:dyDescent="0.25">
      <c r="A1" s="753"/>
      <c r="B1" s="757"/>
      <c r="C1" s="753"/>
      <c r="E1" s="754"/>
      <c r="F1" s="1954"/>
      <c r="G1" s="755"/>
      <c r="H1" s="756"/>
    </row>
    <row r="2" spans="1:11" s="330" customFormat="1" ht="18" x14ac:dyDescent="0.25">
      <c r="A2" s="819" t="s">
        <v>1049</v>
      </c>
      <c r="B2" s="758"/>
      <c r="C2" s="330" t="s">
        <v>1121</v>
      </c>
      <c r="D2" s="832"/>
      <c r="E2" s="832"/>
      <c r="F2" s="1972"/>
      <c r="G2" s="832"/>
      <c r="H2" s="762"/>
    </row>
    <row r="3" spans="1:11" ht="38.25" x14ac:dyDescent="0.25">
      <c r="A3" s="763" t="s">
        <v>561</v>
      </c>
      <c r="B3" s="763"/>
      <c r="C3" s="692" t="s">
        <v>1103</v>
      </c>
      <c r="H3" s="2049"/>
    </row>
    <row r="4" spans="1:11" x14ac:dyDescent="0.25">
      <c r="C4" s="766"/>
      <c r="D4" s="763"/>
      <c r="E4" s="763"/>
      <c r="F4" s="1957"/>
      <c r="G4" s="763"/>
      <c r="H4" s="2049"/>
    </row>
    <row r="5" spans="1:11" ht="12.75" customHeight="1" x14ac:dyDescent="0.25">
      <c r="A5" s="763" t="s">
        <v>63</v>
      </c>
      <c r="B5" s="763"/>
      <c r="C5" s="766"/>
      <c r="D5" s="763"/>
      <c r="E5" s="763"/>
      <c r="F5" s="1957"/>
      <c r="G5" s="763"/>
      <c r="H5" s="767"/>
    </row>
    <row r="6" spans="1:11" s="230" customFormat="1" x14ac:dyDescent="0.25">
      <c r="A6" s="675" t="s">
        <v>26</v>
      </c>
      <c r="B6" s="675"/>
      <c r="C6" s="676" t="s">
        <v>27</v>
      </c>
      <c r="D6" s="675" t="s">
        <v>28</v>
      </c>
      <c r="E6" s="677" t="s">
        <v>29</v>
      </c>
      <c r="F6" s="1935" t="s">
        <v>30</v>
      </c>
      <c r="G6" s="678" t="s">
        <v>31</v>
      </c>
      <c r="H6" s="224"/>
      <c r="J6" s="231"/>
      <c r="K6" s="231"/>
    </row>
    <row r="7" spans="1:11" s="246" customFormat="1" ht="12" x14ac:dyDescent="0.25">
      <c r="A7" s="768"/>
      <c r="B7" s="769"/>
      <c r="C7" s="770"/>
      <c r="E7" s="771"/>
      <c r="F7" s="1957"/>
      <c r="G7" s="763"/>
    </row>
    <row r="8" spans="1:11" s="239" customFormat="1" ht="16.5" thickBot="1" x14ac:dyDescent="0.3">
      <c r="A8" s="772"/>
      <c r="B8" s="773" t="s">
        <v>20</v>
      </c>
      <c r="C8" s="774" t="s">
        <v>1011</v>
      </c>
      <c r="D8" s="235"/>
      <c r="E8" s="775"/>
      <c r="F8" s="1958"/>
      <c r="G8" s="776"/>
    </row>
    <row r="9" spans="1:11" s="239" customFormat="1" ht="15.75" x14ac:dyDescent="0.25">
      <c r="A9" s="827"/>
      <c r="B9" s="828"/>
      <c r="C9" s="833"/>
      <c r="E9" s="829"/>
      <c r="F9" s="1969"/>
      <c r="G9" s="830"/>
    </row>
    <row r="10" spans="1:11" x14ac:dyDescent="0.25">
      <c r="A10" s="777"/>
      <c r="B10" s="778"/>
      <c r="C10" s="806" t="s">
        <v>1104</v>
      </c>
      <c r="E10" s="779"/>
      <c r="G10" s="780"/>
    </row>
    <row r="11" spans="1:11" x14ac:dyDescent="0.25">
      <c r="A11" s="777"/>
      <c r="B11" s="778"/>
      <c r="C11" s="692"/>
      <c r="E11" s="779"/>
      <c r="G11" s="780"/>
    </row>
    <row r="12" spans="1:11" x14ac:dyDescent="0.25">
      <c r="A12" s="777"/>
      <c r="B12" s="778"/>
      <c r="C12" s="692" t="s">
        <v>1105</v>
      </c>
      <c r="E12" s="779"/>
      <c r="G12" s="780"/>
    </row>
    <row r="13" spans="1:11" x14ac:dyDescent="0.25">
      <c r="A13" s="777"/>
      <c r="B13" s="778"/>
      <c r="C13" s="692"/>
      <c r="E13" s="779"/>
      <c r="G13" s="780"/>
    </row>
    <row r="14" spans="1:11" s="246" customFormat="1" ht="24" x14ac:dyDescent="0.2">
      <c r="A14" s="781" t="str">
        <f>$B$8</f>
        <v>I.</v>
      </c>
      <c r="B14" s="769">
        <f>1</f>
        <v>1</v>
      </c>
      <c r="C14" s="789" t="s">
        <v>1106</v>
      </c>
      <c r="D14" s="695" t="s">
        <v>39</v>
      </c>
      <c r="E14" s="696">
        <v>1</v>
      </c>
      <c r="F14" s="1959"/>
      <c r="G14" s="783">
        <f>ROUND(E14*F14,2)</f>
        <v>0</v>
      </c>
      <c r="H14" s="248"/>
      <c r="I14" s="249"/>
      <c r="J14" s="250"/>
      <c r="K14" s="251"/>
    </row>
    <row r="15" spans="1:11" s="260" customFormat="1" x14ac:dyDescent="0.2">
      <c r="A15" s="784"/>
      <c r="B15" s="785"/>
      <c r="C15" s="713"/>
      <c r="E15" s="786"/>
      <c r="F15" s="1960"/>
      <c r="G15" s="783"/>
      <c r="H15" s="258"/>
      <c r="I15" s="259"/>
      <c r="J15" s="250"/>
      <c r="K15" s="644"/>
    </row>
    <row r="16" spans="1:11" s="246" customFormat="1" ht="28.5" x14ac:dyDescent="0.2">
      <c r="A16" s="781" t="str">
        <f>$B$8</f>
        <v>I.</v>
      </c>
      <c r="B16" s="769">
        <f>COUNT($A$14:B15)+1</f>
        <v>2</v>
      </c>
      <c r="C16" s="834" t="s">
        <v>1107</v>
      </c>
      <c r="D16" s="695" t="s">
        <v>58</v>
      </c>
      <c r="E16" s="696">
        <v>1</v>
      </c>
      <c r="F16" s="1959"/>
      <c r="G16" s="783">
        <f>ROUND(E16*F16,2)</f>
        <v>0</v>
      </c>
      <c r="H16" s="248"/>
      <c r="I16" s="249"/>
      <c r="J16" s="250"/>
      <c r="K16" s="224"/>
    </row>
    <row r="17" spans="1:11" s="246" customFormat="1" x14ac:dyDescent="0.2">
      <c r="A17" s="781"/>
      <c r="B17" s="769"/>
      <c r="C17" s="359"/>
      <c r="D17" s="695"/>
      <c r="E17" s="696"/>
      <c r="F17" s="1959"/>
      <c r="G17" s="783"/>
      <c r="H17" s="248"/>
      <c r="I17" s="249"/>
      <c r="J17" s="250"/>
      <c r="K17" s="224"/>
    </row>
    <row r="18" spans="1:11" s="246" customFormat="1" ht="42.75" x14ac:dyDescent="0.2">
      <c r="A18" s="781" t="str">
        <f>$B$8</f>
        <v>I.</v>
      </c>
      <c r="B18" s="769">
        <f>COUNT($A$14:B17)+1</f>
        <v>3</v>
      </c>
      <c r="C18" s="834" t="s">
        <v>1108</v>
      </c>
      <c r="D18" s="695" t="s">
        <v>58</v>
      </c>
      <c r="E18" s="696">
        <v>1</v>
      </c>
      <c r="F18" s="1959"/>
      <c r="G18" s="783">
        <f>ROUND(E18*F18,2)</f>
        <v>0</v>
      </c>
      <c r="H18" s="248"/>
      <c r="I18" s="249"/>
      <c r="J18" s="250"/>
      <c r="K18" s="224"/>
    </row>
    <row r="19" spans="1:11" s="246" customFormat="1" x14ac:dyDescent="0.2">
      <c r="A19" s="781"/>
      <c r="B19" s="769"/>
      <c r="C19" s="359"/>
      <c r="D19" s="695"/>
      <c r="E19" s="696"/>
      <c r="F19" s="1959"/>
      <c r="G19" s="783"/>
      <c r="H19" s="248"/>
      <c r="I19" s="249"/>
      <c r="J19" s="250"/>
      <c r="K19" s="224"/>
    </row>
    <row r="20" spans="1:11" s="246" customFormat="1" x14ac:dyDescent="0.2">
      <c r="A20" s="781"/>
      <c r="B20" s="769"/>
      <c r="C20" s="835" t="s">
        <v>1109</v>
      </c>
      <c r="D20" s="695"/>
      <c r="E20" s="696"/>
      <c r="F20" s="1959"/>
      <c r="G20" s="783"/>
      <c r="H20" s="248"/>
      <c r="I20" s="249"/>
      <c r="J20" s="250"/>
      <c r="K20" s="224"/>
    </row>
    <row r="21" spans="1:11" s="246" customFormat="1" x14ac:dyDescent="0.2">
      <c r="A21" s="781"/>
      <c r="B21" s="769"/>
      <c r="C21" s="359"/>
      <c r="D21" s="695"/>
      <c r="E21" s="696"/>
      <c r="F21" s="1959"/>
      <c r="G21" s="783"/>
      <c r="H21" s="248"/>
      <c r="I21" s="249"/>
      <c r="J21" s="250"/>
      <c r="K21" s="224"/>
    </row>
    <row r="22" spans="1:11" s="246" customFormat="1" ht="71.25" x14ac:dyDescent="0.2">
      <c r="A22" s="781" t="str">
        <f>$B$8</f>
        <v>I.</v>
      </c>
      <c r="B22" s="769">
        <f>COUNT($A$14:B19)+1</f>
        <v>4</v>
      </c>
      <c r="C22" s="834" t="s">
        <v>1110</v>
      </c>
      <c r="D22" s="695" t="s">
        <v>58</v>
      </c>
      <c r="E22" s="696">
        <v>1</v>
      </c>
      <c r="F22" s="1959"/>
      <c r="G22" s="783">
        <f>ROUND(E22*F22,2)</f>
        <v>0</v>
      </c>
      <c r="H22" s="248"/>
      <c r="I22" s="249"/>
      <c r="J22" s="250"/>
      <c r="K22" s="224"/>
    </row>
    <row r="23" spans="1:11" s="246" customFormat="1" x14ac:dyDescent="0.2">
      <c r="A23" s="781"/>
      <c r="B23" s="769"/>
      <c r="C23" s="359"/>
      <c r="D23" s="695"/>
      <c r="E23" s="696"/>
      <c r="F23" s="1959"/>
      <c r="G23" s="783"/>
      <c r="H23" s="248"/>
      <c r="I23" s="249"/>
      <c r="J23" s="250"/>
      <c r="K23" s="224"/>
    </row>
    <row r="24" spans="1:11" s="246" customFormat="1" ht="28.5" x14ac:dyDescent="0.2">
      <c r="A24" s="781" t="str">
        <f>$B$8</f>
        <v>I.</v>
      </c>
      <c r="B24" s="769">
        <f>COUNT($A$14:B23)+1</f>
        <v>5</v>
      </c>
      <c r="C24" s="834" t="s">
        <v>1111</v>
      </c>
      <c r="D24" s="695" t="s">
        <v>58</v>
      </c>
      <c r="E24" s="696">
        <v>1</v>
      </c>
      <c r="F24" s="1959"/>
      <c r="G24" s="783">
        <f>ROUND(E24*F24,2)</f>
        <v>0</v>
      </c>
      <c r="H24" s="248"/>
      <c r="I24" s="249"/>
      <c r="J24" s="250"/>
      <c r="K24" s="224"/>
    </row>
    <row r="25" spans="1:11" s="246" customFormat="1" x14ac:dyDescent="0.2">
      <c r="A25" s="781"/>
      <c r="B25" s="769"/>
      <c r="C25" s="782"/>
      <c r="D25" s="695"/>
      <c r="E25" s="696"/>
      <c r="F25" s="1959"/>
      <c r="G25" s="783"/>
      <c r="H25" s="248"/>
      <c r="I25" s="249"/>
      <c r="J25" s="250"/>
      <c r="K25" s="224"/>
    </row>
    <row r="26" spans="1:11" s="246" customFormat="1" ht="24" x14ac:dyDescent="0.2">
      <c r="A26" s="781" t="str">
        <f>$B$8</f>
        <v>I.</v>
      </c>
      <c r="B26" s="769">
        <f>COUNT($A$14:B25)+1</f>
        <v>6</v>
      </c>
      <c r="C26" s="782" t="s">
        <v>1112</v>
      </c>
      <c r="D26" s="695" t="s">
        <v>39</v>
      </c>
      <c r="E26" s="696">
        <v>1</v>
      </c>
      <c r="F26" s="1959"/>
      <c r="G26" s="783">
        <f>ROUND(E26*F26,2)</f>
        <v>0</v>
      </c>
      <c r="H26" s="248"/>
      <c r="I26" s="249"/>
      <c r="J26" s="250"/>
      <c r="K26" s="224"/>
    </row>
    <row r="27" spans="1:11" s="246" customFormat="1" x14ac:dyDescent="0.2">
      <c r="A27" s="781"/>
      <c r="B27" s="769"/>
      <c r="C27" s="782"/>
      <c r="D27" s="695"/>
      <c r="E27" s="696"/>
      <c r="F27" s="1959"/>
      <c r="G27" s="783"/>
      <c r="H27" s="248"/>
      <c r="I27" s="249"/>
      <c r="J27" s="250"/>
      <c r="K27" s="224"/>
    </row>
    <row r="28" spans="1:11" s="246" customFormat="1" ht="24" x14ac:dyDescent="0.2">
      <c r="A28" s="781" t="str">
        <f>$B$8</f>
        <v>I.</v>
      </c>
      <c r="B28" s="769">
        <f>COUNT($A$14:B27)+1</f>
        <v>7</v>
      </c>
      <c r="C28" s="782" t="s">
        <v>1113</v>
      </c>
      <c r="D28" s="695" t="s">
        <v>39</v>
      </c>
      <c r="E28" s="696">
        <v>1</v>
      </c>
      <c r="F28" s="1959"/>
      <c r="G28" s="783">
        <f>ROUND(E28*F28,2)</f>
        <v>0</v>
      </c>
      <c r="H28" s="248"/>
      <c r="I28" s="249"/>
      <c r="J28" s="250"/>
      <c r="K28" s="224"/>
    </row>
    <row r="29" spans="1:11" s="246" customFormat="1" x14ac:dyDescent="0.2">
      <c r="A29" s="781"/>
      <c r="B29" s="769"/>
      <c r="C29" s="782"/>
      <c r="D29" s="695"/>
      <c r="E29" s="696"/>
      <c r="F29" s="1959"/>
      <c r="G29" s="783"/>
      <c r="H29" s="248"/>
      <c r="I29" s="249"/>
      <c r="J29" s="250"/>
      <c r="K29" s="224"/>
    </row>
    <row r="30" spans="1:11" s="246" customFormat="1" x14ac:dyDescent="0.2">
      <c r="A30" s="781" t="str">
        <f>$B$8</f>
        <v>I.</v>
      </c>
      <c r="B30" s="769">
        <f>COUNT($A$14:B29)+1</f>
        <v>8</v>
      </c>
      <c r="C30" s="782" t="s">
        <v>1114</v>
      </c>
      <c r="D30" s="695" t="s">
        <v>39</v>
      </c>
      <c r="E30" s="696">
        <v>1</v>
      </c>
      <c r="F30" s="1959"/>
      <c r="G30" s="783">
        <f>ROUND(E30*F30,2)</f>
        <v>0</v>
      </c>
      <c r="H30" s="248"/>
      <c r="I30" s="249"/>
      <c r="J30" s="250"/>
      <c r="K30" s="224"/>
    </row>
    <row r="31" spans="1:11" s="246" customFormat="1" x14ac:dyDescent="0.2">
      <c r="A31" s="781"/>
      <c r="B31" s="769"/>
      <c r="C31" s="782"/>
      <c r="D31" s="695"/>
      <c r="E31" s="696"/>
      <c r="F31" s="1959"/>
      <c r="G31" s="783"/>
      <c r="H31" s="248"/>
      <c r="I31" s="249"/>
      <c r="J31" s="250"/>
      <c r="K31" s="224"/>
    </row>
    <row r="32" spans="1:11" s="246" customFormat="1" ht="24" x14ac:dyDescent="0.2">
      <c r="A32" s="781" t="str">
        <f>$B$8</f>
        <v>I.</v>
      </c>
      <c r="B32" s="769">
        <f>COUNT($A$14:B31)+1</f>
        <v>9</v>
      </c>
      <c r="C32" s="782" t="s">
        <v>1115</v>
      </c>
      <c r="D32" s="695" t="s">
        <v>39</v>
      </c>
      <c r="E32" s="696">
        <v>1</v>
      </c>
      <c r="F32" s="1959"/>
      <c r="G32" s="783">
        <f>ROUND(E32*F32,2)</f>
        <v>0</v>
      </c>
      <c r="H32" s="248"/>
      <c r="I32" s="249"/>
      <c r="J32" s="250"/>
      <c r="K32" s="224"/>
    </row>
    <row r="33" spans="1:11" s="246" customFormat="1" x14ac:dyDescent="0.2">
      <c r="A33" s="781"/>
      <c r="B33" s="769"/>
      <c r="C33" s="782"/>
      <c r="D33" s="695"/>
      <c r="E33" s="696"/>
      <c r="F33" s="1959"/>
      <c r="G33" s="783"/>
      <c r="H33" s="248"/>
      <c r="I33" s="249"/>
      <c r="J33" s="250"/>
      <c r="K33" s="224"/>
    </row>
    <row r="34" spans="1:11" s="246" customFormat="1" ht="24" x14ac:dyDescent="0.2">
      <c r="A34" s="781" t="str">
        <f>$B$8</f>
        <v>I.</v>
      </c>
      <c r="B34" s="769">
        <f>COUNT($A$14:B33)+1</f>
        <v>10</v>
      </c>
      <c r="C34" s="782" t="s">
        <v>1115</v>
      </c>
      <c r="D34" s="695" t="s">
        <v>39</v>
      </c>
      <c r="E34" s="696">
        <v>1</v>
      </c>
      <c r="F34" s="1959"/>
      <c r="G34" s="783">
        <f>ROUND(E34*F34,2)</f>
        <v>0</v>
      </c>
      <c r="H34" s="248"/>
      <c r="I34" s="249"/>
      <c r="J34" s="250"/>
      <c r="K34" s="224"/>
    </row>
    <row r="35" spans="1:11" s="246" customFormat="1" x14ac:dyDescent="0.2">
      <c r="A35" s="781"/>
      <c r="B35" s="769"/>
      <c r="C35" s="782"/>
      <c r="D35" s="695"/>
      <c r="E35" s="696"/>
      <c r="F35" s="1959"/>
      <c r="G35" s="783"/>
      <c r="H35" s="248"/>
      <c r="I35" s="249"/>
      <c r="J35" s="250"/>
      <c r="K35" s="224"/>
    </row>
    <row r="36" spans="1:11" s="246" customFormat="1" ht="24" x14ac:dyDescent="0.2">
      <c r="A36" s="781" t="str">
        <f>$B$8</f>
        <v>I.</v>
      </c>
      <c r="B36" s="769">
        <f>COUNT($A$14:B35)+1</f>
        <v>11</v>
      </c>
      <c r="C36" s="782" t="s">
        <v>1116</v>
      </c>
      <c r="D36" s="695" t="s">
        <v>39</v>
      </c>
      <c r="E36" s="696">
        <v>1</v>
      </c>
      <c r="F36" s="1959"/>
      <c r="G36" s="783">
        <f>ROUND(E36*F36,2)</f>
        <v>0</v>
      </c>
      <c r="H36" s="248"/>
      <c r="I36" s="249"/>
      <c r="J36" s="250"/>
      <c r="K36" s="224"/>
    </row>
    <row r="37" spans="1:11" s="246" customFormat="1" x14ac:dyDescent="0.2">
      <c r="A37" s="781"/>
      <c r="B37" s="769"/>
      <c r="C37" s="782"/>
      <c r="D37" s="695"/>
      <c r="E37" s="696"/>
      <c r="F37" s="1959"/>
      <c r="G37" s="783"/>
      <c r="H37" s="248"/>
      <c r="I37" s="249"/>
      <c r="J37" s="250"/>
      <c r="K37" s="224"/>
    </row>
    <row r="38" spans="1:11" s="246" customFormat="1" ht="24" x14ac:dyDescent="0.2">
      <c r="A38" s="781" t="str">
        <f>$B$8</f>
        <v>I.</v>
      </c>
      <c r="B38" s="769">
        <f>COUNT($A$14:B37)+1</f>
        <v>12</v>
      </c>
      <c r="C38" s="782" t="s">
        <v>1117</v>
      </c>
      <c r="D38" s="695" t="s">
        <v>39</v>
      </c>
      <c r="E38" s="696">
        <v>1</v>
      </c>
      <c r="F38" s="1959"/>
      <c r="G38" s="783">
        <f>ROUND(E38*F38,2)</f>
        <v>0</v>
      </c>
      <c r="H38" s="248"/>
      <c r="I38" s="249"/>
      <c r="J38" s="250"/>
      <c r="K38" s="224"/>
    </row>
    <row r="39" spans="1:11" s="246" customFormat="1" x14ac:dyDescent="0.2">
      <c r="A39" s="781"/>
      <c r="B39" s="769"/>
      <c r="C39" s="708"/>
      <c r="D39" s="695"/>
      <c r="E39" s="696"/>
      <c r="F39" s="1959"/>
      <c r="G39" s="783"/>
      <c r="H39" s="248"/>
      <c r="I39" s="249"/>
      <c r="J39" s="250"/>
      <c r="K39" s="251"/>
    </row>
    <row r="40" spans="1:11" s="246" customFormat="1" ht="120" x14ac:dyDescent="0.2">
      <c r="A40" s="781" t="str">
        <f>$B$8</f>
        <v>I.</v>
      </c>
      <c r="B40" s="769">
        <f>COUNT($A$14:B39)+1</f>
        <v>13</v>
      </c>
      <c r="C40" s="782" t="s">
        <v>1118</v>
      </c>
      <c r="D40" s="695" t="s">
        <v>39</v>
      </c>
      <c r="E40" s="696">
        <v>1</v>
      </c>
      <c r="F40" s="1959"/>
      <c r="G40" s="783">
        <f>ROUND(E40*F40,2)</f>
        <v>0</v>
      </c>
      <c r="H40" s="248"/>
      <c r="I40" s="249"/>
      <c r="J40" s="250"/>
      <c r="K40" s="224"/>
    </row>
    <row r="41" spans="1:11" s="246" customFormat="1" x14ac:dyDescent="0.2">
      <c r="A41" s="781"/>
      <c r="B41" s="769"/>
      <c r="C41" s="782"/>
      <c r="D41" s="695"/>
      <c r="E41" s="696"/>
      <c r="F41" s="1959"/>
      <c r="G41" s="783"/>
      <c r="H41" s="248"/>
      <c r="I41" s="249"/>
      <c r="J41" s="250"/>
      <c r="K41" s="224"/>
    </row>
    <row r="42" spans="1:11" s="246" customFormat="1" ht="24" x14ac:dyDescent="0.2">
      <c r="A42" s="781" t="str">
        <f>$B$8</f>
        <v>I.</v>
      </c>
      <c r="B42" s="769">
        <f>COUNT($A$14:B41)+1</f>
        <v>14</v>
      </c>
      <c r="C42" s="782" t="s">
        <v>1119</v>
      </c>
      <c r="D42" s="695" t="s">
        <v>39</v>
      </c>
      <c r="E42" s="696">
        <v>1</v>
      </c>
      <c r="F42" s="1959"/>
      <c r="G42" s="783">
        <f>ROUND(E42*F42,2)</f>
        <v>0</v>
      </c>
      <c r="H42" s="248"/>
      <c r="I42" s="249"/>
      <c r="J42" s="250"/>
      <c r="K42" s="224"/>
    </row>
    <row r="43" spans="1:11" s="246" customFormat="1" x14ac:dyDescent="0.2">
      <c r="A43" s="781"/>
      <c r="B43" s="769"/>
      <c r="C43" s="782"/>
      <c r="D43" s="695"/>
      <c r="E43" s="696"/>
      <c r="F43" s="1959"/>
      <c r="G43" s="783"/>
      <c r="H43" s="248"/>
      <c r="I43" s="249"/>
      <c r="J43" s="250"/>
      <c r="K43" s="224"/>
    </row>
    <row r="44" spans="1:11" s="246" customFormat="1" x14ac:dyDescent="0.2">
      <c r="A44" s="781" t="str">
        <f>$B$8</f>
        <v>I.</v>
      </c>
      <c r="B44" s="769">
        <f>COUNT($A$14:B43)+1</f>
        <v>15</v>
      </c>
      <c r="C44" s="782" t="s">
        <v>1120</v>
      </c>
      <c r="D44" s="695" t="s">
        <v>39</v>
      </c>
      <c r="E44" s="696">
        <v>1</v>
      </c>
      <c r="F44" s="1959"/>
      <c r="G44" s="783">
        <f>ROUND(E44*F44,2)</f>
        <v>0</v>
      </c>
      <c r="H44" s="248"/>
      <c r="I44" s="249"/>
      <c r="J44" s="250"/>
      <c r="K44" s="224"/>
    </row>
    <row r="45" spans="1:11" s="246" customFormat="1" x14ac:dyDescent="0.2">
      <c r="A45" s="781"/>
      <c r="B45" s="769"/>
      <c r="C45" s="782"/>
      <c r="D45" s="695"/>
      <c r="E45" s="696"/>
      <c r="F45" s="1959"/>
      <c r="G45" s="783"/>
      <c r="H45" s="248"/>
      <c r="I45" s="249"/>
      <c r="J45" s="250"/>
      <c r="K45" s="224"/>
    </row>
    <row r="46" spans="1:11" s="246" customFormat="1" x14ac:dyDescent="0.2">
      <c r="A46" s="781"/>
      <c r="B46" s="769"/>
      <c r="C46" s="708"/>
      <c r="D46" s="695"/>
      <c r="E46" s="696"/>
      <c r="F46" s="1959"/>
      <c r="G46" s="783"/>
      <c r="H46" s="248"/>
      <c r="I46" s="249"/>
      <c r="J46" s="250"/>
      <c r="K46" s="251"/>
    </row>
    <row r="47" spans="1:11" s="369" customFormat="1" ht="13.5" thickBot="1" x14ac:dyDescent="0.3">
      <c r="A47" s="790"/>
      <c r="B47" s="791"/>
      <c r="C47" s="366" t="str">
        <f>CONCATENATE(B8," ",C8," - SKUPAJ:")</f>
        <v>I. ELEKTRO DEL - SKUPAJ:</v>
      </c>
      <c r="D47" s="366"/>
      <c r="E47" s="366"/>
      <c r="F47" s="1961"/>
      <c r="G47" s="792">
        <f>ROUND(SUM(G14:G44),2)</f>
        <v>0</v>
      </c>
    </row>
    <row r="48" spans="1:11" s="633" customFormat="1" ht="15" x14ac:dyDescent="0.25">
      <c r="C48" s="629"/>
      <c r="E48" s="631"/>
      <c r="F48" s="1968"/>
      <c r="G48" s="825"/>
    </row>
    <row r="49" spans="1:11" s="246" customFormat="1" ht="12" x14ac:dyDescent="0.25">
      <c r="C49" s="770"/>
      <c r="E49" s="771"/>
      <c r="F49" s="1957"/>
      <c r="G49" s="763"/>
    </row>
    <row r="50" spans="1:11" s="720" customFormat="1" ht="35.25" customHeight="1" thickBot="1" x14ac:dyDescent="0.3">
      <c r="A50" s="793" t="str">
        <f>CONCATENATE("DELNA REKAPITULACIJA - ",A2,C2)</f>
        <v>DELNA REKAPITULACIJA - 4.5POSEGI V NADZORNEM CENTRU (CNS)</v>
      </c>
      <c r="B50" s="793"/>
      <c r="C50" s="793"/>
      <c r="D50" s="793"/>
      <c r="E50" s="793"/>
      <c r="F50" s="1971"/>
      <c r="G50" s="793"/>
    </row>
    <row r="51" spans="1:11" s="616" customFormat="1" ht="14.25" customHeight="1" x14ac:dyDescent="0.25">
      <c r="A51" s="799"/>
      <c r="B51" s="799"/>
      <c r="C51" s="800"/>
      <c r="D51" s="799"/>
      <c r="E51" s="801"/>
      <c r="F51" s="1963"/>
      <c r="G51" s="802"/>
    </row>
    <row r="52" spans="1:11" s="616" customFormat="1" ht="12.75" customHeight="1" x14ac:dyDescent="0.25">
      <c r="A52" s="763" t="s">
        <v>1044</v>
      </c>
      <c r="B52" s="803"/>
      <c r="C52" s="804"/>
      <c r="D52" s="803"/>
      <c r="E52" s="803"/>
      <c r="F52" s="1964"/>
      <c r="G52" s="803"/>
    </row>
    <row r="53" spans="1:11" s="369" customFormat="1" x14ac:dyDescent="0.25">
      <c r="A53" s="725"/>
      <c r="B53" s="725"/>
      <c r="C53" s="727"/>
      <c r="D53" s="727"/>
      <c r="E53" s="728"/>
      <c r="F53" s="1948"/>
      <c r="G53" s="729"/>
      <c r="H53" s="616"/>
      <c r="J53" s="628"/>
      <c r="K53" s="628"/>
    </row>
    <row r="54" spans="1:11" s="616" customFormat="1" x14ac:dyDescent="0.25">
      <c r="A54" s="805"/>
      <c r="B54" s="805"/>
      <c r="C54" s="806"/>
      <c r="E54" s="807"/>
      <c r="F54" s="1965"/>
      <c r="G54" s="808"/>
    </row>
    <row r="55" spans="1:11" s="375" customFormat="1" x14ac:dyDescent="0.25">
      <c r="A55" s="809"/>
      <c r="B55" s="809" t="str">
        <f>+B8</f>
        <v>I.</v>
      </c>
      <c r="C55" s="371" t="str">
        <f>+C8</f>
        <v>ELEKTRO DEL</v>
      </c>
      <c r="E55" s="744"/>
      <c r="F55" s="1966"/>
      <c r="G55" s="810">
        <f>ROUND(G47,2)</f>
        <v>0</v>
      </c>
    </row>
    <row r="56" spans="1:11" s="375" customFormat="1" ht="13.5" thickBot="1" x14ac:dyDescent="0.3">
      <c r="A56" s="811"/>
      <c r="B56" s="811"/>
      <c r="C56" s="732"/>
      <c r="D56" s="812"/>
      <c r="E56" s="734"/>
      <c r="F56" s="1967"/>
      <c r="G56" s="813"/>
    </row>
    <row r="57" spans="1:11" s="616" customFormat="1" ht="13.5" thickTop="1" x14ac:dyDescent="0.25">
      <c r="A57" s="736"/>
      <c r="B57" s="736"/>
      <c r="C57" s="737"/>
      <c r="D57" s="738"/>
      <c r="E57" s="739"/>
      <c r="F57" s="1951"/>
      <c r="G57" s="740"/>
      <c r="K57" s="814"/>
    </row>
    <row r="58" spans="1:11" s="375" customFormat="1" x14ac:dyDescent="0.25">
      <c r="A58" s="815"/>
      <c r="B58" s="815"/>
      <c r="C58" s="743" t="str">
        <f>CONCATENATE(A2, " ",C2," - SKUPAJ:")</f>
        <v>4.5 POSEGI V NADZORNEM CENTRU (CNS) - SKUPAJ:</v>
      </c>
      <c r="D58" s="744"/>
      <c r="E58" s="744"/>
      <c r="F58" s="1966"/>
      <c r="G58" s="810">
        <f>ROUND(G55,2)</f>
        <v>0</v>
      </c>
    </row>
    <row r="59" spans="1:11" s="616" customFormat="1" x14ac:dyDescent="0.25">
      <c r="C59" s="806"/>
      <c r="E59" s="816"/>
      <c r="F59" s="1965"/>
      <c r="G59" s="803"/>
    </row>
    <row r="60" spans="1:11" s="246" customFormat="1" ht="12" x14ac:dyDescent="0.25">
      <c r="C60" s="817"/>
      <c r="E60" s="771"/>
      <c r="F60" s="1957"/>
      <c r="G60" s="763"/>
    </row>
    <row r="61" spans="1:11" s="246" customFormat="1" ht="12" x14ac:dyDescent="0.25">
      <c r="C61" s="817"/>
      <c r="E61" s="771"/>
      <c r="F61" s="1957"/>
      <c r="G61" s="763"/>
    </row>
    <row r="62" spans="1:11" s="246" customFormat="1" ht="12" x14ac:dyDescent="0.25">
      <c r="C62" s="817"/>
      <c r="E62" s="771"/>
      <c r="F62" s="1957"/>
      <c r="G62" s="763"/>
    </row>
    <row r="63" spans="1:11" s="246" customFormat="1" ht="12" x14ac:dyDescent="0.25">
      <c r="C63" s="817"/>
      <c r="E63" s="771"/>
      <c r="F63" s="1957"/>
      <c r="G63" s="763"/>
    </row>
    <row r="64" spans="1:11" s="246" customFormat="1" ht="12" x14ac:dyDescent="0.25">
      <c r="C64" s="817"/>
      <c r="E64" s="771"/>
      <c r="F64" s="1957"/>
      <c r="G64" s="763"/>
    </row>
    <row r="65" spans="3:7" s="246" customFormat="1" ht="12" x14ac:dyDescent="0.25">
      <c r="C65" s="817"/>
      <c r="E65" s="771"/>
      <c r="F65" s="1957"/>
      <c r="G65" s="763"/>
    </row>
    <row r="66" spans="3:7" s="246" customFormat="1" ht="12" x14ac:dyDescent="0.25">
      <c r="C66" s="817"/>
      <c r="E66" s="771"/>
      <c r="F66" s="1957"/>
      <c r="G66" s="763"/>
    </row>
    <row r="67" spans="3:7" s="246" customFormat="1" ht="12" x14ac:dyDescent="0.25">
      <c r="C67" s="817"/>
      <c r="E67" s="771"/>
      <c r="F67" s="1957"/>
      <c r="G67" s="763"/>
    </row>
    <row r="68" spans="3:7" s="246" customFormat="1" ht="12" x14ac:dyDescent="0.25">
      <c r="C68" s="817"/>
      <c r="E68" s="771"/>
      <c r="F68" s="1957"/>
      <c r="G68" s="763"/>
    </row>
    <row r="69" spans="3:7" s="246" customFormat="1" ht="12" x14ac:dyDescent="0.25">
      <c r="C69" s="817"/>
      <c r="E69" s="771"/>
      <c r="F69" s="1957"/>
      <c r="G69" s="763"/>
    </row>
    <row r="70" spans="3:7" s="246" customFormat="1" ht="12" x14ac:dyDescent="0.25">
      <c r="C70" s="817"/>
      <c r="E70" s="771"/>
      <c r="F70" s="1957"/>
      <c r="G70" s="763"/>
    </row>
    <row r="71" spans="3:7" s="246" customFormat="1" ht="12" x14ac:dyDescent="0.25">
      <c r="C71" s="817"/>
      <c r="E71" s="771"/>
      <c r="F71" s="1957"/>
      <c r="G71" s="763"/>
    </row>
    <row r="72" spans="3:7" s="246" customFormat="1" ht="12" x14ac:dyDescent="0.25">
      <c r="C72" s="817"/>
      <c r="E72" s="771"/>
      <c r="F72" s="1957"/>
      <c r="G72" s="763"/>
    </row>
    <row r="73" spans="3:7" s="246" customFormat="1" ht="12" x14ac:dyDescent="0.25">
      <c r="C73" s="817"/>
      <c r="E73" s="771"/>
      <c r="F73" s="1957"/>
      <c r="G73" s="763"/>
    </row>
    <row r="74" spans="3:7" s="246" customFormat="1" ht="12" x14ac:dyDescent="0.25">
      <c r="C74" s="817"/>
      <c r="E74" s="771"/>
      <c r="F74" s="1957"/>
      <c r="G74" s="763"/>
    </row>
    <row r="75" spans="3:7" s="246" customFormat="1" ht="12" x14ac:dyDescent="0.25">
      <c r="C75" s="817"/>
      <c r="E75" s="771"/>
      <c r="F75" s="1957"/>
      <c r="G75" s="763"/>
    </row>
    <row r="76" spans="3:7" s="246" customFormat="1" ht="12" x14ac:dyDescent="0.25">
      <c r="C76" s="817"/>
      <c r="E76" s="771"/>
      <c r="F76" s="1957"/>
      <c r="G76" s="763"/>
    </row>
    <row r="77" spans="3:7" s="246" customFormat="1" ht="12" x14ac:dyDescent="0.25">
      <c r="C77" s="817"/>
      <c r="E77" s="771"/>
      <c r="F77" s="1957"/>
      <c r="G77" s="763"/>
    </row>
    <row r="78" spans="3:7" s="246" customFormat="1" ht="12" x14ac:dyDescent="0.25">
      <c r="C78" s="817"/>
      <c r="E78" s="771"/>
      <c r="F78" s="1957"/>
      <c r="G78" s="763"/>
    </row>
    <row r="79" spans="3:7" s="246" customFormat="1" ht="12" x14ac:dyDescent="0.25">
      <c r="C79" s="817"/>
      <c r="E79" s="771"/>
      <c r="F79" s="1957"/>
      <c r="G79" s="763"/>
    </row>
    <row r="80" spans="3:7" s="246" customFormat="1" ht="12" x14ac:dyDescent="0.25">
      <c r="C80" s="817"/>
      <c r="E80" s="771"/>
      <c r="F80" s="1957"/>
      <c r="G80" s="763"/>
    </row>
    <row r="81" spans="3:7" s="246" customFormat="1" ht="12" x14ac:dyDescent="0.25">
      <c r="C81" s="817"/>
      <c r="E81" s="771"/>
      <c r="F81" s="1957"/>
      <c r="G81" s="763"/>
    </row>
    <row r="82" spans="3:7" s="246" customFormat="1" ht="12" x14ac:dyDescent="0.25">
      <c r="C82" s="817"/>
      <c r="E82" s="771"/>
      <c r="F82" s="1957"/>
      <c r="G82" s="763"/>
    </row>
    <row r="83" spans="3:7" s="246" customFormat="1" ht="12" x14ac:dyDescent="0.25">
      <c r="C83" s="817"/>
      <c r="E83" s="771"/>
      <c r="F83" s="1957"/>
      <c r="G83" s="763"/>
    </row>
    <row r="84" spans="3:7" s="246" customFormat="1" ht="12" x14ac:dyDescent="0.25">
      <c r="C84" s="817"/>
      <c r="E84" s="771"/>
      <c r="F84" s="1957"/>
      <c r="G84" s="763"/>
    </row>
    <row r="85" spans="3:7" s="246" customFormat="1" ht="12" x14ac:dyDescent="0.25">
      <c r="C85" s="817"/>
      <c r="E85" s="771"/>
      <c r="F85" s="1957"/>
      <c r="G85" s="763"/>
    </row>
    <row r="86" spans="3:7" s="246" customFormat="1" ht="12" x14ac:dyDescent="0.25">
      <c r="C86" s="817"/>
      <c r="E86" s="771"/>
      <c r="F86" s="1957"/>
      <c r="G86" s="763"/>
    </row>
    <row r="87" spans="3:7" s="246" customFormat="1" ht="12" x14ac:dyDescent="0.25">
      <c r="C87" s="817"/>
      <c r="E87" s="771"/>
      <c r="F87" s="1957"/>
      <c r="G87" s="763"/>
    </row>
    <row r="88" spans="3:7" s="246" customFormat="1" ht="12" x14ac:dyDescent="0.25">
      <c r="C88" s="817"/>
      <c r="E88" s="771"/>
      <c r="F88" s="1957"/>
      <c r="G88" s="763"/>
    </row>
    <row r="89" spans="3:7" s="246" customFormat="1" ht="12" x14ac:dyDescent="0.25">
      <c r="C89" s="817"/>
      <c r="E89" s="771"/>
      <c r="F89" s="1957"/>
      <c r="G89" s="763"/>
    </row>
    <row r="90" spans="3:7" s="246" customFormat="1" ht="12" x14ac:dyDescent="0.25">
      <c r="C90" s="817"/>
      <c r="E90" s="771"/>
      <c r="F90" s="1957"/>
      <c r="G90" s="763"/>
    </row>
    <row r="91" spans="3:7" s="246" customFormat="1" ht="12" x14ac:dyDescent="0.25">
      <c r="C91" s="817"/>
      <c r="E91" s="771"/>
      <c r="F91" s="1957"/>
      <c r="G91" s="763"/>
    </row>
    <row r="92" spans="3:7" s="246" customFormat="1" ht="12" x14ac:dyDescent="0.25">
      <c r="C92" s="817"/>
      <c r="E92" s="771"/>
      <c r="F92" s="1957"/>
      <c r="G92" s="763"/>
    </row>
    <row r="93" spans="3:7" s="246" customFormat="1" ht="12" x14ac:dyDescent="0.25">
      <c r="C93" s="817"/>
      <c r="E93" s="771"/>
      <c r="F93" s="1957"/>
      <c r="G93" s="763"/>
    </row>
    <row r="94" spans="3:7" s="246" customFormat="1" ht="12" x14ac:dyDescent="0.25">
      <c r="C94" s="817"/>
      <c r="E94" s="771"/>
      <c r="F94" s="1957"/>
      <c r="G94" s="763"/>
    </row>
    <row r="95" spans="3:7" s="246" customFormat="1" ht="12" x14ac:dyDescent="0.25">
      <c r="C95" s="817"/>
      <c r="E95" s="771"/>
      <c r="F95" s="1957"/>
      <c r="G95" s="763"/>
    </row>
    <row r="96" spans="3:7" s="246" customFormat="1" ht="12" x14ac:dyDescent="0.25">
      <c r="C96" s="817"/>
      <c r="E96" s="771"/>
      <c r="F96" s="1957"/>
      <c r="G96" s="763"/>
    </row>
    <row r="97" spans="3:7" s="246" customFormat="1" ht="12" x14ac:dyDescent="0.25">
      <c r="C97" s="817"/>
      <c r="E97" s="771"/>
      <c r="F97" s="1957"/>
      <c r="G97" s="763"/>
    </row>
    <row r="98" spans="3:7" s="246" customFormat="1" ht="12" x14ac:dyDescent="0.25">
      <c r="C98" s="817"/>
      <c r="E98" s="771"/>
      <c r="F98" s="1957"/>
      <c r="G98" s="763"/>
    </row>
    <row r="99" spans="3:7" s="246" customFormat="1" ht="12" x14ac:dyDescent="0.25">
      <c r="C99" s="817"/>
      <c r="E99" s="771"/>
      <c r="F99" s="1957"/>
      <c r="G99" s="763"/>
    </row>
    <row r="100" spans="3:7" s="246" customFormat="1" ht="12" x14ac:dyDescent="0.25">
      <c r="C100" s="817"/>
      <c r="E100" s="771"/>
      <c r="F100" s="1957"/>
      <c r="G100" s="763"/>
    </row>
    <row r="101" spans="3:7" s="246" customFormat="1" ht="12" x14ac:dyDescent="0.25">
      <c r="C101" s="817"/>
      <c r="E101" s="771"/>
      <c r="F101" s="1957"/>
      <c r="G101" s="763"/>
    </row>
    <row r="102" spans="3:7" s="246" customFormat="1" ht="12" x14ac:dyDescent="0.25">
      <c r="C102" s="817"/>
      <c r="E102" s="771"/>
      <c r="F102" s="1957"/>
      <c r="G102" s="763"/>
    </row>
    <row r="103" spans="3:7" s="246" customFormat="1" ht="12" x14ac:dyDescent="0.25">
      <c r="C103" s="817"/>
      <c r="E103" s="771"/>
      <c r="F103" s="1957"/>
      <c r="G103" s="763"/>
    </row>
    <row r="104" spans="3:7" s="246" customFormat="1" ht="12" x14ac:dyDescent="0.25">
      <c r="C104" s="817"/>
      <c r="E104" s="771"/>
      <c r="F104" s="1957"/>
      <c r="G104" s="763"/>
    </row>
    <row r="105" spans="3:7" s="246" customFormat="1" ht="12" x14ac:dyDescent="0.25">
      <c r="C105" s="817"/>
      <c r="E105" s="771"/>
      <c r="F105" s="1957"/>
      <c r="G105" s="763"/>
    </row>
    <row r="106" spans="3:7" s="246" customFormat="1" ht="12" x14ac:dyDescent="0.25">
      <c r="C106" s="817"/>
      <c r="E106" s="771"/>
      <c r="F106" s="1957"/>
      <c r="G106" s="763"/>
    </row>
    <row r="107" spans="3:7" s="246" customFormat="1" ht="12" x14ac:dyDescent="0.25">
      <c r="C107" s="817"/>
      <c r="E107" s="771"/>
      <c r="F107" s="1957"/>
      <c r="G107" s="763"/>
    </row>
    <row r="108" spans="3:7" s="246" customFormat="1" ht="12" x14ac:dyDescent="0.25">
      <c r="C108" s="817"/>
      <c r="E108" s="771"/>
      <c r="F108" s="1957"/>
      <c r="G108" s="763"/>
    </row>
    <row r="109" spans="3:7" s="246" customFormat="1" ht="12" x14ac:dyDescent="0.25">
      <c r="C109" s="817"/>
      <c r="E109" s="771"/>
      <c r="F109" s="1957"/>
      <c r="G109" s="763"/>
    </row>
    <row r="110" spans="3:7" s="246" customFormat="1" ht="12" x14ac:dyDescent="0.25">
      <c r="C110" s="817"/>
      <c r="E110" s="771"/>
      <c r="F110" s="1957"/>
      <c r="G110" s="763"/>
    </row>
    <row r="111" spans="3:7" s="246" customFormat="1" ht="12" x14ac:dyDescent="0.25">
      <c r="C111" s="817"/>
      <c r="E111" s="771"/>
      <c r="F111" s="1957"/>
      <c r="G111" s="763"/>
    </row>
    <row r="112" spans="3:7" s="246" customFormat="1" ht="12" x14ac:dyDescent="0.25">
      <c r="C112" s="817"/>
      <c r="E112" s="771"/>
      <c r="F112" s="1957"/>
      <c r="G112" s="763"/>
    </row>
    <row r="113" spans="3:7" s="246" customFormat="1" ht="12" x14ac:dyDescent="0.25">
      <c r="C113" s="817"/>
      <c r="E113" s="771"/>
      <c r="F113" s="1957"/>
      <c r="G113" s="763"/>
    </row>
    <row r="114" spans="3:7" s="246" customFormat="1" ht="12" x14ac:dyDescent="0.25">
      <c r="C114" s="817"/>
      <c r="E114" s="771"/>
      <c r="F114" s="1957"/>
      <c r="G114" s="763"/>
    </row>
    <row r="115" spans="3:7" s="246" customFormat="1" ht="12" x14ac:dyDescent="0.25">
      <c r="C115" s="817"/>
      <c r="E115" s="771"/>
      <c r="F115" s="1957"/>
      <c r="G115" s="763"/>
    </row>
    <row r="116" spans="3:7" s="246" customFormat="1" ht="12" x14ac:dyDescent="0.25">
      <c r="C116" s="817"/>
      <c r="E116" s="771"/>
      <c r="F116" s="1957"/>
      <c r="G116" s="763"/>
    </row>
    <row r="117" spans="3:7" s="246" customFormat="1" ht="12" x14ac:dyDescent="0.25">
      <c r="C117" s="817"/>
      <c r="E117" s="771"/>
      <c r="F117" s="1957"/>
      <c r="G117" s="763"/>
    </row>
    <row r="118" spans="3:7" s="246" customFormat="1" ht="12" x14ac:dyDescent="0.25">
      <c r="C118" s="817"/>
      <c r="E118" s="771"/>
      <c r="F118" s="1957"/>
      <c r="G118" s="763"/>
    </row>
    <row r="119" spans="3:7" s="246" customFormat="1" ht="12" x14ac:dyDescent="0.25">
      <c r="C119" s="817"/>
      <c r="E119" s="771"/>
      <c r="F119" s="1957"/>
      <c r="G119" s="763"/>
    </row>
    <row r="120" spans="3:7" s="246" customFormat="1" ht="12" x14ac:dyDescent="0.25">
      <c r="C120" s="817"/>
      <c r="E120" s="771"/>
      <c r="F120" s="1957"/>
      <c r="G120" s="763"/>
    </row>
    <row r="121" spans="3:7" s="246" customFormat="1" ht="12" x14ac:dyDescent="0.25">
      <c r="C121" s="817"/>
      <c r="E121" s="771"/>
      <c r="F121" s="1957"/>
      <c r="G121" s="763"/>
    </row>
    <row r="122" spans="3:7" s="246" customFormat="1" ht="12" x14ac:dyDescent="0.25">
      <c r="C122" s="817"/>
      <c r="E122" s="771"/>
      <c r="F122" s="1957"/>
      <c r="G122" s="763"/>
    </row>
    <row r="123" spans="3:7" s="246" customFormat="1" ht="12" x14ac:dyDescent="0.25">
      <c r="C123" s="817"/>
      <c r="E123" s="771"/>
      <c r="F123" s="1957"/>
      <c r="G123" s="763"/>
    </row>
    <row r="124" spans="3:7" s="246" customFormat="1" ht="12" x14ac:dyDescent="0.25">
      <c r="C124" s="817"/>
      <c r="E124" s="771"/>
      <c r="F124" s="1957"/>
      <c r="G124" s="763"/>
    </row>
    <row r="125" spans="3:7" s="246" customFormat="1" ht="12" x14ac:dyDescent="0.25">
      <c r="C125" s="817"/>
      <c r="E125" s="771"/>
      <c r="F125" s="1957"/>
      <c r="G125" s="763"/>
    </row>
    <row r="126" spans="3:7" s="246" customFormat="1" ht="12" x14ac:dyDescent="0.25">
      <c r="C126" s="817"/>
      <c r="E126" s="771"/>
      <c r="F126" s="1957"/>
      <c r="G126" s="763"/>
    </row>
    <row r="127" spans="3:7" s="246" customFormat="1" ht="12" x14ac:dyDescent="0.25">
      <c r="C127" s="817"/>
      <c r="E127" s="771"/>
      <c r="F127" s="1957"/>
      <c r="G127" s="763"/>
    </row>
    <row r="128" spans="3:7" s="246" customFormat="1" ht="12" x14ac:dyDescent="0.25">
      <c r="C128" s="817"/>
      <c r="E128" s="771"/>
      <c r="F128" s="1957"/>
      <c r="G128" s="763"/>
    </row>
    <row r="129" spans="3:7" s="246" customFormat="1" ht="12" x14ac:dyDescent="0.25">
      <c r="C129" s="817"/>
      <c r="E129" s="771"/>
      <c r="F129" s="1957"/>
      <c r="G129" s="763"/>
    </row>
    <row r="130" spans="3:7" s="246" customFormat="1" ht="12" x14ac:dyDescent="0.25">
      <c r="C130" s="817"/>
      <c r="E130" s="771"/>
      <c r="F130" s="1957"/>
      <c r="G130" s="763"/>
    </row>
    <row r="131" spans="3:7" s="246" customFormat="1" ht="12" x14ac:dyDescent="0.25">
      <c r="C131" s="817"/>
      <c r="E131" s="771"/>
      <c r="F131" s="1957"/>
      <c r="G131" s="763"/>
    </row>
    <row r="132" spans="3:7" s="246" customFormat="1" ht="12" x14ac:dyDescent="0.25">
      <c r="C132" s="817"/>
      <c r="E132" s="771"/>
      <c r="F132" s="1957"/>
      <c r="G132" s="763"/>
    </row>
    <row r="133" spans="3:7" s="246" customFormat="1" ht="12" x14ac:dyDescent="0.25">
      <c r="C133" s="817"/>
      <c r="E133" s="771"/>
      <c r="F133" s="1957"/>
      <c r="G133" s="763"/>
    </row>
    <row r="134" spans="3:7" s="246" customFormat="1" ht="12" x14ac:dyDescent="0.25">
      <c r="C134" s="817"/>
      <c r="E134" s="771"/>
      <c r="F134" s="1957"/>
      <c r="G134" s="763"/>
    </row>
    <row r="135" spans="3:7" s="246" customFormat="1" ht="12" x14ac:dyDescent="0.25">
      <c r="C135" s="817"/>
      <c r="E135" s="771"/>
      <c r="F135" s="1957"/>
      <c r="G135" s="763"/>
    </row>
    <row r="136" spans="3:7" s="246" customFormat="1" ht="12" x14ac:dyDescent="0.25">
      <c r="C136" s="817"/>
      <c r="E136" s="771"/>
      <c r="F136" s="1957"/>
      <c r="G136" s="763"/>
    </row>
    <row r="137" spans="3:7" s="246" customFormat="1" ht="12" x14ac:dyDescent="0.25">
      <c r="C137" s="817"/>
      <c r="E137" s="771"/>
      <c r="F137" s="1957"/>
      <c r="G137" s="763"/>
    </row>
    <row r="138" spans="3:7" s="246" customFormat="1" ht="12" x14ac:dyDescent="0.25">
      <c r="C138" s="817"/>
      <c r="E138" s="771"/>
      <c r="F138" s="1957"/>
      <c r="G138" s="763"/>
    </row>
    <row r="139" spans="3:7" s="246" customFormat="1" ht="12" x14ac:dyDescent="0.25">
      <c r="C139" s="817"/>
      <c r="E139" s="771"/>
      <c r="F139" s="1957"/>
      <c r="G139" s="763"/>
    </row>
    <row r="140" spans="3:7" s="246" customFormat="1" ht="12" x14ac:dyDescent="0.25">
      <c r="C140" s="817"/>
      <c r="E140" s="771"/>
      <c r="F140" s="1957"/>
      <c r="G140" s="763"/>
    </row>
    <row r="141" spans="3:7" s="246" customFormat="1" ht="12" x14ac:dyDescent="0.25">
      <c r="C141" s="817"/>
      <c r="E141" s="771"/>
      <c r="F141" s="1957"/>
      <c r="G141" s="763"/>
    </row>
    <row r="142" spans="3:7" s="246" customFormat="1" ht="12" x14ac:dyDescent="0.25">
      <c r="C142" s="817"/>
      <c r="E142" s="771"/>
      <c r="F142" s="1957"/>
      <c r="G142" s="763"/>
    </row>
    <row r="143" spans="3:7" s="246" customFormat="1" ht="12" x14ac:dyDescent="0.25">
      <c r="C143" s="817"/>
      <c r="E143" s="771"/>
      <c r="F143" s="1957"/>
      <c r="G143" s="763"/>
    </row>
    <row r="144" spans="3:7" s="246" customFormat="1" ht="12" x14ac:dyDescent="0.25">
      <c r="C144" s="817"/>
      <c r="E144" s="771"/>
      <c r="F144" s="1957"/>
      <c r="G144" s="763"/>
    </row>
    <row r="145" spans="3:7" s="246" customFormat="1" ht="12" x14ac:dyDescent="0.25">
      <c r="C145" s="817"/>
      <c r="E145" s="771"/>
      <c r="F145" s="1957"/>
      <c r="G145" s="763"/>
    </row>
    <row r="146" spans="3:7" s="246" customFormat="1" ht="12" x14ac:dyDescent="0.25">
      <c r="C146" s="817"/>
      <c r="E146" s="771"/>
      <c r="F146" s="1957"/>
      <c r="G146" s="763"/>
    </row>
    <row r="147" spans="3:7" s="246" customFormat="1" ht="12" x14ac:dyDescent="0.25">
      <c r="C147" s="817"/>
      <c r="E147" s="771"/>
      <c r="F147" s="1957"/>
      <c r="G147" s="763"/>
    </row>
    <row r="148" spans="3:7" s="246" customFormat="1" ht="12" x14ac:dyDescent="0.25">
      <c r="C148" s="817"/>
      <c r="E148" s="771"/>
      <c r="F148" s="1957"/>
      <c r="G148" s="763"/>
    </row>
    <row r="149" spans="3:7" s="246" customFormat="1" ht="12" x14ac:dyDescent="0.25">
      <c r="C149" s="817"/>
      <c r="E149" s="771"/>
      <c r="F149" s="1957"/>
      <c r="G149" s="763"/>
    </row>
    <row r="150" spans="3:7" s="246" customFormat="1" ht="12" x14ac:dyDescent="0.25">
      <c r="C150" s="817"/>
      <c r="E150" s="771"/>
      <c r="F150" s="1957"/>
      <c r="G150" s="763"/>
    </row>
    <row r="151" spans="3:7" s="246" customFormat="1" ht="12" x14ac:dyDescent="0.25">
      <c r="C151" s="817"/>
      <c r="E151" s="771"/>
      <c r="F151" s="1957"/>
      <c r="G151" s="763"/>
    </row>
    <row r="152" spans="3:7" s="246" customFormat="1" ht="12" x14ac:dyDescent="0.25">
      <c r="C152" s="817"/>
      <c r="E152" s="771"/>
      <c r="F152" s="1957"/>
      <c r="G152" s="763"/>
    </row>
    <row r="153" spans="3:7" s="246" customFormat="1" ht="12" x14ac:dyDescent="0.25">
      <c r="C153" s="817"/>
      <c r="E153" s="771"/>
      <c r="F153" s="1957"/>
      <c r="G153" s="763"/>
    </row>
    <row r="154" spans="3:7" s="246" customFormat="1" ht="12" x14ac:dyDescent="0.25">
      <c r="C154" s="817"/>
      <c r="E154" s="771"/>
      <c r="F154" s="1957"/>
      <c r="G154" s="763"/>
    </row>
    <row r="155" spans="3:7" s="246" customFormat="1" ht="12" x14ac:dyDescent="0.25">
      <c r="C155" s="817"/>
      <c r="E155" s="771"/>
      <c r="F155" s="1957"/>
      <c r="G155" s="763"/>
    </row>
    <row r="156" spans="3:7" s="246" customFormat="1" ht="12" x14ac:dyDescent="0.25">
      <c r="C156" s="817"/>
      <c r="E156" s="771"/>
      <c r="F156" s="1957"/>
      <c r="G156" s="763"/>
    </row>
    <row r="157" spans="3:7" s="246" customFormat="1" ht="12" x14ac:dyDescent="0.25">
      <c r="C157" s="817"/>
      <c r="E157" s="771"/>
      <c r="F157" s="1957"/>
      <c r="G157" s="763"/>
    </row>
    <row r="158" spans="3:7" s="246" customFormat="1" ht="12" x14ac:dyDescent="0.25">
      <c r="C158" s="817"/>
      <c r="E158" s="771"/>
      <c r="F158" s="1957"/>
      <c r="G158" s="763"/>
    </row>
    <row r="159" spans="3:7" s="246" customFormat="1" ht="12" x14ac:dyDescent="0.25">
      <c r="C159" s="817"/>
      <c r="E159" s="771"/>
      <c r="F159" s="1957"/>
      <c r="G159" s="763"/>
    </row>
    <row r="160" spans="3:7" s="246" customFormat="1" ht="12" x14ac:dyDescent="0.25">
      <c r="C160" s="817"/>
      <c r="E160" s="771"/>
      <c r="F160" s="1957"/>
      <c r="G160" s="763"/>
    </row>
    <row r="161" spans="3:7" s="246" customFormat="1" ht="12" x14ac:dyDescent="0.25">
      <c r="C161" s="817"/>
      <c r="E161" s="771"/>
      <c r="F161" s="1957"/>
      <c r="G161" s="763"/>
    </row>
    <row r="162" spans="3:7" s="246" customFormat="1" ht="12" x14ac:dyDescent="0.25">
      <c r="C162" s="817"/>
      <c r="E162" s="771"/>
      <c r="F162" s="1957"/>
      <c r="G162" s="763"/>
    </row>
  </sheetData>
  <sheetProtection algorithmName="SHA-512" hashValue="/+q1ES5C5bak5H19IOu3YpPyZDFQNoUMSAtc44x0r18luhYTYDOeaLeed0xT0ptk8IYbYAHV1AtLx/6T/mb8GA==" saltValue="e6uWj5OKkHvCBB8qUWEwvg==" spinCount="100000" sheet="1" objects="1" scenarios="1"/>
  <mergeCells count="1">
    <mergeCell ref="H3:H4"/>
  </mergeCells>
  <pageMargins left="0.98425196850393704" right="0.39370078740157483" top="0.98425196850393704" bottom="0.74803149606299213" header="0" footer="0.39370078740157483"/>
  <pageSetup paperSize="9" firstPageNumber="0" orientation="portrait" r:id="rId1"/>
  <headerFooter alignWithMargins="0">
    <oddHeader>&amp;L
&amp;R&amp;"Projekt,Običajno"&amp;72p</oddHeader>
    <oddFooter>&amp;C&amp;6 &amp; List: &amp;A&amp;R &amp;  &amp; Stran: &amp;P/&amp;N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3">
    <tabColor theme="6" tint="-0.249977111117893"/>
  </sheetPr>
  <dimension ref="A1:J216"/>
  <sheetViews>
    <sheetView view="pageBreakPreview" zoomScaleNormal="85" zoomScaleSheetLayoutView="100" workbookViewId="0"/>
  </sheetViews>
  <sheetFormatPr defaultRowHeight="12.75" x14ac:dyDescent="0.25"/>
  <cols>
    <col min="1" max="1" width="3.85546875" style="224" customWidth="1"/>
    <col min="2" max="2" width="4.42578125" style="224" customWidth="1"/>
    <col min="3" max="3" width="43" style="818" customWidth="1"/>
    <col min="4" max="4" width="6.28515625" style="224" customWidth="1"/>
    <col min="5" max="5" width="7.5703125" style="764" customWidth="1"/>
    <col min="6" max="6" width="10.5703125" style="1956" customWidth="1"/>
    <col min="7" max="7" width="13.28515625" style="765" customWidth="1"/>
    <col min="8" max="8" width="9.5703125" style="224" customWidth="1"/>
    <col min="9" max="9" width="9.140625" style="224"/>
    <col min="10" max="10" width="9" style="224" customWidth="1"/>
    <col min="11" max="256" width="9.140625" style="224"/>
    <col min="257" max="257" width="3.85546875" style="224" customWidth="1"/>
    <col min="258" max="258" width="4.42578125" style="224" customWidth="1"/>
    <col min="259" max="259" width="43.7109375" style="224" customWidth="1"/>
    <col min="260" max="260" width="6.28515625" style="224" customWidth="1"/>
    <col min="261" max="261" width="7.5703125" style="224" customWidth="1"/>
    <col min="262" max="262" width="9.5703125" style="224" customWidth="1"/>
    <col min="263" max="263" width="13.28515625" style="224" customWidth="1"/>
    <col min="264" max="264" width="9.5703125" style="224" customWidth="1"/>
    <col min="265" max="265" width="9.140625" style="224"/>
    <col min="266" max="266" width="9" style="224" customWidth="1"/>
    <col min="267" max="512" width="9.140625" style="224"/>
    <col min="513" max="513" width="3.85546875" style="224" customWidth="1"/>
    <col min="514" max="514" width="4.42578125" style="224" customWidth="1"/>
    <col min="515" max="515" width="43.7109375" style="224" customWidth="1"/>
    <col min="516" max="516" width="6.28515625" style="224" customWidth="1"/>
    <col min="517" max="517" width="7.5703125" style="224" customWidth="1"/>
    <col min="518" max="518" width="9.5703125" style="224" customWidth="1"/>
    <col min="519" max="519" width="13.28515625" style="224" customWidth="1"/>
    <col min="520" max="520" width="9.5703125" style="224" customWidth="1"/>
    <col min="521" max="521" width="9.140625" style="224"/>
    <col min="522" max="522" width="9" style="224" customWidth="1"/>
    <col min="523" max="768" width="9.140625" style="224"/>
    <col min="769" max="769" width="3.85546875" style="224" customWidth="1"/>
    <col min="770" max="770" width="4.42578125" style="224" customWidth="1"/>
    <col min="771" max="771" width="43.7109375" style="224" customWidth="1"/>
    <col min="772" max="772" width="6.28515625" style="224" customWidth="1"/>
    <col min="773" max="773" width="7.5703125" style="224" customWidth="1"/>
    <col min="774" max="774" width="9.5703125" style="224" customWidth="1"/>
    <col min="775" max="775" width="13.28515625" style="224" customWidth="1"/>
    <col min="776" max="776" width="9.5703125" style="224" customWidth="1"/>
    <col min="777" max="777" width="9.140625" style="224"/>
    <col min="778" max="778" width="9" style="224" customWidth="1"/>
    <col min="779" max="1024" width="9.140625" style="224"/>
    <col min="1025" max="1025" width="3.85546875" style="224" customWidth="1"/>
    <col min="1026" max="1026" width="4.42578125" style="224" customWidth="1"/>
    <col min="1027" max="1027" width="43.7109375" style="224" customWidth="1"/>
    <col min="1028" max="1028" width="6.28515625" style="224" customWidth="1"/>
    <col min="1029" max="1029" width="7.5703125" style="224" customWidth="1"/>
    <col min="1030" max="1030" width="9.5703125" style="224" customWidth="1"/>
    <col min="1031" max="1031" width="13.28515625" style="224" customWidth="1"/>
    <col min="1032" max="1032" width="9.5703125" style="224" customWidth="1"/>
    <col min="1033" max="1033" width="9.140625" style="224"/>
    <col min="1034" max="1034" width="9" style="224" customWidth="1"/>
    <col min="1035" max="1280" width="9.140625" style="224"/>
    <col min="1281" max="1281" width="3.85546875" style="224" customWidth="1"/>
    <col min="1282" max="1282" width="4.42578125" style="224" customWidth="1"/>
    <col min="1283" max="1283" width="43.7109375" style="224" customWidth="1"/>
    <col min="1284" max="1284" width="6.28515625" style="224" customWidth="1"/>
    <col min="1285" max="1285" width="7.5703125" style="224" customWidth="1"/>
    <col min="1286" max="1286" width="9.5703125" style="224" customWidth="1"/>
    <col min="1287" max="1287" width="13.28515625" style="224" customWidth="1"/>
    <col min="1288" max="1288" width="9.5703125" style="224" customWidth="1"/>
    <col min="1289" max="1289" width="9.140625" style="224"/>
    <col min="1290" max="1290" width="9" style="224" customWidth="1"/>
    <col min="1291" max="1536" width="9.140625" style="224"/>
    <col min="1537" max="1537" width="3.85546875" style="224" customWidth="1"/>
    <col min="1538" max="1538" width="4.42578125" style="224" customWidth="1"/>
    <col min="1539" max="1539" width="43.7109375" style="224" customWidth="1"/>
    <col min="1540" max="1540" width="6.28515625" style="224" customWidth="1"/>
    <col min="1541" max="1541" width="7.5703125" style="224" customWidth="1"/>
    <col min="1542" max="1542" width="9.5703125" style="224" customWidth="1"/>
    <col min="1543" max="1543" width="13.28515625" style="224" customWidth="1"/>
    <col min="1544" max="1544" width="9.5703125" style="224" customWidth="1"/>
    <col min="1545" max="1545" width="9.140625" style="224"/>
    <col min="1546" max="1546" width="9" style="224" customWidth="1"/>
    <col min="1547" max="1792" width="9.140625" style="224"/>
    <col min="1793" max="1793" width="3.85546875" style="224" customWidth="1"/>
    <col min="1794" max="1794" width="4.42578125" style="224" customWidth="1"/>
    <col min="1795" max="1795" width="43.7109375" style="224" customWidth="1"/>
    <col min="1796" max="1796" width="6.28515625" style="224" customWidth="1"/>
    <col min="1797" max="1797" width="7.5703125" style="224" customWidth="1"/>
    <col min="1798" max="1798" width="9.5703125" style="224" customWidth="1"/>
    <col min="1799" max="1799" width="13.28515625" style="224" customWidth="1"/>
    <col min="1800" max="1800" width="9.5703125" style="224" customWidth="1"/>
    <col min="1801" max="1801" width="9.140625" style="224"/>
    <col min="1802" max="1802" width="9" style="224" customWidth="1"/>
    <col min="1803" max="2048" width="9.140625" style="224"/>
    <col min="2049" max="2049" width="3.85546875" style="224" customWidth="1"/>
    <col min="2050" max="2050" width="4.42578125" style="224" customWidth="1"/>
    <col min="2051" max="2051" width="43.7109375" style="224" customWidth="1"/>
    <col min="2052" max="2052" width="6.28515625" style="224" customWidth="1"/>
    <col min="2053" max="2053" width="7.5703125" style="224" customWidth="1"/>
    <col min="2054" max="2054" width="9.5703125" style="224" customWidth="1"/>
    <col min="2055" max="2055" width="13.28515625" style="224" customWidth="1"/>
    <col min="2056" max="2056" width="9.5703125" style="224" customWidth="1"/>
    <col min="2057" max="2057" width="9.140625" style="224"/>
    <col min="2058" max="2058" width="9" style="224" customWidth="1"/>
    <col min="2059" max="2304" width="9.140625" style="224"/>
    <col min="2305" max="2305" width="3.85546875" style="224" customWidth="1"/>
    <col min="2306" max="2306" width="4.42578125" style="224" customWidth="1"/>
    <col min="2307" max="2307" width="43.7109375" style="224" customWidth="1"/>
    <col min="2308" max="2308" width="6.28515625" style="224" customWidth="1"/>
    <col min="2309" max="2309" width="7.5703125" style="224" customWidth="1"/>
    <col min="2310" max="2310" width="9.5703125" style="224" customWidth="1"/>
    <col min="2311" max="2311" width="13.28515625" style="224" customWidth="1"/>
    <col min="2312" max="2312" width="9.5703125" style="224" customWidth="1"/>
    <col min="2313" max="2313" width="9.140625" style="224"/>
    <col min="2314" max="2314" width="9" style="224" customWidth="1"/>
    <col min="2315" max="2560" width="9.140625" style="224"/>
    <col min="2561" max="2561" width="3.85546875" style="224" customWidth="1"/>
    <col min="2562" max="2562" width="4.42578125" style="224" customWidth="1"/>
    <col min="2563" max="2563" width="43.7109375" style="224" customWidth="1"/>
    <col min="2564" max="2564" width="6.28515625" style="224" customWidth="1"/>
    <col min="2565" max="2565" width="7.5703125" style="224" customWidth="1"/>
    <col min="2566" max="2566" width="9.5703125" style="224" customWidth="1"/>
    <col min="2567" max="2567" width="13.28515625" style="224" customWidth="1"/>
    <col min="2568" max="2568" width="9.5703125" style="224" customWidth="1"/>
    <col min="2569" max="2569" width="9.140625" style="224"/>
    <col min="2570" max="2570" width="9" style="224" customWidth="1"/>
    <col min="2571" max="2816" width="9.140625" style="224"/>
    <col min="2817" max="2817" width="3.85546875" style="224" customWidth="1"/>
    <col min="2818" max="2818" width="4.42578125" style="224" customWidth="1"/>
    <col min="2819" max="2819" width="43.7109375" style="224" customWidth="1"/>
    <col min="2820" max="2820" width="6.28515625" style="224" customWidth="1"/>
    <col min="2821" max="2821" width="7.5703125" style="224" customWidth="1"/>
    <col min="2822" max="2822" width="9.5703125" style="224" customWidth="1"/>
    <col min="2823" max="2823" width="13.28515625" style="224" customWidth="1"/>
    <col min="2824" max="2824" width="9.5703125" style="224" customWidth="1"/>
    <col min="2825" max="2825" width="9.140625" style="224"/>
    <col min="2826" max="2826" width="9" style="224" customWidth="1"/>
    <col min="2827" max="3072" width="9.140625" style="224"/>
    <col min="3073" max="3073" width="3.85546875" style="224" customWidth="1"/>
    <col min="3074" max="3074" width="4.42578125" style="224" customWidth="1"/>
    <col min="3075" max="3075" width="43.7109375" style="224" customWidth="1"/>
    <col min="3076" max="3076" width="6.28515625" style="224" customWidth="1"/>
    <col min="3077" max="3077" width="7.5703125" style="224" customWidth="1"/>
    <col min="3078" max="3078" width="9.5703125" style="224" customWidth="1"/>
    <col min="3079" max="3079" width="13.28515625" style="224" customWidth="1"/>
    <col min="3080" max="3080" width="9.5703125" style="224" customWidth="1"/>
    <col min="3081" max="3081" width="9.140625" style="224"/>
    <col min="3082" max="3082" width="9" style="224" customWidth="1"/>
    <col min="3083" max="3328" width="9.140625" style="224"/>
    <col min="3329" max="3329" width="3.85546875" style="224" customWidth="1"/>
    <col min="3330" max="3330" width="4.42578125" style="224" customWidth="1"/>
    <col min="3331" max="3331" width="43.7109375" style="224" customWidth="1"/>
    <col min="3332" max="3332" width="6.28515625" style="224" customWidth="1"/>
    <col min="3333" max="3333" width="7.5703125" style="224" customWidth="1"/>
    <col min="3334" max="3334" width="9.5703125" style="224" customWidth="1"/>
    <col min="3335" max="3335" width="13.28515625" style="224" customWidth="1"/>
    <col min="3336" max="3336" width="9.5703125" style="224" customWidth="1"/>
    <col min="3337" max="3337" width="9.140625" style="224"/>
    <col min="3338" max="3338" width="9" style="224" customWidth="1"/>
    <col min="3339" max="3584" width="9.140625" style="224"/>
    <col min="3585" max="3585" width="3.85546875" style="224" customWidth="1"/>
    <col min="3586" max="3586" width="4.42578125" style="224" customWidth="1"/>
    <col min="3587" max="3587" width="43.7109375" style="224" customWidth="1"/>
    <col min="3588" max="3588" width="6.28515625" style="224" customWidth="1"/>
    <col min="3589" max="3589" width="7.5703125" style="224" customWidth="1"/>
    <col min="3590" max="3590" width="9.5703125" style="224" customWidth="1"/>
    <col min="3591" max="3591" width="13.28515625" style="224" customWidth="1"/>
    <col min="3592" max="3592" width="9.5703125" style="224" customWidth="1"/>
    <col min="3593" max="3593" width="9.140625" style="224"/>
    <col min="3594" max="3594" width="9" style="224" customWidth="1"/>
    <col min="3595" max="3840" width="9.140625" style="224"/>
    <col min="3841" max="3841" width="3.85546875" style="224" customWidth="1"/>
    <col min="3842" max="3842" width="4.42578125" style="224" customWidth="1"/>
    <col min="3843" max="3843" width="43.7109375" style="224" customWidth="1"/>
    <col min="3844" max="3844" width="6.28515625" style="224" customWidth="1"/>
    <col min="3845" max="3845" width="7.5703125" style="224" customWidth="1"/>
    <col min="3846" max="3846" width="9.5703125" style="224" customWidth="1"/>
    <col min="3847" max="3847" width="13.28515625" style="224" customWidth="1"/>
    <col min="3848" max="3848" width="9.5703125" style="224" customWidth="1"/>
    <col min="3849" max="3849" width="9.140625" style="224"/>
    <col min="3850" max="3850" width="9" style="224" customWidth="1"/>
    <col min="3851" max="4096" width="9.140625" style="224"/>
    <col min="4097" max="4097" width="3.85546875" style="224" customWidth="1"/>
    <col min="4098" max="4098" width="4.42578125" style="224" customWidth="1"/>
    <col min="4099" max="4099" width="43.7109375" style="224" customWidth="1"/>
    <col min="4100" max="4100" width="6.28515625" style="224" customWidth="1"/>
    <col min="4101" max="4101" width="7.5703125" style="224" customWidth="1"/>
    <col min="4102" max="4102" width="9.5703125" style="224" customWidth="1"/>
    <col min="4103" max="4103" width="13.28515625" style="224" customWidth="1"/>
    <col min="4104" max="4104" width="9.5703125" style="224" customWidth="1"/>
    <col min="4105" max="4105" width="9.140625" style="224"/>
    <col min="4106" max="4106" width="9" style="224" customWidth="1"/>
    <col min="4107" max="4352" width="9.140625" style="224"/>
    <col min="4353" max="4353" width="3.85546875" style="224" customWidth="1"/>
    <col min="4354" max="4354" width="4.42578125" style="224" customWidth="1"/>
    <col min="4355" max="4355" width="43.7109375" style="224" customWidth="1"/>
    <col min="4356" max="4356" width="6.28515625" style="224" customWidth="1"/>
    <col min="4357" max="4357" width="7.5703125" style="224" customWidth="1"/>
    <col min="4358" max="4358" width="9.5703125" style="224" customWidth="1"/>
    <col min="4359" max="4359" width="13.28515625" style="224" customWidth="1"/>
    <col min="4360" max="4360" width="9.5703125" style="224" customWidth="1"/>
    <col min="4361" max="4361" width="9.140625" style="224"/>
    <col min="4362" max="4362" width="9" style="224" customWidth="1"/>
    <col min="4363" max="4608" width="9.140625" style="224"/>
    <col min="4609" max="4609" width="3.85546875" style="224" customWidth="1"/>
    <col min="4610" max="4610" width="4.42578125" style="224" customWidth="1"/>
    <col min="4611" max="4611" width="43.7109375" style="224" customWidth="1"/>
    <col min="4612" max="4612" width="6.28515625" style="224" customWidth="1"/>
    <col min="4613" max="4613" width="7.5703125" style="224" customWidth="1"/>
    <col min="4614" max="4614" width="9.5703125" style="224" customWidth="1"/>
    <col min="4615" max="4615" width="13.28515625" style="224" customWidth="1"/>
    <col min="4616" max="4616" width="9.5703125" style="224" customWidth="1"/>
    <col min="4617" max="4617" width="9.140625" style="224"/>
    <col min="4618" max="4618" width="9" style="224" customWidth="1"/>
    <col min="4619" max="4864" width="9.140625" style="224"/>
    <col min="4865" max="4865" width="3.85546875" style="224" customWidth="1"/>
    <col min="4866" max="4866" width="4.42578125" style="224" customWidth="1"/>
    <col min="4867" max="4867" width="43.7109375" style="224" customWidth="1"/>
    <col min="4868" max="4868" width="6.28515625" style="224" customWidth="1"/>
    <col min="4869" max="4869" width="7.5703125" style="224" customWidth="1"/>
    <col min="4870" max="4870" width="9.5703125" style="224" customWidth="1"/>
    <col min="4871" max="4871" width="13.28515625" style="224" customWidth="1"/>
    <col min="4872" max="4872" width="9.5703125" style="224" customWidth="1"/>
    <col min="4873" max="4873" width="9.140625" style="224"/>
    <col min="4874" max="4874" width="9" style="224" customWidth="1"/>
    <col min="4875" max="5120" width="9.140625" style="224"/>
    <col min="5121" max="5121" width="3.85546875" style="224" customWidth="1"/>
    <col min="5122" max="5122" width="4.42578125" style="224" customWidth="1"/>
    <col min="5123" max="5123" width="43.7109375" style="224" customWidth="1"/>
    <col min="5124" max="5124" width="6.28515625" style="224" customWidth="1"/>
    <col min="5125" max="5125" width="7.5703125" style="224" customWidth="1"/>
    <col min="5126" max="5126" width="9.5703125" style="224" customWidth="1"/>
    <col min="5127" max="5127" width="13.28515625" style="224" customWidth="1"/>
    <col min="5128" max="5128" width="9.5703125" style="224" customWidth="1"/>
    <col min="5129" max="5129" width="9.140625" style="224"/>
    <col min="5130" max="5130" width="9" style="224" customWidth="1"/>
    <col min="5131" max="5376" width="9.140625" style="224"/>
    <col min="5377" max="5377" width="3.85546875" style="224" customWidth="1"/>
    <col min="5378" max="5378" width="4.42578125" style="224" customWidth="1"/>
    <col min="5379" max="5379" width="43.7109375" style="224" customWidth="1"/>
    <col min="5380" max="5380" width="6.28515625" style="224" customWidth="1"/>
    <col min="5381" max="5381" width="7.5703125" style="224" customWidth="1"/>
    <col min="5382" max="5382" width="9.5703125" style="224" customWidth="1"/>
    <col min="5383" max="5383" width="13.28515625" style="224" customWidth="1"/>
    <col min="5384" max="5384" width="9.5703125" style="224" customWidth="1"/>
    <col min="5385" max="5385" width="9.140625" style="224"/>
    <col min="5386" max="5386" width="9" style="224" customWidth="1"/>
    <col min="5387" max="5632" width="9.140625" style="224"/>
    <col min="5633" max="5633" width="3.85546875" style="224" customWidth="1"/>
    <col min="5634" max="5634" width="4.42578125" style="224" customWidth="1"/>
    <col min="5635" max="5635" width="43.7109375" style="224" customWidth="1"/>
    <col min="5636" max="5636" width="6.28515625" style="224" customWidth="1"/>
    <col min="5637" max="5637" width="7.5703125" style="224" customWidth="1"/>
    <col min="5638" max="5638" width="9.5703125" style="224" customWidth="1"/>
    <col min="5639" max="5639" width="13.28515625" style="224" customWidth="1"/>
    <col min="5640" max="5640" width="9.5703125" style="224" customWidth="1"/>
    <col min="5641" max="5641" width="9.140625" style="224"/>
    <col min="5642" max="5642" width="9" style="224" customWidth="1"/>
    <col min="5643" max="5888" width="9.140625" style="224"/>
    <col min="5889" max="5889" width="3.85546875" style="224" customWidth="1"/>
    <col min="5890" max="5890" width="4.42578125" style="224" customWidth="1"/>
    <col min="5891" max="5891" width="43.7109375" style="224" customWidth="1"/>
    <col min="5892" max="5892" width="6.28515625" style="224" customWidth="1"/>
    <col min="5893" max="5893" width="7.5703125" style="224" customWidth="1"/>
    <col min="5894" max="5894" width="9.5703125" style="224" customWidth="1"/>
    <col min="5895" max="5895" width="13.28515625" style="224" customWidth="1"/>
    <col min="5896" max="5896" width="9.5703125" style="224" customWidth="1"/>
    <col min="5897" max="5897" width="9.140625" style="224"/>
    <col min="5898" max="5898" width="9" style="224" customWidth="1"/>
    <col min="5899" max="6144" width="9.140625" style="224"/>
    <col min="6145" max="6145" width="3.85546875" style="224" customWidth="1"/>
    <col min="6146" max="6146" width="4.42578125" style="224" customWidth="1"/>
    <col min="6147" max="6147" width="43.7109375" style="224" customWidth="1"/>
    <col min="6148" max="6148" width="6.28515625" style="224" customWidth="1"/>
    <col min="6149" max="6149" width="7.5703125" style="224" customWidth="1"/>
    <col min="6150" max="6150" width="9.5703125" style="224" customWidth="1"/>
    <col min="6151" max="6151" width="13.28515625" style="224" customWidth="1"/>
    <col min="6152" max="6152" width="9.5703125" style="224" customWidth="1"/>
    <col min="6153" max="6153" width="9.140625" style="224"/>
    <col min="6154" max="6154" width="9" style="224" customWidth="1"/>
    <col min="6155" max="6400" width="9.140625" style="224"/>
    <col min="6401" max="6401" width="3.85546875" style="224" customWidth="1"/>
    <col min="6402" max="6402" width="4.42578125" style="224" customWidth="1"/>
    <col min="6403" max="6403" width="43.7109375" style="224" customWidth="1"/>
    <col min="6404" max="6404" width="6.28515625" style="224" customWidth="1"/>
    <col min="6405" max="6405" width="7.5703125" style="224" customWidth="1"/>
    <col min="6406" max="6406" width="9.5703125" style="224" customWidth="1"/>
    <col min="6407" max="6407" width="13.28515625" style="224" customWidth="1"/>
    <col min="6408" max="6408" width="9.5703125" style="224" customWidth="1"/>
    <col min="6409" max="6409" width="9.140625" style="224"/>
    <col min="6410" max="6410" width="9" style="224" customWidth="1"/>
    <col min="6411" max="6656" width="9.140625" style="224"/>
    <col min="6657" max="6657" width="3.85546875" style="224" customWidth="1"/>
    <col min="6658" max="6658" width="4.42578125" style="224" customWidth="1"/>
    <col min="6659" max="6659" width="43.7109375" style="224" customWidth="1"/>
    <col min="6660" max="6660" width="6.28515625" style="224" customWidth="1"/>
    <col min="6661" max="6661" width="7.5703125" style="224" customWidth="1"/>
    <col min="6662" max="6662" width="9.5703125" style="224" customWidth="1"/>
    <col min="6663" max="6663" width="13.28515625" style="224" customWidth="1"/>
    <col min="6664" max="6664" width="9.5703125" style="224" customWidth="1"/>
    <col min="6665" max="6665" width="9.140625" style="224"/>
    <col min="6666" max="6666" width="9" style="224" customWidth="1"/>
    <col min="6667" max="6912" width="9.140625" style="224"/>
    <col min="6913" max="6913" width="3.85546875" style="224" customWidth="1"/>
    <col min="6914" max="6914" width="4.42578125" style="224" customWidth="1"/>
    <col min="6915" max="6915" width="43.7109375" style="224" customWidth="1"/>
    <col min="6916" max="6916" width="6.28515625" style="224" customWidth="1"/>
    <col min="6917" max="6917" width="7.5703125" style="224" customWidth="1"/>
    <col min="6918" max="6918" width="9.5703125" style="224" customWidth="1"/>
    <col min="6919" max="6919" width="13.28515625" style="224" customWidth="1"/>
    <col min="6920" max="6920" width="9.5703125" style="224" customWidth="1"/>
    <col min="6921" max="6921" width="9.140625" style="224"/>
    <col min="6922" max="6922" width="9" style="224" customWidth="1"/>
    <col min="6923" max="7168" width="9.140625" style="224"/>
    <col min="7169" max="7169" width="3.85546875" style="224" customWidth="1"/>
    <col min="7170" max="7170" width="4.42578125" style="224" customWidth="1"/>
    <col min="7171" max="7171" width="43.7109375" style="224" customWidth="1"/>
    <col min="7172" max="7172" width="6.28515625" style="224" customWidth="1"/>
    <col min="7173" max="7173" width="7.5703125" style="224" customWidth="1"/>
    <col min="7174" max="7174" width="9.5703125" style="224" customWidth="1"/>
    <col min="7175" max="7175" width="13.28515625" style="224" customWidth="1"/>
    <col min="7176" max="7176" width="9.5703125" style="224" customWidth="1"/>
    <col min="7177" max="7177" width="9.140625" style="224"/>
    <col min="7178" max="7178" width="9" style="224" customWidth="1"/>
    <col min="7179" max="7424" width="9.140625" style="224"/>
    <col min="7425" max="7425" width="3.85546875" style="224" customWidth="1"/>
    <col min="7426" max="7426" width="4.42578125" style="224" customWidth="1"/>
    <col min="7427" max="7427" width="43.7109375" style="224" customWidth="1"/>
    <col min="7428" max="7428" width="6.28515625" style="224" customWidth="1"/>
    <col min="7429" max="7429" width="7.5703125" style="224" customWidth="1"/>
    <col min="7430" max="7430" width="9.5703125" style="224" customWidth="1"/>
    <col min="7431" max="7431" width="13.28515625" style="224" customWidth="1"/>
    <col min="7432" max="7432" width="9.5703125" style="224" customWidth="1"/>
    <col min="7433" max="7433" width="9.140625" style="224"/>
    <col min="7434" max="7434" width="9" style="224" customWidth="1"/>
    <col min="7435" max="7680" width="9.140625" style="224"/>
    <col min="7681" max="7681" width="3.85546875" style="224" customWidth="1"/>
    <col min="7682" max="7682" width="4.42578125" style="224" customWidth="1"/>
    <col min="7683" max="7683" width="43.7109375" style="224" customWidth="1"/>
    <col min="7684" max="7684" width="6.28515625" style="224" customWidth="1"/>
    <col min="7685" max="7685" width="7.5703125" style="224" customWidth="1"/>
    <col min="7686" max="7686" width="9.5703125" style="224" customWidth="1"/>
    <col min="7687" max="7687" width="13.28515625" style="224" customWidth="1"/>
    <col min="7688" max="7688" width="9.5703125" style="224" customWidth="1"/>
    <col min="7689" max="7689" width="9.140625" style="224"/>
    <col min="7690" max="7690" width="9" style="224" customWidth="1"/>
    <col min="7691" max="7936" width="9.140625" style="224"/>
    <col min="7937" max="7937" width="3.85546875" style="224" customWidth="1"/>
    <col min="7938" max="7938" width="4.42578125" style="224" customWidth="1"/>
    <col min="7939" max="7939" width="43.7109375" style="224" customWidth="1"/>
    <col min="7940" max="7940" width="6.28515625" style="224" customWidth="1"/>
    <col min="7941" max="7941" width="7.5703125" style="224" customWidth="1"/>
    <col min="7942" max="7942" width="9.5703125" style="224" customWidth="1"/>
    <col min="7943" max="7943" width="13.28515625" style="224" customWidth="1"/>
    <col min="7944" max="7944" width="9.5703125" style="224" customWidth="1"/>
    <col min="7945" max="7945" width="9.140625" style="224"/>
    <col min="7946" max="7946" width="9" style="224" customWidth="1"/>
    <col min="7947" max="8192" width="9.140625" style="224"/>
    <col min="8193" max="8193" width="3.85546875" style="224" customWidth="1"/>
    <col min="8194" max="8194" width="4.42578125" style="224" customWidth="1"/>
    <col min="8195" max="8195" width="43.7109375" style="224" customWidth="1"/>
    <col min="8196" max="8196" width="6.28515625" style="224" customWidth="1"/>
    <col min="8197" max="8197" width="7.5703125" style="224" customWidth="1"/>
    <col min="8198" max="8198" width="9.5703125" style="224" customWidth="1"/>
    <col min="8199" max="8199" width="13.28515625" style="224" customWidth="1"/>
    <col min="8200" max="8200" width="9.5703125" style="224" customWidth="1"/>
    <col min="8201" max="8201" width="9.140625" style="224"/>
    <col min="8202" max="8202" width="9" style="224" customWidth="1"/>
    <col min="8203" max="8448" width="9.140625" style="224"/>
    <col min="8449" max="8449" width="3.85546875" style="224" customWidth="1"/>
    <col min="8450" max="8450" width="4.42578125" style="224" customWidth="1"/>
    <col min="8451" max="8451" width="43.7109375" style="224" customWidth="1"/>
    <col min="8452" max="8452" width="6.28515625" style="224" customWidth="1"/>
    <col min="8453" max="8453" width="7.5703125" style="224" customWidth="1"/>
    <col min="8454" max="8454" width="9.5703125" style="224" customWidth="1"/>
    <col min="8455" max="8455" width="13.28515625" style="224" customWidth="1"/>
    <col min="8456" max="8456" width="9.5703125" style="224" customWidth="1"/>
    <col min="8457" max="8457" width="9.140625" style="224"/>
    <col min="8458" max="8458" width="9" style="224" customWidth="1"/>
    <col min="8459" max="8704" width="9.140625" style="224"/>
    <col min="8705" max="8705" width="3.85546875" style="224" customWidth="1"/>
    <col min="8706" max="8706" width="4.42578125" style="224" customWidth="1"/>
    <col min="8707" max="8707" width="43.7109375" style="224" customWidth="1"/>
    <col min="8708" max="8708" width="6.28515625" style="224" customWidth="1"/>
    <col min="8709" max="8709" width="7.5703125" style="224" customWidth="1"/>
    <col min="8710" max="8710" width="9.5703125" style="224" customWidth="1"/>
    <col min="8711" max="8711" width="13.28515625" style="224" customWidth="1"/>
    <col min="8712" max="8712" width="9.5703125" style="224" customWidth="1"/>
    <col min="8713" max="8713" width="9.140625" style="224"/>
    <col min="8714" max="8714" width="9" style="224" customWidth="1"/>
    <col min="8715" max="8960" width="9.140625" style="224"/>
    <col min="8961" max="8961" width="3.85546875" style="224" customWidth="1"/>
    <col min="8962" max="8962" width="4.42578125" style="224" customWidth="1"/>
    <col min="8963" max="8963" width="43.7109375" style="224" customWidth="1"/>
    <col min="8964" max="8964" width="6.28515625" style="224" customWidth="1"/>
    <col min="8965" max="8965" width="7.5703125" style="224" customWidth="1"/>
    <col min="8966" max="8966" width="9.5703125" style="224" customWidth="1"/>
    <col min="8967" max="8967" width="13.28515625" style="224" customWidth="1"/>
    <col min="8968" max="8968" width="9.5703125" style="224" customWidth="1"/>
    <col min="8969" max="8969" width="9.140625" style="224"/>
    <col min="8970" max="8970" width="9" style="224" customWidth="1"/>
    <col min="8971" max="9216" width="9.140625" style="224"/>
    <col min="9217" max="9217" width="3.85546875" style="224" customWidth="1"/>
    <col min="9218" max="9218" width="4.42578125" style="224" customWidth="1"/>
    <col min="9219" max="9219" width="43.7109375" style="224" customWidth="1"/>
    <col min="9220" max="9220" width="6.28515625" style="224" customWidth="1"/>
    <col min="9221" max="9221" width="7.5703125" style="224" customWidth="1"/>
    <col min="9222" max="9222" width="9.5703125" style="224" customWidth="1"/>
    <col min="9223" max="9223" width="13.28515625" style="224" customWidth="1"/>
    <col min="9224" max="9224" width="9.5703125" style="224" customWidth="1"/>
    <col min="9225" max="9225" width="9.140625" style="224"/>
    <col min="9226" max="9226" width="9" style="224" customWidth="1"/>
    <col min="9227" max="9472" width="9.140625" style="224"/>
    <col min="9473" max="9473" width="3.85546875" style="224" customWidth="1"/>
    <col min="9474" max="9474" width="4.42578125" style="224" customWidth="1"/>
    <col min="9475" max="9475" width="43.7109375" style="224" customWidth="1"/>
    <col min="9476" max="9476" width="6.28515625" style="224" customWidth="1"/>
    <col min="9477" max="9477" width="7.5703125" style="224" customWidth="1"/>
    <col min="9478" max="9478" width="9.5703125" style="224" customWidth="1"/>
    <col min="9479" max="9479" width="13.28515625" style="224" customWidth="1"/>
    <col min="9480" max="9480" width="9.5703125" style="224" customWidth="1"/>
    <col min="9481" max="9481" width="9.140625" style="224"/>
    <col min="9482" max="9482" width="9" style="224" customWidth="1"/>
    <col min="9483" max="9728" width="9.140625" style="224"/>
    <col min="9729" max="9729" width="3.85546875" style="224" customWidth="1"/>
    <col min="9730" max="9730" width="4.42578125" style="224" customWidth="1"/>
    <col min="9731" max="9731" width="43.7109375" style="224" customWidth="1"/>
    <col min="9732" max="9732" width="6.28515625" style="224" customWidth="1"/>
    <col min="9733" max="9733" width="7.5703125" style="224" customWidth="1"/>
    <col min="9734" max="9734" width="9.5703125" style="224" customWidth="1"/>
    <col min="9735" max="9735" width="13.28515625" style="224" customWidth="1"/>
    <col min="9736" max="9736" width="9.5703125" style="224" customWidth="1"/>
    <col min="9737" max="9737" width="9.140625" style="224"/>
    <col min="9738" max="9738" width="9" style="224" customWidth="1"/>
    <col min="9739" max="9984" width="9.140625" style="224"/>
    <col min="9985" max="9985" width="3.85546875" style="224" customWidth="1"/>
    <col min="9986" max="9986" width="4.42578125" style="224" customWidth="1"/>
    <col min="9987" max="9987" width="43.7109375" style="224" customWidth="1"/>
    <col min="9988" max="9988" width="6.28515625" style="224" customWidth="1"/>
    <col min="9989" max="9989" width="7.5703125" style="224" customWidth="1"/>
    <col min="9990" max="9990" width="9.5703125" style="224" customWidth="1"/>
    <col min="9991" max="9991" width="13.28515625" style="224" customWidth="1"/>
    <col min="9992" max="9992" width="9.5703125" style="224" customWidth="1"/>
    <col min="9993" max="9993" width="9.140625" style="224"/>
    <col min="9994" max="9994" width="9" style="224" customWidth="1"/>
    <col min="9995" max="10240" width="9.140625" style="224"/>
    <col min="10241" max="10241" width="3.85546875" style="224" customWidth="1"/>
    <col min="10242" max="10242" width="4.42578125" style="224" customWidth="1"/>
    <col min="10243" max="10243" width="43.7109375" style="224" customWidth="1"/>
    <col min="10244" max="10244" width="6.28515625" style="224" customWidth="1"/>
    <col min="10245" max="10245" width="7.5703125" style="224" customWidth="1"/>
    <col min="10246" max="10246" width="9.5703125" style="224" customWidth="1"/>
    <col min="10247" max="10247" width="13.28515625" style="224" customWidth="1"/>
    <col min="10248" max="10248" width="9.5703125" style="224" customWidth="1"/>
    <col min="10249" max="10249" width="9.140625" style="224"/>
    <col min="10250" max="10250" width="9" style="224" customWidth="1"/>
    <col min="10251" max="10496" width="9.140625" style="224"/>
    <col min="10497" max="10497" width="3.85546875" style="224" customWidth="1"/>
    <col min="10498" max="10498" width="4.42578125" style="224" customWidth="1"/>
    <col min="10499" max="10499" width="43.7109375" style="224" customWidth="1"/>
    <col min="10500" max="10500" width="6.28515625" style="224" customWidth="1"/>
    <col min="10501" max="10501" width="7.5703125" style="224" customWidth="1"/>
    <col min="10502" max="10502" width="9.5703125" style="224" customWidth="1"/>
    <col min="10503" max="10503" width="13.28515625" style="224" customWidth="1"/>
    <col min="10504" max="10504" width="9.5703125" style="224" customWidth="1"/>
    <col min="10505" max="10505" width="9.140625" style="224"/>
    <col min="10506" max="10506" width="9" style="224" customWidth="1"/>
    <col min="10507" max="10752" width="9.140625" style="224"/>
    <col min="10753" max="10753" width="3.85546875" style="224" customWidth="1"/>
    <col min="10754" max="10754" width="4.42578125" style="224" customWidth="1"/>
    <col min="10755" max="10755" width="43.7109375" style="224" customWidth="1"/>
    <col min="10756" max="10756" width="6.28515625" style="224" customWidth="1"/>
    <col min="10757" max="10757" width="7.5703125" style="224" customWidth="1"/>
    <col min="10758" max="10758" width="9.5703125" style="224" customWidth="1"/>
    <col min="10759" max="10759" width="13.28515625" style="224" customWidth="1"/>
    <col min="10760" max="10760" width="9.5703125" style="224" customWidth="1"/>
    <col min="10761" max="10761" width="9.140625" style="224"/>
    <col min="10762" max="10762" width="9" style="224" customWidth="1"/>
    <col min="10763" max="11008" width="9.140625" style="224"/>
    <col min="11009" max="11009" width="3.85546875" style="224" customWidth="1"/>
    <col min="11010" max="11010" width="4.42578125" style="224" customWidth="1"/>
    <col min="11011" max="11011" width="43.7109375" style="224" customWidth="1"/>
    <col min="11012" max="11012" width="6.28515625" style="224" customWidth="1"/>
    <col min="11013" max="11013" width="7.5703125" style="224" customWidth="1"/>
    <col min="11014" max="11014" width="9.5703125" style="224" customWidth="1"/>
    <col min="11015" max="11015" width="13.28515625" style="224" customWidth="1"/>
    <col min="11016" max="11016" width="9.5703125" style="224" customWidth="1"/>
    <col min="11017" max="11017" width="9.140625" style="224"/>
    <col min="11018" max="11018" width="9" style="224" customWidth="1"/>
    <col min="11019" max="11264" width="9.140625" style="224"/>
    <col min="11265" max="11265" width="3.85546875" style="224" customWidth="1"/>
    <col min="11266" max="11266" width="4.42578125" style="224" customWidth="1"/>
    <col min="11267" max="11267" width="43.7109375" style="224" customWidth="1"/>
    <col min="11268" max="11268" width="6.28515625" style="224" customWidth="1"/>
    <col min="11269" max="11269" width="7.5703125" style="224" customWidth="1"/>
    <col min="11270" max="11270" width="9.5703125" style="224" customWidth="1"/>
    <col min="11271" max="11271" width="13.28515625" style="224" customWidth="1"/>
    <col min="11272" max="11272" width="9.5703125" style="224" customWidth="1"/>
    <col min="11273" max="11273" width="9.140625" style="224"/>
    <col min="11274" max="11274" width="9" style="224" customWidth="1"/>
    <col min="11275" max="11520" width="9.140625" style="224"/>
    <col min="11521" max="11521" width="3.85546875" style="224" customWidth="1"/>
    <col min="11522" max="11522" width="4.42578125" style="224" customWidth="1"/>
    <col min="11523" max="11523" width="43.7109375" style="224" customWidth="1"/>
    <col min="11524" max="11524" width="6.28515625" style="224" customWidth="1"/>
    <col min="11525" max="11525" width="7.5703125" style="224" customWidth="1"/>
    <col min="11526" max="11526" width="9.5703125" style="224" customWidth="1"/>
    <col min="11527" max="11527" width="13.28515625" style="224" customWidth="1"/>
    <col min="11528" max="11528" width="9.5703125" style="224" customWidth="1"/>
    <col min="11529" max="11529" width="9.140625" style="224"/>
    <col min="11530" max="11530" width="9" style="224" customWidth="1"/>
    <col min="11531" max="11776" width="9.140625" style="224"/>
    <col min="11777" max="11777" width="3.85546875" style="224" customWidth="1"/>
    <col min="11778" max="11778" width="4.42578125" style="224" customWidth="1"/>
    <col min="11779" max="11779" width="43.7109375" style="224" customWidth="1"/>
    <col min="11780" max="11780" width="6.28515625" style="224" customWidth="1"/>
    <col min="11781" max="11781" width="7.5703125" style="224" customWidth="1"/>
    <col min="11782" max="11782" width="9.5703125" style="224" customWidth="1"/>
    <col min="11783" max="11783" width="13.28515625" style="224" customWidth="1"/>
    <col min="11784" max="11784" width="9.5703125" style="224" customWidth="1"/>
    <col min="11785" max="11785" width="9.140625" style="224"/>
    <col min="11786" max="11786" width="9" style="224" customWidth="1"/>
    <col min="11787" max="12032" width="9.140625" style="224"/>
    <col min="12033" max="12033" width="3.85546875" style="224" customWidth="1"/>
    <col min="12034" max="12034" width="4.42578125" style="224" customWidth="1"/>
    <col min="12035" max="12035" width="43.7109375" style="224" customWidth="1"/>
    <col min="12036" max="12036" width="6.28515625" style="224" customWidth="1"/>
    <col min="12037" max="12037" width="7.5703125" style="224" customWidth="1"/>
    <col min="12038" max="12038" width="9.5703125" style="224" customWidth="1"/>
    <col min="12039" max="12039" width="13.28515625" style="224" customWidth="1"/>
    <col min="12040" max="12040" width="9.5703125" style="224" customWidth="1"/>
    <col min="12041" max="12041" width="9.140625" style="224"/>
    <col min="12042" max="12042" width="9" style="224" customWidth="1"/>
    <col min="12043" max="12288" width="9.140625" style="224"/>
    <col min="12289" max="12289" width="3.85546875" style="224" customWidth="1"/>
    <col min="12290" max="12290" width="4.42578125" style="224" customWidth="1"/>
    <col min="12291" max="12291" width="43.7109375" style="224" customWidth="1"/>
    <col min="12292" max="12292" width="6.28515625" style="224" customWidth="1"/>
    <col min="12293" max="12293" width="7.5703125" style="224" customWidth="1"/>
    <col min="12294" max="12294" width="9.5703125" style="224" customWidth="1"/>
    <col min="12295" max="12295" width="13.28515625" style="224" customWidth="1"/>
    <col min="12296" max="12296" width="9.5703125" style="224" customWidth="1"/>
    <col min="12297" max="12297" width="9.140625" style="224"/>
    <col min="12298" max="12298" width="9" style="224" customWidth="1"/>
    <col min="12299" max="12544" width="9.140625" style="224"/>
    <col min="12545" max="12545" width="3.85546875" style="224" customWidth="1"/>
    <col min="12546" max="12546" width="4.42578125" style="224" customWidth="1"/>
    <col min="12547" max="12547" width="43.7109375" style="224" customWidth="1"/>
    <col min="12548" max="12548" width="6.28515625" style="224" customWidth="1"/>
    <col min="12549" max="12549" width="7.5703125" style="224" customWidth="1"/>
    <col min="12550" max="12550" width="9.5703125" style="224" customWidth="1"/>
    <col min="12551" max="12551" width="13.28515625" style="224" customWidth="1"/>
    <col min="12552" max="12552" width="9.5703125" style="224" customWidth="1"/>
    <col min="12553" max="12553" width="9.140625" style="224"/>
    <col min="12554" max="12554" width="9" style="224" customWidth="1"/>
    <col min="12555" max="12800" width="9.140625" style="224"/>
    <col min="12801" max="12801" width="3.85546875" style="224" customWidth="1"/>
    <col min="12802" max="12802" width="4.42578125" style="224" customWidth="1"/>
    <col min="12803" max="12803" width="43.7109375" style="224" customWidth="1"/>
    <col min="12804" max="12804" width="6.28515625" style="224" customWidth="1"/>
    <col min="12805" max="12805" width="7.5703125" style="224" customWidth="1"/>
    <col min="12806" max="12806" width="9.5703125" style="224" customWidth="1"/>
    <col min="12807" max="12807" width="13.28515625" style="224" customWidth="1"/>
    <col min="12808" max="12808" width="9.5703125" style="224" customWidth="1"/>
    <col min="12809" max="12809" width="9.140625" style="224"/>
    <col min="12810" max="12810" width="9" style="224" customWidth="1"/>
    <col min="12811" max="13056" width="9.140625" style="224"/>
    <col min="13057" max="13057" width="3.85546875" style="224" customWidth="1"/>
    <col min="13058" max="13058" width="4.42578125" style="224" customWidth="1"/>
    <col min="13059" max="13059" width="43.7109375" style="224" customWidth="1"/>
    <col min="13060" max="13060" width="6.28515625" style="224" customWidth="1"/>
    <col min="13061" max="13061" width="7.5703125" style="224" customWidth="1"/>
    <col min="13062" max="13062" width="9.5703125" style="224" customWidth="1"/>
    <col min="13063" max="13063" width="13.28515625" style="224" customWidth="1"/>
    <col min="13064" max="13064" width="9.5703125" style="224" customWidth="1"/>
    <col min="13065" max="13065" width="9.140625" style="224"/>
    <col min="13066" max="13066" width="9" style="224" customWidth="1"/>
    <col min="13067" max="13312" width="9.140625" style="224"/>
    <col min="13313" max="13313" width="3.85546875" style="224" customWidth="1"/>
    <col min="13314" max="13314" width="4.42578125" style="224" customWidth="1"/>
    <col min="13315" max="13315" width="43.7109375" style="224" customWidth="1"/>
    <col min="13316" max="13316" width="6.28515625" style="224" customWidth="1"/>
    <col min="13317" max="13317" width="7.5703125" style="224" customWidth="1"/>
    <col min="13318" max="13318" width="9.5703125" style="224" customWidth="1"/>
    <col min="13319" max="13319" width="13.28515625" style="224" customWidth="1"/>
    <col min="13320" max="13320" width="9.5703125" style="224" customWidth="1"/>
    <col min="13321" max="13321" width="9.140625" style="224"/>
    <col min="13322" max="13322" width="9" style="224" customWidth="1"/>
    <col min="13323" max="13568" width="9.140625" style="224"/>
    <col min="13569" max="13569" width="3.85546875" style="224" customWidth="1"/>
    <col min="13570" max="13570" width="4.42578125" style="224" customWidth="1"/>
    <col min="13571" max="13571" width="43.7109375" style="224" customWidth="1"/>
    <col min="13572" max="13572" width="6.28515625" style="224" customWidth="1"/>
    <col min="13573" max="13573" width="7.5703125" style="224" customWidth="1"/>
    <col min="13574" max="13574" width="9.5703125" style="224" customWidth="1"/>
    <col min="13575" max="13575" width="13.28515625" style="224" customWidth="1"/>
    <col min="13576" max="13576" width="9.5703125" style="224" customWidth="1"/>
    <col min="13577" max="13577" width="9.140625" style="224"/>
    <col min="13578" max="13578" width="9" style="224" customWidth="1"/>
    <col min="13579" max="13824" width="9.140625" style="224"/>
    <col min="13825" max="13825" width="3.85546875" style="224" customWidth="1"/>
    <col min="13826" max="13826" width="4.42578125" style="224" customWidth="1"/>
    <col min="13827" max="13827" width="43.7109375" style="224" customWidth="1"/>
    <col min="13828" max="13828" width="6.28515625" style="224" customWidth="1"/>
    <col min="13829" max="13829" width="7.5703125" style="224" customWidth="1"/>
    <col min="13830" max="13830" width="9.5703125" style="224" customWidth="1"/>
    <col min="13831" max="13831" width="13.28515625" style="224" customWidth="1"/>
    <col min="13832" max="13832" width="9.5703125" style="224" customWidth="1"/>
    <col min="13833" max="13833" width="9.140625" style="224"/>
    <col min="13834" max="13834" width="9" style="224" customWidth="1"/>
    <col min="13835" max="14080" width="9.140625" style="224"/>
    <col min="14081" max="14081" width="3.85546875" style="224" customWidth="1"/>
    <col min="14082" max="14082" width="4.42578125" style="224" customWidth="1"/>
    <col min="14083" max="14083" width="43.7109375" style="224" customWidth="1"/>
    <col min="14084" max="14084" width="6.28515625" style="224" customWidth="1"/>
    <col min="14085" max="14085" width="7.5703125" style="224" customWidth="1"/>
    <col min="14086" max="14086" width="9.5703125" style="224" customWidth="1"/>
    <col min="14087" max="14087" width="13.28515625" style="224" customWidth="1"/>
    <col min="14088" max="14088" width="9.5703125" style="224" customWidth="1"/>
    <col min="14089" max="14089" width="9.140625" style="224"/>
    <col min="14090" max="14090" width="9" style="224" customWidth="1"/>
    <col min="14091" max="14336" width="9.140625" style="224"/>
    <col min="14337" max="14337" width="3.85546875" style="224" customWidth="1"/>
    <col min="14338" max="14338" width="4.42578125" style="224" customWidth="1"/>
    <col min="14339" max="14339" width="43.7109375" style="224" customWidth="1"/>
    <col min="14340" max="14340" width="6.28515625" style="224" customWidth="1"/>
    <col min="14341" max="14341" width="7.5703125" style="224" customWidth="1"/>
    <col min="14342" max="14342" width="9.5703125" style="224" customWidth="1"/>
    <col min="14343" max="14343" width="13.28515625" style="224" customWidth="1"/>
    <col min="14344" max="14344" width="9.5703125" style="224" customWidth="1"/>
    <col min="14345" max="14345" width="9.140625" style="224"/>
    <col min="14346" max="14346" width="9" style="224" customWidth="1"/>
    <col min="14347" max="14592" width="9.140625" style="224"/>
    <col min="14593" max="14593" width="3.85546875" style="224" customWidth="1"/>
    <col min="14594" max="14594" width="4.42578125" style="224" customWidth="1"/>
    <col min="14595" max="14595" width="43.7109375" style="224" customWidth="1"/>
    <col min="14596" max="14596" width="6.28515625" style="224" customWidth="1"/>
    <col min="14597" max="14597" width="7.5703125" style="224" customWidth="1"/>
    <col min="14598" max="14598" width="9.5703125" style="224" customWidth="1"/>
    <col min="14599" max="14599" width="13.28515625" style="224" customWidth="1"/>
    <col min="14600" max="14600" width="9.5703125" style="224" customWidth="1"/>
    <col min="14601" max="14601" width="9.140625" style="224"/>
    <col min="14602" max="14602" width="9" style="224" customWidth="1"/>
    <col min="14603" max="14848" width="9.140625" style="224"/>
    <col min="14849" max="14849" width="3.85546875" style="224" customWidth="1"/>
    <col min="14850" max="14850" width="4.42578125" style="224" customWidth="1"/>
    <col min="14851" max="14851" width="43.7109375" style="224" customWidth="1"/>
    <col min="14852" max="14852" width="6.28515625" style="224" customWidth="1"/>
    <col min="14853" max="14853" width="7.5703125" style="224" customWidth="1"/>
    <col min="14854" max="14854" width="9.5703125" style="224" customWidth="1"/>
    <col min="14855" max="14855" width="13.28515625" style="224" customWidth="1"/>
    <col min="14856" max="14856" width="9.5703125" style="224" customWidth="1"/>
    <col min="14857" max="14857" width="9.140625" style="224"/>
    <col min="14858" max="14858" width="9" style="224" customWidth="1"/>
    <col min="14859" max="15104" width="9.140625" style="224"/>
    <col min="15105" max="15105" width="3.85546875" style="224" customWidth="1"/>
    <col min="15106" max="15106" width="4.42578125" style="224" customWidth="1"/>
    <col min="15107" max="15107" width="43.7109375" style="224" customWidth="1"/>
    <col min="15108" max="15108" width="6.28515625" style="224" customWidth="1"/>
    <col min="15109" max="15109" width="7.5703125" style="224" customWidth="1"/>
    <col min="15110" max="15110" width="9.5703125" style="224" customWidth="1"/>
    <col min="15111" max="15111" width="13.28515625" style="224" customWidth="1"/>
    <col min="15112" max="15112" width="9.5703125" style="224" customWidth="1"/>
    <col min="15113" max="15113" width="9.140625" style="224"/>
    <col min="15114" max="15114" width="9" style="224" customWidth="1"/>
    <col min="15115" max="15360" width="9.140625" style="224"/>
    <col min="15361" max="15361" width="3.85546875" style="224" customWidth="1"/>
    <col min="15362" max="15362" width="4.42578125" style="224" customWidth="1"/>
    <col min="15363" max="15363" width="43.7109375" style="224" customWidth="1"/>
    <col min="15364" max="15364" width="6.28515625" style="224" customWidth="1"/>
    <col min="15365" max="15365" width="7.5703125" style="224" customWidth="1"/>
    <col min="15366" max="15366" width="9.5703125" style="224" customWidth="1"/>
    <col min="15367" max="15367" width="13.28515625" style="224" customWidth="1"/>
    <col min="15368" max="15368" width="9.5703125" style="224" customWidth="1"/>
    <col min="15369" max="15369" width="9.140625" style="224"/>
    <col min="15370" max="15370" width="9" style="224" customWidth="1"/>
    <col min="15371" max="15616" width="9.140625" style="224"/>
    <col min="15617" max="15617" width="3.85546875" style="224" customWidth="1"/>
    <col min="15618" max="15618" width="4.42578125" style="224" customWidth="1"/>
    <col min="15619" max="15619" width="43.7109375" style="224" customWidth="1"/>
    <col min="15620" max="15620" width="6.28515625" style="224" customWidth="1"/>
    <col min="15621" max="15621" width="7.5703125" style="224" customWidth="1"/>
    <col min="15622" max="15622" width="9.5703125" style="224" customWidth="1"/>
    <col min="15623" max="15623" width="13.28515625" style="224" customWidth="1"/>
    <col min="15624" max="15624" width="9.5703125" style="224" customWidth="1"/>
    <col min="15625" max="15625" width="9.140625" style="224"/>
    <col min="15626" max="15626" width="9" style="224" customWidth="1"/>
    <col min="15627" max="15872" width="9.140625" style="224"/>
    <col min="15873" max="15873" width="3.85546875" style="224" customWidth="1"/>
    <col min="15874" max="15874" width="4.42578125" style="224" customWidth="1"/>
    <col min="15875" max="15875" width="43.7109375" style="224" customWidth="1"/>
    <col min="15876" max="15876" width="6.28515625" style="224" customWidth="1"/>
    <col min="15877" max="15877" width="7.5703125" style="224" customWidth="1"/>
    <col min="15878" max="15878" width="9.5703125" style="224" customWidth="1"/>
    <col min="15879" max="15879" width="13.28515625" style="224" customWidth="1"/>
    <col min="15880" max="15880" width="9.5703125" style="224" customWidth="1"/>
    <col min="15881" max="15881" width="9.140625" style="224"/>
    <col min="15882" max="15882" width="9" style="224" customWidth="1"/>
    <col min="15883" max="16128" width="9.140625" style="224"/>
    <col min="16129" max="16129" width="3.85546875" style="224" customWidth="1"/>
    <col min="16130" max="16130" width="4.42578125" style="224" customWidth="1"/>
    <col min="16131" max="16131" width="43.7109375" style="224" customWidth="1"/>
    <col min="16132" max="16132" width="6.28515625" style="224" customWidth="1"/>
    <col min="16133" max="16133" width="7.5703125" style="224" customWidth="1"/>
    <col min="16134" max="16134" width="9.5703125" style="224" customWidth="1"/>
    <col min="16135" max="16135" width="13.28515625" style="224" customWidth="1"/>
    <col min="16136" max="16136" width="9.5703125" style="224" customWidth="1"/>
    <col min="16137" max="16137" width="9.140625" style="224"/>
    <col min="16138" max="16138" width="9" style="224" customWidth="1"/>
    <col min="16139" max="16384" width="9.140625" style="224"/>
  </cols>
  <sheetData>
    <row r="1" spans="1:10" s="213" customFormat="1" ht="18" x14ac:dyDescent="0.25">
      <c r="A1" s="753"/>
      <c r="B1" s="757"/>
      <c r="C1" s="753"/>
      <c r="E1" s="754"/>
      <c r="F1" s="1954"/>
      <c r="G1" s="755"/>
    </row>
    <row r="2" spans="1:10" s="330" customFormat="1" ht="18" x14ac:dyDescent="0.25">
      <c r="A2" s="819" t="s">
        <v>1050</v>
      </c>
      <c r="B2" s="758"/>
      <c r="C2" s="759" t="s">
        <v>1260</v>
      </c>
      <c r="E2" s="760"/>
      <c r="F2" s="1955"/>
      <c r="G2" s="755"/>
    </row>
    <row r="3" spans="1:10" ht="14.25" customHeight="1" x14ac:dyDescent="0.25">
      <c r="A3" s="763" t="s">
        <v>561</v>
      </c>
      <c r="B3" s="763"/>
    </row>
    <row r="4" spans="1:10" x14ac:dyDescent="0.25">
      <c r="C4" s="766"/>
      <c r="D4" s="763"/>
      <c r="E4" s="763"/>
      <c r="F4" s="1957"/>
      <c r="G4" s="763"/>
    </row>
    <row r="5" spans="1:10" ht="12.75" customHeight="1" x14ac:dyDescent="0.25">
      <c r="A5" s="763" t="s">
        <v>63</v>
      </c>
      <c r="B5" s="763"/>
      <c r="C5" s="766"/>
      <c r="D5" s="763"/>
      <c r="E5" s="763"/>
      <c r="F5" s="1957"/>
      <c r="G5" s="763"/>
    </row>
    <row r="6" spans="1:10" s="230" customFormat="1" x14ac:dyDescent="0.25">
      <c r="A6" s="675" t="s">
        <v>26</v>
      </c>
      <c r="B6" s="675"/>
      <c r="C6" s="676" t="s">
        <v>27</v>
      </c>
      <c r="D6" s="675" t="s">
        <v>28</v>
      </c>
      <c r="E6" s="677" t="s">
        <v>29</v>
      </c>
      <c r="F6" s="1935" t="s">
        <v>30</v>
      </c>
      <c r="G6" s="678" t="s">
        <v>31</v>
      </c>
      <c r="I6" s="231"/>
      <c r="J6" s="231"/>
    </row>
    <row r="7" spans="1:10" s="246" customFormat="1" ht="12" x14ac:dyDescent="0.25">
      <c r="A7" s="768"/>
      <c r="B7" s="769"/>
      <c r="C7" s="770"/>
      <c r="E7" s="771"/>
      <c r="F7" s="1957"/>
      <c r="G7" s="763"/>
    </row>
    <row r="8" spans="1:10" s="239" customFormat="1" ht="15.75" x14ac:dyDescent="0.25">
      <c r="A8" s="827"/>
      <c r="B8" s="828" t="s">
        <v>20</v>
      </c>
      <c r="C8" s="833" t="s">
        <v>1122</v>
      </c>
      <c r="E8" s="829"/>
      <c r="F8" s="1969"/>
      <c r="G8" s="780"/>
    </row>
    <row r="9" spans="1:10" x14ac:dyDescent="0.25">
      <c r="A9" s="777"/>
      <c r="B9" s="778"/>
      <c r="C9" s="692"/>
      <c r="E9" s="779"/>
      <c r="G9" s="780"/>
    </row>
    <row r="10" spans="1:10" x14ac:dyDescent="0.25">
      <c r="A10" s="777"/>
      <c r="B10" s="778"/>
      <c r="C10" s="692"/>
      <c r="E10" s="779"/>
      <c r="G10" s="780"/>
    </row>
    <row r="11" spans="1:10" ht="24" x14ac:dyDescent="0.25">
      <c r="A11" s="777"/>
      <c r="B11" s="778"/>
      <c r="C11" s="836" t="s">
        <v>1123</v>
      </c>
      <c r="E11" s="779"/>
      <c r="G11" s="780"/>
    </row>
    <row r="12" spans="1:10" ht="60" x14ac:dyDescent="0.25">
      <c r="A12" s="777"/>
      <c r="B12" s="778"/>
      <c r="C12" s="836" t="s">
        <v>1124</v>
      </c>
      <c r="E12" s="779"/>
      <c r="G12" s="780"/>
    </row>
    <row r="13" spans="1:10" ht="48" x14ac:dyDescent="0.25">
      <c r="A13" s="777"/>
      <c r="B13" s="778"/>
      <c r="C13" s="836" t="s">
        <v>1125</v>
      </c>
      <c r="E13" s="779"/>
      <c r="G13" s="780"/>
    </row>
    <row r="14" spans="1:10" ht="96" x14ac:dyDescent="0.25">
      <c r="A14" s="777"/>
      <c r="B14" s="778"/>
      <c r="C14" s="836" t="s">
        <v>1126</v>
      </c>
      <c r="E14" s="779"/>
      <c r="G14" s="780"/>
    </row>
    <row r="15" spans="1:10" ht="48" x14ac:dyDescent="0.25">
      <c r="A15" s="777"/>
      <c r="B15" s="778"/>
      <c r="C15" s="836" t="s">
        <v>1127</v>
      </c>
      <c r="E15" s="779"/>
      <c r="G15" s="780"/>
    </row>
    <row r="16" spans="1:10" x14ac:dyDescent="0.25">
      <c r="A16" s="240"/>
      <c r="B16" s="688"/>
      <c r="C16" s="689"/>
      <c r="D16" s="232"/>
      <c r="E16" s="690"/>
      <c r="F16" s="1938"/>
      <c r="G16" s="691"/>
    </row>
    <row r="17" spans="1:10" s="246" customFormat="1" ht="15" x14ac:dyDescent="0.2">
      <c r="A17" s="781"/>
      <c r="B17" s="837" t="s">
        <v>1128</v>
      </c>
      <c r="C17" s="838" t="s">
        <v>1129</v>
      </c>
      <c r="D17" s="839"/>
      <c r="E17" s="840"/>
      <c r="F17" s="841"/>
      <c r="G17" s="1707"/>
      <c r="H17" s="249"/>
      <c r="I17" s="250"/>
      <c r="J17" s="251"/>
    </row>
    <row r="18" spans="1:10" s="260" customFormat="1" ht="41.25" x14ac:dyDescent="0.2">
      <c r="A18" s="842" t="str">
        <f>$B$17</f>
        <v>1.1</v>
      </c>
      <c r="B18" s="769">
        <f>1</f>
        <v>1</v>
      </c>
      <c r="C18" s="789" t="s">
        <v>1130</v>
      </c>
      <c r="D18" s="695" t="s">
        <v>65</v>
      </c>
      <c r="E18" s="696">
        <v>20</v>
      </c>
      <c r="F18" s="1959"/>
      <c r="G18" s="783">
        <f>ROUND(E18*F18,2)</f>
        <v>0</v>
      </c>
      <c r="H18" s="259"/>
      <c r="I18" s="250"/>
      <c r="J18" s="644"/>
    </row>
    <row r="19" spans="1:10" s="246" customFormat="1" ht="14.25" x14ac:dyDescent="0.2">
      <c r="A19" s="784"/>
      <c r="B19" s="785"/>
      <c r="C19" s="789"/>
      <c r="D19" s="839"/>
      <c r="E19" s="840"/>
      <c r="F19" s="841"/>
      <c r="G19" s="783"/>
      <c r="H19" s="249"/>
      <c r="I19" s="250"/>
      <c r="J19" s="224"/>
    </row>
    <row r="20" spans="1:10" s="246" customFormat="1" ht="41.25" x14ac:dyDescent="0.2">
      <c r="A20" s="842" t="str">
        <f>$B$17</f>
        <v>1.1</v>
      </c>
      <c r="B20" s="769">
        <f>COUNT($A$14:B19)+1</f>
        <v>2</v>
      </c>
      <c r="C20" s="789" t="s">
        <v>1131</v>
      </c>
      <c r="D20" s="695" t="s">
        <v>65</v>
      </c>
      <c r="E20" s="696">
        <v>20</v>
      </c>
      <c r="F20" s="1959"/>
      <c r="G20" s="783">
        <f>ROUND(E20*F20,2)</f>
        <v>0</v>
      </c>
      <c r="H20" s="249"/>
      <c r="I20" s="250"/>
      <c r="J20" s="224"/>
    </row>
    <row r="21" spans="1:10" s="260" customFormat="1" ht="14.25" x14ac:dyDescent="0.2">
      <c r="A21" s="784"/>
      <c r="B21" s="843"/>
      <c r="C21" s="789"/>
      <c r="D21" s="695"/>
      <c r="E21" s="696"/>
      <c r="F21" s="1959"/>
      <c r="G21" s="783"/>
      <c r="H21" s="259"/>
      <c r="I21" s="250"/>
      <c r="J21" s="644"/>
    </row>
    <row r="22" spans="1:10" s="246" customFormat="1" x14ac:dyDescent="0.2">
      <c r="A22" s="842" t="str">
        <f>$B$17</f>
        <v>1.1</v>
      </c>
      <c r="B22" s="769">
        <f>COUNT($A$14:B21)+1</f>
        <v>3</v>
      </c>
      <c r="C22" s="789" t="s">
        <v>1132</v>
      </c>
      <c r="D22" s="695" t="s">
        <v>65</v>
      </c>
      <c r="E22" s="696">
        <v>30</v>
      </c>
      <c r="F22" s="1959"/>
      <c r="G22" s="783">
        <f>ROUND(E22*F22,2)</f>
        <v>0</v>
      </c>
      <c r="H22" s="249"/>
      <c r="I22" s="250"/>
      <c r="J22" s="224"/>
    </row>
    <row r="23" spans="1:10" s="246" customFormat="1" ht="14.25" x14ac:dyDescent="0.2">
      <c r="A23" s="781"/>
      <c r="B23" s="843"/>
      <c r="C23" s="789"/>
      <c r="D23" s="695"/>
      <c r="E23" s="696"/>
      <c r="F23" s="1959"/>
      <c r="G23" s="783"/>
      <c r="H23" s="249"/>
      <c r="I23" s="250"/>
      <c r="J23" s="224"/>
    </row>
    <row r="24" spans="1:10" s="246" customFormat="1" x14ac:dyDescent="0.2">
      <c r="A24" s="842" t="str">
        <f>$B$17</f>
        <v>1.1</v>
      </c>
      <c r="B24" s="769">
        <f>COUNT($A$14:B23)+1</f>
        <v>4</v>
      </c>
      <c r="C24" s="789" t="s">
        <v>1133</v>
      </c>
      <c r="D24" s="695" t="s">
        <v>65</v>
      </c>
      <c r="E24" s="696">
        <v>80</v>
      </c>
      <c r="F24" s="1959"/>
      <c r="G24" s="783">
        <f>ROUND(E24*F24,2)</f>
        <v>0</v>
      </c>
      <c r="H24" s="249"/>
      <c r="I24" s="250"/>
      <c r="J24" s="224"/>
    </row>
    <row r="25" spans="1:10" ht="14.25" x14ac:dyDescent="0.25">
      <c r="A25" s="240"/>
      <c r="B25" s="843"/>
      <c r="C25" s="789"/>
      <c r="D25" s="695"/>
      <c r="E25" s="696"/>
      <c r="F25" s="1959"/>
      <c r="G25" s="783"/>
    </row>
    <row r="26" spans="1:10" x14ac:dyDescent="0.25">
      <c r="A26" s="842" t="str">
        <f>$B$17</f>
        <v>1.1</v>
      </c>
      <c r="B26" s="769">
        <f>COUNT($A$14:B25)+1</f>
        <v>5</v>
      </c>
      <c r="C26" s="789" t="s">
        <v>1134</v>
      </c>
      <c r="D26" s="695" t="s">
        <v>65</v>
      </c>
      <c r="E26" s="696">
        <v>80</v>
      </c>
      <c r="F26" s="1959"/>
      <c r="G26" s="783">
        <f>ROUND(E26*F26,2)</f>
        <v>0</v>
      </c>
    </row>
    <row r="27" spans="1:10" ht="14.25" x14ac:dyDescent="0.25">
      <c r="A27" s="781"/>
      <c r="B27" s="843"/>
      <c r="C27" s="789"/>
      <c r="D27" s="695"/>
      <c r="E27" s="696"/>
      <c r="F27" s="1959"/>
      <c r="G27" s="783"/>
    </row>
    <row r="28" spans="1:10" s="246" customFormat="1" x14ac:dyDescent="0.2">
      <c r="A28" s="842" t="str">
        <f>$B$17</f>
        <v>1.1</v>
      </c>
      <c r="B28" s="769">
        <f>COUNT($A$14:B27)+1</f>
        <v>6</v>
      </c>
      <c r="C28" s="789" t="s">
        <v>1135</v>
      </c>
      <c r="D28" s="695" t="s">
        <v>65</v>
      </c>
      <c r="E28" s="696">
        <v>80</v>
      </c>
      <c r="F28" s="1959"/>
      <c r="G28" s="783">
        <f>ROUND(E28*F28,2)</f>
        <v>0</v>
      </c>
      <c r="H28" s="249"/>
      <c r="I28" s="250"/>
      <c r="J28" s="224"/>
    </row>
    <row r="29" spans="1:10" s="246" customFormat="1" ht="14.25" x14ac:dyDescent="0.2">
      <c r="A29" s="781"/>
      <c r="B29" s="843"/>
      <c r="C29" s="789"/>
      <c r="D29" s="695"/>
      <c r="E29" s="696"/>
      <c r="F29" s="1959"/>
      <c r="G29" s="783"/>
      <c r="H29" s="249"/>
      <c r="I29" s="250"/>
      <c r="J29" s="224"/>
    </row>
    <row r="30" spans="1:10" s="246" customFormat="1" x14ac:dyDescent="0.2">
      <c r="A30" s="842" t="str">
        <f>$B$17</f>
        <v>1.1</v>
      </c>
      <c r="B30" s="769">
        <f>COUNT($A$14:B29)+1</f>
        <v>7</v>
      </c>
      <c r="C30" s="789" t="s">
        <v>1136</v>
      </c>
      <c r="D30" s="695" t="s">
        <v>58</v>
      </c>
      <c r="E30" s="696">
        <v>2</v>
      </c>
      <c r="F30" s="1959"/>
      <c r="G30" s="783">
        <f>ROUND(E30*F30,2)</f>
        <v>0</v>
      </c>
      <c r="H30" s="249"/>
      <c r="I30" s="250"/>
      <c r="J30" s="224"/>
    </row>
    <row r="31" spans="1:10" s="260" customFormat="1" ht="14.25" x14ac:dyDescent="0.2">
      <c r="A31" s="784"/>
      <c r="B31" s="843"/>
      <c r="C31" s="789"/>
      <c r="D31" s="695"/>
      <c r="E31" s="696"/>
      <c r="F31" s="1959"/>
      <c r="G31" s="783"/>
      <c r="H31" s="259"/>
      <c r="I31" s="250"/>
      <c r="J31" s="644"/>
    </row>
    <row r="32" spans="1:10" s="246" customFormat="1" x14ac:dyDescent="0.2">
      <c r="A32" s="842" t="str">
        <f>$B$17</f>
        <v>1.1</v>
      </c>
      <c r="B32" s="769">
        <f>COUNT($A$14:B31)+1</f>
        <v>8</v>
      </c>
      <c r="C32" s="789" t="s">
        <v>1137</v>
      </c>
      <c r="D32" s="695" t="s">
        <v>58</v>
      </c>
      <c r="E32" s="696">
        <v>1</v>
      </c>
      <c r="F32" s="1959"/>
      <c r="G32" s="783">
        <f>ROUND(E32*F32,2)</f>
        <v>0</v>
      </c>
      <c r="H32" s="249"/>
      <c r="I32" s="250"/>
      <c r="J32" s="224"/>
    </row>
    <row r="33" spans="1:10" s="260" customFormat="1" ht="14.25" x14ac:dyDescent="0.2">
      <c r="A33" s="784"/>
      <c r="B33" s="843"/>
      <c r="C33" s="844"/>
      <c r="D33" s="839"/>
      <c r="E33" s="840"/>
      <c r="F33" s="841"/>
      <c r="G33" s="1708"/>
      <c r="H33" s="259"/>
      <c r="I33" s="250"/>
      <c r="J33" s="644"/>
    </row>
    <row r="34" spans="1:10" s="246" customFormat="1" ht="15" x14ac:dyDescent="0.2">
      <c r="A34" s="781"/>
      <c r="B34" s="837"/>
      <c r="C34" s="838" t="s">
        <v>1138</v>
      </c>
      <c r="D34" s="845"/>
      <c r="E34" s="846"/>
      <c r="F34" s="847"/>
      <c r="G34" s="1709">
        <f>ROUND(SUM(G18:G32),2)</f>
        <v>0</v>
      </c>
      <c r="H34" s="249"/>
      <c r="I34" s="250"/>
      <c r="J34" s="224"/>
    </row>
    <row r="35" spans="1:10" s="246" customFormat="1" ht="15" x14ac:dyDescent="0.2">
      <c r="A35" s="781"/>
      <c r="B35" s="837"/>
      <c r="C35" s="848"/>
      <c r="D35" s="845"/>
      <c r="E35" s="846"/>
      <c r="F35" s="847"/>
      <c r="G35" s="1708" t="str">
        <f>IF(F35="","",F35*E35)</f>
        <v/>
      </c>
      <c r="H35" s="249"/>
      <c r="I35" s="250"/>
      <c r="J35" s="224"/>
    </row>
    <row r="36" spans="1:10" s="246" customFormat="1" ht="15" x14ac:dyDescent="0.2">
      <c r="A36" s="781"/>
      <c r="B36" s="837" t="s">
        <v>1139</v>
      </c>
      <c r="C36" s="848" t="s">
        <v>1140</v>
      </c>
      <c r="D36" s="849"/>
      <c r="E36" s="846"/>
      <c r="F36" s="847"/>
      <c r="G36" s="1708" t="str">
        <f>IF(F36="","",F36*E36)</f>
        <v/>
      </c>
      <c r="H36" s="249"/>
      <c r="I36" s="250"/>
      <c r="J36" s="224"/>
    </row>
    <row r="37" spans="1:10" s="260" customFormat="1" ht="15" x14ac:dyDescent="0.2">
      <c r="A37" s="784"/>
      <c r="B37" s="850"/>
      <c r="C37" s="851"/>
      <c r="D37" s="839"/>
      <c r="E37" s="852"/>
      <c r="F37" s="853"/>
      <c r="G37" s="1708" t="str">
        <f>IF(F37="","",F37*E37)</f>
        <v/>
      </c>
      <c r="H37" s="259"/>
      <c r="I37" s="250"/>
      <c r="J37" s="644"/>
    </row>
    <row r="38" spans="1:10" s="246" customFormat="1" ht="15" x14ac:dyDescent="0.2">
      <c r="A38" s="781"/>
      <c r="C38" s="854" t="s">
        <v>1141</v>
      </c>
      <c r="D38" s="855" t="s">
        <v>159</v>
      </c>
      <c r="E38" s="856" t="s">
        <v>159</v>
      </c>
      <c r="F38" s="857"/>
      <c r="G38" s="1708" t="str">
        <f>IF(F38="","",F38*E38)</f>
        <v/>
      </c>
      <c r="H38" s="249"/>
      <c r="I38" s="250"/>
      <c r="J38" s="224"/>
    </row>
    <row r="39" spans="1:10" s="246" customFormat="1" ht="84" x14ac:dyDescent="0.2">
      <c r="A39" s="842" t="str">
        <f>$B$36</f>
        <v>1.2</v>
      </c>
      <c r="B39" s="769">
        <f>1</f>
        <v>1</v>
      </c>
      <c r="C39" s="789" t="s">
        <v>1142</v>
      </c>
      <c r="D39" s="695" t="s">
        <v>58</v>
      </c>
      <c r="E39" s="696">
        <v>1</v>
      </c>
      <c r="F39" s="1959"/>
      <c r="G39" s="783">
        <f>ROUND(E39*F39,2)</f>
        <v>0</v>
      </c>
      <c r="H39" s="249"/>
      <c r="I39" s="250"/>
      <c r="J39" s="224"/>
    </row>
    <row r="40" spans="1:10" s="246" customFormat="1" x14ac:dyDescent="0.2">
      <c r="A40" s="781"/>
      <c r="C40" s="789"/>
      <c r="D40" s="695"/>
      <c r="E40" s="696"/>
      <c r="F40" s="1959"/>
      <c r="G40" s="783"/>
      <c r="H40" s="249"/>
      <c r="I40" s="250"/>
      <c r="J40" s="224"/>
    </row>
    <row r="41" spans="1:10" s="260" customFormat="1" ht="84" x14ac:dyDescent="0.2">
      <c r="A41" s="842" t="str">
        <f>$B$36</f>
        <v>1.2</v>
      </c>
      <c r="B41" s="817">
        <f>COUNT($A$38:B40)+1</f>
        <v>2</v>
      </c>
      <c r="C41" s="789" t="s">
        <v>1143</v>
      </c>
      <c r="D41" s="695" t="s">
        <v>39</v>
      </c>
      <c r="E41" s="696">
        <v>1</v>
      </c>
      <c r="F41" s="1959"/>
      <c r="G41" s="783">
        <f>ROUND(E41*F41,2)</f>
        <v>0</v>
      </c>
      <c r="H41" s="259"/>
      <c r="I41" s="250"/>
      <c r="J41" s="644"/>
    </row>
    <row r="42" spans="1:10" s="246" customFormat="1" ht="14.25" x14ac:dyDescent="0.2">
      <c r="A42" s="781"/>
      <c r="B42" s="858"/>
      <c r="C42" s="789"/>
      <c r="D42" s="695"/>
      <c r="E42" s="696"/>
      <c r="F42" s="1959"/>
      <c r="G42" s="783"/>
      <c r="H42" s="249"/>
      <c r="I42" s="250"/>
      <c r="J42" s="224"/>
    </row>
    <row r="43" spans="1:10" s="246" customFormat="1" ht="24" x14ac:dyDescent="0.2">
      <c r="A43" s="842" t="str">
        <f>$B$36</f>
        <v>1.2</v>
      </c>
      <c r="B43" s="817">
        <f>COUNT($A$38:B42)+1</f>
        <v>3</v>
      </c>
      <c r="C43" s="789" t="s">
        <v>1144</v>
      </c>
      <c r="D43" s="695" t="s">
        <v>58</v>
      </c>
      <c r="E43" s="696">
        <v>1</v>
      </c>
      <c r="F43" s="1959"/>
      <c r="G43" s="783">
        <f>ROUND(E43*F43,2)</f>
        <v>0</v>
      </c>
      <c r="H43" s="249"/>
      <c r="I43" s="250"/>
      <c r="J43" s="224"/>
    </row>
    <row r="44" spans="1:10" s="246" customFormat="1" ht="14.25" x14ac:dyDescent="0.2">
      <c r="A44" s="781"/>
      <c r="B44" s="859"/>
      <c r="C44" s="789"/>
      <c r="D44" s="695"/>
      <c r="E44" s="696"/>
      <c r="F44" s="1959"/>
      <c r="G44" s="783"/>
      <c r="H44" s="249"/>
      <c r="I44" s="250"/>
      <c r="J44" s="224"/>
    </row>
    <row r="45" spans="1:10" s="246" customFormat="1" ht="24" x14ac:dyDescent="0.2">
      <c r="A45" s="842" t="str">
        <f>$B$36</f>
        <v>1.2</v>
      </c>
      <c r="B45" s="817">
        <f>COUNT($A$38:B44)+1</f>
        <v>4</v>
      </c>
      <c r="C45" s="789" t="s">
        <v>1145</v>
      </c>
      <c r="D45" s="695" t="s">
        <v>39</v>
      </c>
      <c r="E45" s="696">
        <v>1</v>
      </c>
      <c r="F45" s="1959"/>
      <c r="G45" s="783">
        <f>ROUND(E45*F45,2)</f>
        <v>0</v>
      </c>
      <c r="H45" s="249"/>
      <c r="I45" s="250"/>
      <c r="J45" s="224"/>
    </row>
    <row r="46" spans="1:10" s="246" customFormat="1" ht="14.25" x14ac:dyDescent="0.2">
      <c r="A46" s="781"/>
      <c r="B46" s="859"/>
      <c r="C46" s="789"/>
      <c r="D46" s="695"/>
      <c r="E46" s="696"/>
      <c r="F46" s="1959"/>
      <c r="G46" s="783"/>
      <c r="H46" s="249"/>
      <c r="I46" s="250"/>
      <c r="J46" s="224"/>
    </row>
    <row r="47" spans="1:10" s="260" customFormat="1" ht="36" x14ac:dyDescent="0.2">
      <c r="A47" s="842" t="str">
        <f>$B$36</f>
        <v>1.2</v>
      </c>
      <c r="B47" s="817">
        <f>COUNT($A$38:B46)+1</f>
        <v>5</v>
      </c>
      <c r="C47" s="789" t="s">
        <v>1146</v>
      </c>
      <c r="D47" s="695" t="s">
        <v>39</v>
      </c>
      <c r="E47" s="696">
        <v>1</v>
      </c>
      <c r="F47" s="1959"/>
      <c r="G47" s="783">
        <f>ROUND(E47*F47,2)</f>
        <v>0</v>
      </c>
      <c r="H47" s="259"/>
      <c r="I47" s="250"/>
      <c r="J47" s="644"/>
    </row>
    <row r="48" spans="1:10" s="246" customFormat="1" ht="14.25" x14ac:dyDescent="0.2">
      <c r="A48" s="781"/>
      <c r="B48" s="859"/>
      <c r="C48" s="789"/>
      <c r="D48" s="695"/>
      <c r="E48" s="696"/>
      <c r="F48" s="1959"/>
      <c r="G48" s="783"/>
      <c r="H48" s="249"/>
      <c r="I48" s="250"/>
      <c r="J48" s="224"/>
    </row>
    <row r="49" spans="1:10" s="246" customFormat="1" ht="36" x14ac:dyDescent="0.2">
      <c r="A49" s="842" t="str">
        <f>$B$36</f>
        <v>1.2</v>
      </c>
      <c r="B49" s="817">
        <f>COUNT($A$38:B48)+1</f>
        <v>6</v>
      </c>
      <c r="C49" s="789" t="s">
        <v>1147</v>
      </c>
      <c r="D49" s="695" t="s">
        <v>39</v>
      </c>
      <c r="E49" s="696">
        <v>1</v>
      </c>
      <c r="F49" s="1959"/>
      <c r="G49" s="783">
        <f>ROUND(E49*F49,2)</f>
        <v>0</v>
      </c>
      <c r="H49" s="249"/>
      <c r="I49" s="250"/>
      <c r="J49" s="224"/>
    </row>
    <row r="50" spans="1:10" s="246" customFormat="1" ht="14.25" x14ac:dyDescent="0.2">
      <c r="A50" s="781"/>
      <c r="B50" s="859"/>
      <c r="C50" s="789"/>
      <c r="D50" s="695"/>
      <c r="E50" s="696"/>
      <c r="F50" s="1959"/>
      <c r="G50" s="783"/>
      <c r="H50" s="249"/>
      <c r="I50" s="250"/>
      <c r="J50" s="224"/>
    </row>
    <row r="51" spans="1:10" s="260" customFormat="1" ht="60" x14ac:dyDescent="0.2">
      <c r="A51" s="784"/>
      <c r="B51" s="817">
        <f>COUNT($A$38:B50)+1</f>
        <v>7</v>
      </c>
      <c r="C51" s="789" t="s">
        <v>1148</v>
      </c>
      <c r="D51" s="695" t="s">
        <v>58</v>
      </c>
      <c r="E51" s="696">
        <v>1</v>
      </c>
      <c r="F51" s="1959"/>
      <c r="G51" s="783">
        <f>ROUND(E51*F51,2)</f>
        <v>0</v>
      </c>
      <c r="H51" s="259"/>
      <c r="I51" s="250"/>
      <c r="J51" s="644"/>
    </row>
    <row r="52" spans="1:10" s="246" customFormat="1" ht="14.25" x14ac:dyDescent="0.2">
      <c r="A52" s="781"/>
      <c r="B52" s="859"/>
      <c r="C52" s="789"/>
      <c r="D52" s="695"/>
      <c r="E52" s="696"/>
      <c r="F52" s="1959"/>
      <c r="G52" s="783"/>
      <c r="H52" s="249"/>
      <c r="I52" s="250"/>
      <c r="J52" s="224"/>
    </row>
    <row r="53" spans="1:10" s="260" customFormat="1" ht="36" x14ac:dyDescent="0.2">
      <c r="A53" s="842" t="str">
        <f>$B$36</f>
        <v>1.2</v>
      </c>
      <c r="B53" s="817">
        <f>COUNT($A$38:B52)+1</f>
        <v>8</v>
      </c>
      <c r="C53" s="789" t="s">
        <v>1149</v>
      </c>
      <c r="D53" s="695" t="s">
        <v>39</v>
      </c>
      <c r="E53" s="696">
        <v>1</v>
      </c>
      <c r="F53" s="1959"/>
      <c r="G53" s="783">
        <f>ROUND(E53*F53,2)</f>
        <v>0</v>
      </c>
      <c r="H53" s="259"/>
      <c r="I53" s="250"/>
      <c r="J53" s="644"/>
    </row>
    <row r="54" spans="1:10" s="246" customFormat="1" ht="14.25" x14ac:dyDescent="0.2">
      <c r="A54" s="781"/>
      <c r="B54" s="859"/>
      <c r="C54" s="789"/>
      <c r="D54" s="695"/>
      <c r="E54" s="696"/>
      <c r="F54" s="1959"/>
      <c r="G54" s="783"/>
      <c r="H54" s="249"/>
      <c r="I54" s="250"/>
      <c r="J54" s="224"/>
    </row>
    <row r="55" spans="1:10" s="369" customFormat="1" ht="36" x14ac:dyDescent="0.25">
      <c r="A55" s="842" t="str">
        <f>$B$36</f>
        <v>1.2</v>
      </c>
      <c r="B55" s="817">
        <f>COUNT($A$38:B54)+1</f>
        <v>9</v>
      </c>
      <c r="C55" s="789" t="s">
        <v>1150</v>
      </c>
      <c r="D55" s="695" t="s">
        <v>58</v>
      </c>
      <c r="E55" s="696">
        <v>1</v>
      </c>
      <c r="F55" s="1959"/>
      <c r="G55" s="783">
        <f>ROUND(E55*F55,2)</f>
        <v>0</v>
      </c>
    </row>
    <row r="56" spans="1:10" s="633" customFormat="1" ht="15" x14ac:dyDescent="0.25">
      <c r="B56" s="859"/>
      <c r="C56" s="789"/>
      <c r="D56" s="695"/>
      <c r="E56" s="696"/>
      <c r="F56" s="1959"/>
      <c r="G56" s="783"/>
    </row>
    <row r="57" spans="1:10" s="246" customFormat="1" ht="36" x14ac:dyDescent="0.25">
      <c r="A57" s="842" t="str">
        <f>$B$36</f>
        <v>1.2</v>
      </c>
      <c r="B57" s="817">
        <f>COUNT($A$38:B56)+1</f>
        <v>10</v>
      </c>
      <c r="C57" s="789" t="s">
        <v>1151</v>
      </c>
      <c r="D57" s="695" t="s">
        <v>39</v>
      </c>
      <c r="E57" s="696">
        <v>1</v>
      </c>
      <c r="F57" s="1959"/>
      <c r="G57" s="783">
        <f>ROUND(E57*F57,2)</f>
        <v>0</v>
      </c>
    </row>
    <row r="58" spans="1:10" s="720" customFormat="1" ht="18.75" x14ac:dyDescent="0.25">
      <c r="A58" s="860"/>
      <c r="B58" s="859"/>
      <c r="C58" s="789"/>
      <c r="D58" s="695"/>
      <c r="E58" s="696"/>
      <c r="F58" s="1959"/>
      <c r="G58" s="783"/>
    </row>
    <row r="59" spans="1:10" s="616" customFormat="1" ht="14.25" customHeight="1" x14ac:dyDescent="0.25">
      <c r="A59" s="842" t="str">
        <f>$B$36</f>
        <v>1.2</v>
      </c>
      <c r="B59" s="817">
        <f>COUNT($A$38:B58)+1</f>
        <v>11</v>
      </c>
      <c r="C59" s="789" t="s">
        <v>1152</v>
      </c>
      <c r="D59" s="695" t="s">
        <v>39</v>
      </c>
      <c r="E59" s="696">
        <v>3</v>
      </c>
      <c r="F59" s="1959"/>
      <c r="G59" s="783">
        <f>ROUND(E59*F59,2)</f>
        <v>0</v>
      </c>
    </row>
    <row r="60" spans="1:10" s="616" customFormat="1" ht="12.75" customHeight="1" x14ac:dyDescent="0.25">
      <c r="A60" s="763"/>
      <c r="B60" s="859"/>
      <c r="C60" s="789"/>
      <c r="D60" s="695"/>
      <c r="E60" s="696"/>
      <c r="F60" s="1959"/>
      <c r="G60" s="783"/>
    </row>
    <row r="61" spans="1:10" s="369" customFormat="1" ht="36" x14ac:dyDescent="0.25">
      <c r="A61" s="842" t="str">
        <f>$B$36</f>
        <v>1.2</v>
      </c>
      <c r="B61" s="817">
        <f>COUNT($A$38:B60)+1</f>
        <v>12</v>
      </c>
      <c r="C61" s="789" t="s">
        <v>1153</v>
      </c>
      <c r="D61" s="695" t="s">
        <v>39</v>
      </c>
      <c r="E61" s="696">
        <v>1</v>
      </c>
      <c r="F61" s="1959"/>
      <c r="G61" s="783">
        <f>ROUND(E61*F61,2)</f>
        <v>0</v>
      </c>
      <c r="I61" s="628"/>
      <c r="J61" s="628"/>
    </row>
    <row r="62" spans="1:10" s="616" customFormat="1" ht="14.25" x14ac:dyDescent="0.25">
      <c r="A62" s="805"/>
      <c r="B62" s="859"/>
      <c r="C62" s="789"/>
      <c r="D62" s="695"/>
      <c r="E62" s="696"/>
      <c r="F62" s="1959"/>
      <c r="G62" s="783"/>
    </row>
    <row r="63" spans="1:10" s="375" customFormat="1" ht="36" x14ac:dyDescent="0.25">
      <c r="A63" s="842" t="str">
        <f>$B$36</f>
        <v>1.2</v>
      </c>
      <c r="B63" s="817">
        <f>COUNT($A$38:B62)+1</f>
        <v>13</v>
      </c>
      <c r="C63" s="789" t="s">
        <v>1154</v>
      </c>
      <c r="D63" s="695" t="s">
        <v>39</v>
      </c>
      <c r="E63" s="696">
        <v>1</v>
      </c>
      <c r="F63" s="1959"/>
      <c r="G63" s="783">
        <f>ROUND(E63*F63,2)</f>
        <v>0</v>
      </c>
    </row>
    <row r="64" spans="1:10" s="375" customFormat="1" ht="14.25" x14ac:dyDescent="0.25">
      <c r="A64" s="809"/>
      <c r="B64" s="859"/>
      <c r="C64" s="789"/>
      <c r="D64" s="695"/>
      <c r="E64" s="696"/>
      <c r="F64" s="1959"/>
      <c r="G64" s="783"/>
    </row>
    <row r="65" spans="1:10" s="616" customFormat="1" ht="36" x14ac:dyDescent="0.25">
      <c r="A65" s="842" t="str">
        <f>$B$36</f>
        <v>1.2</v>
      </c>
      <c r="B65" s="817">
        <f>COUNT($A$38:B64)+1</f>
        <v>14</v>
      </c>
      <c r="C65" s="789" t="s">
        <v>1155</v>
      </c>
      <c r="D65" s="695" t="s">
        <v>39</v>
      </c>
      <c r="E65" s="696">
        <v>10</v>
      </c>
      <c r="F65" s="1959"/>
      <c r="G65" s="783">
        <f>ROUND(E65*F65,2)</f>
        <v>0</v>
      </c>
      <c r="J65" s="814"/>
    </row>
    <row r="66" spans="1:10" s="375" customFormat="1" ht="14.25" x14ac:dyDescent="0.25">
      <c r="A66" s="809"/>
      <c r="B66" s="859"/>
      <c r="C66" s="789"/>
      <c r="D66" s="695"/>
      <c r="E66" s="696"/>
      <c r="F66" s="1959"/>
      <c r="G66" s="783"/>
    </row>
    <row r="67" spans="1:10" s="616" customFormat="1" ht="96" x14ac:dyDescent="0.25">
      <c r="A67" s="842" t="str">
        <f>$B$36</f>
        <v>1.2</v>
      </c>
      <c r="B67" s="817">
        <f>COUNT($A$38:B66)+1</f>
        <v>15</v>
      </c>
      <c r="C67" s="789" t="s">
        <v>1156</v>
      </c>
      <c r="D67" s="695" t="s">
        <v>39</v>
      </c>
      <c r="E67" s="696">
        <v>1</v>
      </c>
      <c r="F67" s="1959"/>
      <c r="G67" s="783">
        <f>ROUND(E67*F67,2)</f>
        <v>0</v>
      </c>
    </row>
    <row r="68" spans="1:10" s="246" customFormat="1" ht="14.25" x14ac:dyDescent="0.25">
      <c r="B68" s="859"/>
      <c r="C68" s="789"/>
      <c r="D68" s="695"/>
      <c r="E68" s="696"/>
      <c r="F68" s="1959"/>
      <c r="G68" s="783"/>
    </row>
    <row r="69" spans="1:10" s="246" customFormat="1" ht="24" x14ac:dyDescent="0.25">
      <c r="A69" s="842" t="str">
        <f>$B$36</f>
        <v>1.2</v>
      </c>
      <c r="B69" s="817">
        <f>COUNT($A$38:B68)+1</f>
        <v>16</v>
      </c>
      <c r="C69" s="789" t="s">
        <v>1157</v>
      </c>
      <c r="D69" s="695" t="s">
        <v>39</v>
      </c>
      <c r="E69" s="696">
        <v>1</v>
      </c>
      <c r="F69" s="1959"/>
      <c r="G69" s="783">
        <f>ROUND(E69*F69,2)</f>
        <v>0</v>
      </c>
    </row>
    <row r="70" spans="1:10" s="246" customFormat="1" ht="14.25" x14ac:dyDescent="0.25">
      <c r="B70" s="858"/>
      <c r="C70" s="789"/>
      <c r="D70" s="695"/>
      <c r="E70" s="696"/>
      <c r="F70" s="1959"/>
      <c r="G70" s="783"/>
    </row>
    <row r="71" spans="1:10" s="246" customFormat="1" ht="24" x14ac:dyDescent="0.25">
      <c r="A71" s="842" t="str">
        <f>$B$36</f>
        <v>1.2</v>
      </c>
      <c r="B71" s="817">
        <f>COUNT($A$38:B70)+1</f>
        <v>17</v>
      </c>
      <c r="C71" s="789" t="s">
        <v>1158</v>
      </c>
      <c r="D71" s="695" t="s">
        <v>39</v>
      </c>
      <c r="E71" s="696">
        <v>2</v>
      </c>
      <c r="F71" s="1959"/>
      <c r="G71" s="783">
        <f>ROUND(E71*F71,2)</f>
        <v>0</v>
      </c>
    </row>
    <row r="72" spans="1:10" s="246" customFormat="1" ht="14.25" x14ac:dyDescent="0.25">
      <c r="B72" s="858"/>
      <c r="C72" s="789"/>
      <c r="D72" s="695"/>
      <c r="E72" s="696"/>
      <c r="F72" s="1959"/>
      <c r="G72" s="783"/>
    </row>
    <row r="73" spans="1:10" s="246" customFormat="1" ht="48" x14ac:dyDescent="0.25">
      <c r="A73" s="842" t="str">
        <f>$B$36</f>
        <v>1.2</v>
      </c>
      <c r="B73" s="817">
        <f>COUNT($A$38:B72)+1</f>
        <v>18</v>
      </c>
      <c r="C73" s="789" t="s">
        <v>1159</v>
      </c>
      <c r="D73" s="695" t="s">
        <v>39</v>
      </c>
      <c r="E73" s="696">
        <v>3</v>
      </c>
      <c r="F73" s="1959"/>
      <c r="G73" s="783">
        <f>ROUND(E73*F73,2)</f>
        <v>0</v>
      </c>
    </row>
    <row r="74" spans="1:10" s="246" customFormat="1" ht="14.25" x14ac:dyDescent="0.25">
      <c r="B74" s="859"/>
      <c r="C74" s="789"/>
      <c r="D74" s="695"/>
      <c r="E74" s="696"/>
      <c r="F74" s="1959"/>
      <c r="G74" s="783"/>
    </row>
    <row r="75" spans="1:10" s="246" customFormat="1" ht="48" x14ac:dyDescent="0.25">
      <c r="A75" s="842" t="str">
        <f>$B$36</f>
        <v>1.2</v>
      </c>
      <c r="B75" s="817">
        <f>COUNT($A$38:B74)+1</f>
        <v>19</v>
      </c>
      <c r="C75" s="789" t="s">
        <v>1160</v>
      </c>
      <c r="D75" s="695" t="s">
        <v>39</v>
      </c>
      <c r="E75" s="696">
        <v>4</v>
      </c>
      <c r="F75" s="1959"/>
      <c r="G75" s="783">
        <f>ROUND(E75*F75,2)</f>
        <v>0</v>
      </c>
    </row>
    <row r="76" spans="1:10" s="246" customFormat="1" ht="14.25" x14ac:dyDescent="0.25">
      <c r="B76" s="859"/>
      <c r="C76" s="789"/>
      <c r="D76" s="695"/>
      <c r="E76" s="696"/>
      <c r="F76" s="1959"/>
      <c r="G76" s="783"/>
    </row>
    <row r="77" spans="1:10" s="246" customFormat="1" ht="24" x14ac:dyDescent="0.25">
      <c r="A77" s="842" t="str">
        <f>$B$36</f>
        <v>1.2</v>
      </c>
      <c r="B77" s="817">
        <f>COUNT($A$38:B76)+1</f>
        <v>20</v>
      </c>
      <c r="C77" s="789" t="s">
        <v>1161</v>
      </c>
      <c r="D77" s="695" t="s">
        <v>39</v>
      </c>
      <c r="E77" s="696">
        <v>1</v>
      </c>
      <c r="F77" s="1959"/>
      <c r="G77" s="783">
        <f>ROUND(E77*F77,2)</f>
        <v>0</v>
      </c>
    </row>
    <row r="78" spans="1:10" s="246" customFormat="1" ht="14.25" x14ac:dyDescent="0.25">
      <c r="B78" s="859"/>
      <c r="C78" s="789"/>
      <c r="D78" s="695"/>
      <c r="E78" s="696"/>
      <c r="F78" s="1959"/>
      <c r="G78" s="783"/>
    </row>
    <row r="79" spans="1:10" s="246" customFormat="1" ht="24" x14ac:dyDescent="0.25">
      <c r="A79" s="842" t="str">
        <f>$B$36</f>
        <v>1.2</v>
      </c>
      <c r="B79" s="817">
        <f>COUNT($A$38:B78)+1</f>
        <v>21</v>
      </c>
      <c r="C79" s="789" t="s">
        <v>1162</v>
      </c>
      <c r="D79" s="695" t="s">
        <v>39</v>
      </c>
      <c r="E79" s="696">
        <v>2</v>
      </c>
      <c r="F79" s="1959"/>
      <c r="G79" s="783">
        <f>ROUND(E79*F79,2)</f>
        <v>0</v>
      </c>
    </row>
    <row r="80" spans="1:10" s="246" customFormat="1" ht="14.25" x14ac:dyDescent="0.25">
      <c r="B80" s="859"/>
      <c r="C80" s="789"/>
      <c r="D80" s="695"/>
      <c r="E80" s="696"/>
      <c r="F80" s="1959"/>
      <c r="G80" s="783"/>
    </row>
    <row r="81" spans="1:7" s="246" customFormat="1" ht="24" x14ac:dyDescent="0.25">
      <c r="A81" s="842" t="str">
        <f>$B$36</f>
        <v>1.2</v>
      </c>
      <c r="B81" s="817">
        <f>COUNT($A$38:B80)+1</f>
        <v>22</v>
      </c>
      <c r="C81" s="789" t="s">
        <v>1163</v>
      </c>
      <c r="D81" s="695" t="s">
        <v>39</v>
      </c>
      <c r="E81" s="696">
        <v>2</v>
      </c>
      <c r="F81" s="1959"/>
      <c r="G81" s="783">
        <f>ROUND(E81*F81,2)</f>
        <v>0</v>
      </c>
    </row>
    <row r="82" spans="1:7" s="246" customFormat="1" ht="14.25" x14ac:dyDescent="0.25">
      <c r="B82" s="859"/>
      <c r="C82" s="789"/>
      <c r="D82" s="695"/>
      <c r="E82" s="696"/>
      <c r="F82" s="1959"/>
      <c r="G82" s="783"/>
    </row>
    <row r="83" spans="1:7" s="246" customFormat="1" ht="36" x14ac:dyDescent="0.25">
      <c r="A83" s="842" t="str">
        <f>$B$36</f>
        <v>1.2</v>
      </c>
      <c r="B83" s="817">
        <f>COUNT($A$38:B82)+1</f>
        <v>23</v>
      </c>
      <c r="C83" s="789" t="s">
        <v>1164</v>
      </c>
      <c r="D83" s="695" t="s">
        <v>39</v>
      </c>
      <c r="E83" s="696">
        <v>1</v>
      </c>
      <c r="F83" s="1959"/>
      <c r="G83" s="783">
        <f>ROUND(E83*F83,2)</f>
        <v>0</v>
      </c>
    </row>
    <row r="84" spans="1:7" s="246" customFormat="1" ht="14.25" x14ac:dyDescent="0.25">
      <c r="B84" s="859"/>
      <c r="C84" s="789"/>
      <c r="D84" s="695"/>
      <c r="E84" s="696"/>
      <c r="F84" s="1959"/>
      <c r="G84" s="783"/>
    </row>
    <row r="85" spans="1:7" s="246" customFormat="1" x14ac:dyDescent="0.25">
      <c r="A85" s="842" t="str">
        <f>$B$36</f>
        <v>1.2</v>
      </c>
      <c r="B85" s="817">
        <f>COUNT($A$38:B84)+1</f>
        <v>24</v>
      </c>
      <c r="C85" s="789" t="s">
        <v>1165</v>
      </c>
      <c r="D85" s="695" t="s">
        <v>39</v>
      </c>
      <c r="E85" s="696">
        <v>3</v>
      </c>
      <c r="F85" s="1959"/>
      <c r="G85" s="783">
        <f>ROUND(E85*F85,2)</f>
        <v>0</v>
      </c>
    </row>
    <row r="86" spans="1:7" s="246" customFormat="1" ht="14.25" x14ac:dyDescent="0.25">
      <c r="B86" s="859"/>
      <c r="C86" s="789"/>
      <c r="D86" s="695"/>
      <c r="E86" s="696"/>
      <c r="F86" s="1959"/>
      <c r="G86" s="783"/>
    </row>
    <row r="87" spans="1:7" s="246" customFormat="1" ht="36" x14ac:dyDescent="0.25">
      <c r="A87" s="842" t="str">
        <f>$B$36</f>
        <v>1.2</v>
      </c>
      <c r="B87" s="817">
        <f>COUNT($A$38:B86)+1</f>
        <v>25</v>
      </c>
      <c r="C87" s="789" t="s">
        <v>1166</v>
      </c>
      <c r="D87" s="695" t="s">
        <v>58</v>
      </c>
      <c r="E87" s="696">
        <v>1</v>
      </c>
      <c r="F87" s="1959"/>
      <c r="G87" s="783">
        <f>ROUND(E87*F87,2)</f>
        <v>0</v>
      </c>
    </row>
    <row r="88" spans="1:7" s="246" customFormat="1" ht="14.25" x14ac:dyDescent="0.25">
      <c r="B88" s="858"/>
      <c r="C88" s="789"/>
      <c r="D88" s="695"/>
      <c r="E88" s="696"/>
      <c r="F88" s="1959"/>
      <c r="G88" s="783"/>
    </row>
    <row r="89" spans="1:7" s="246" customFormat="1" ht="36" x14ac:dyDescent="0.25">
      <c r="A89" s="842" t="str">
        <f>$B$36</f>
        <v>1.2</v>
      </c>
      <c r="B89" s="817">
        <f>COUNT($A$38:B88)+1</f>
        <v>26</v>
      </c>
      <c r="C89" s="789" t="s">
        <v>1167</v>
      </c>
      <c r="D89" s="695" t="s">
        <v>39</v>
      </c>
      <c r="E89" s="696">
        <v>150</v>
      </c>
      <c r="F89" s="1959"/>
      <c r="G89" s="783">
        <f>ROUND(E89*F89,2)</f>
        <v>0</v>
      </c>
    </row>
    <row r="90" spans="1:7" s="246" customFormat="1" ht="14.25" x14ac:dyDescent="0.25">
      <c r="B90" s="859"/>
      <c r="C90" s="789"/>
      <c r="D90" s="695"/>
      <c r="E90" s="696"/>
      <c r="F90" s="1959"/>
      <c r="G90" s="783"/>
    </row>
    <row r="91" spans="1:7" s="246" customFormat="1" ht="48" x14ac:dyDescent="0.25">
      <c r="A91" s="842" t="str">
        <f>$B$36</f>
        <v>1.2</v>
      </c>
      <c r="B91" s="817">
        <f>COUNT($A$38:B90)+1</f>
        <v>27</v>
      </c>
      <c r="C91" s="789" t="s">
        <v>1168</v>
      </c>
      <c r="D91" s="695" t="s">
        <v>58</v>
      </c>
      <c r="E91" s="696">
        <v>1</v>
      </c>
      <c r="F91" s="1959"/>
      <c r="G91" s="783">
        <f>ROUND(E91*F91,2)</f>
        <v>0</v>
      </c>
    </row>
    <row r="92" spans="1:7" s="246" customFormat="1" ht="14.25" x14ac:dyDescent="0.25">
      <c r="B92" s="859"/>
      <c r="C92" s="789"/>
      <c r="D92" s="695"/>
      <c r="E92" s="696"/>
      <c r="F92" s="1959"/>
      <c r="G92" s="783"/>
    </row>
    <row r="93" spans="1:7" s="246" customFormat="1" ht="24" x14ac:dyDescent="0.25">
      <c r="A93" s="842" t="str">
        <f>$B$36</f>
        <v>1.2</v>
      </c>
      <c r="B93" s="817">
        <f>COUNT($A$38:B92)+1</f>
        <v>28</v>
      </c>
      <c r="C93" s="789" t="s">
        <v>1169</v>
      </c>
      <c r="D93" s="695" t="s">
        <v>58</v>
      </c>
      <c r="E93" s="696">
        <v>1</v>
      </c>
      <c r="F93" s="1959"/>
      <c r="G93" s="783">
        <f>ROUND(E93*F93,2)</f>
        <v>0</v>
      </c>
    </row>
    <row r="94" spans="1:7" s="246" customFormat="1" ht="15" x14ac:dyDescent="0.25">
      <c r="B94" s="861"/>
      <c r="C94" s="862" t="s">
        <v>1170</v>
      </c>
      <c r="D94" s="863"/>
      <c r="E94" s="863"/>
      <c r="F94" s="853"/>
      <c r="G94" s="1709">
        <f>ROUND(SUM(G39:G93),2)</f>
        <v>0</v>
      </c>
    </row>
    <row r="95" spans="1:7" s="246" customFormat="1" ht="15" x14ac:dyDescent="0.25">
      <c r="B95" s="861"/>
      <c r="C95" s="862"/>
      <c r="D95" s="863"/>
      <c r="E95" s="863"/>
      <c r="F95" s="853"/>
      <c r="G95" s="1710"/>
    </row>
    <row r="96" spans="1:7" s="246" customFormat="1" ht="15" x14ac:dyDescent="0.25">
      <c r="B96" s="865" t="s">
        <v>1171</v>
      </c>
      <c r="C96" s="862" t="s">
        <v>1172</v>
      </c>
      <c r="D96" s="866"/>
      <c r="E96" s="867"/>
      <c r="F96" s="857"/>
      <c r="G96" s="1711"/>
    </row>
    <row r="97" spans="1:7" s="246" customFormat="1" ht="57" x14ac:dyDescent="0.25">
      <c r="A97" s="842" t="str">
        <f>$B$96</f>
        <v>1.3</v>
      </c>
      <c r="B97" s="769">
        <f>1</f>
        <v>1</v>
      </c>
      <c r="C97" s="789" t="s">
        <v>1173</v>
      </c>
      <c r="D97" s="695"/>
      <c r="E97" s="696"/>
      <c r="F97" s="1959"/>
      <c r="G97" s="783"/>
    </row>
    <row r="98" spans="1:7" s="246" customFormat="1" ht="24" x14ac:dyDescent="0.25">
      <c r="C98" s="789" t="s">
        <v>1174</v>
      </c>
      <c r="D98" s="695"/>
      <c r="E98" s="696"/>
      <c r="F98" s="1959"/>
      <c r="G98" s="783"/>
    </row>
    <row r="99" spans="1:7" s="246" customFormat="1" ht="24" x14ac:dyDescent="0.25">
      <c r="C99" s="789" t="s">
        <v>1175</v>
      </c>
      <c r="D99" s="695"/>
      <c r="E99" s="696"/>
      <c r="F99" s="1959"/>
      <c r="G99" s="783"/>
    </row>
    <row r="100" spans="1:7" s="246" customFormat="1" ht="60" x14ac:dyDescent="0.25">
      <c r="C100" s="789" t="s">
        <v>1176</v>
      </c>
      <c r="D100" s="695"/>
      <c r="E100" s="696"/>
      <c r="F100" s="1959"/>
      <c r="G100" s="783"/>
    </row>
    <row r="101" spans="1:7" s="246" customFormat="1" ht="12" x14ac:dyDescent="0.25">
      <c r="C101" s="789" t="s">
        <v>1177</v>
      </c>
      <c r="D101" s="695"/>
      <c r="E101" s="696"/>
      <c r="F101" s="1959"/>
      <c r="G101" s="783"/>
    </row>
    <row r="102" spans="1:7" s="246" customFormat="1" ht="48" x14ac:dyDescent="0.25">
      <c r="B102" s="859"/>
      <c r="C102" s="789" t="s">
        <v>1178</v>
      </c>
      <c r="D102" s="695"/>
      <c r="E102" s="696"/>
      <c r="F102" s="1959"/>
      <c r="G102" s="783"/>
    </row>
    <row r="103" spans="1:7" s="246" customFormat="1" ht="36" x14ac:dyDescent="0.25">
      <c r="B103" s="859"/>
      <c r="C103" s="789" t="s">
        <v>1179</v>
      </c>
      <c r="D103" s="695"/>
      <c r="E103" s="696"/>
      <c r="F103" s="1959"/>
      <c r="G103" s="783"/>
    </row>
    <row r="104" spans="1:7" s="246" customFormat="1" ht="24" x14ac:dyDescent="0.25">
      <c r="B104" s="859"/>
      <c r="C104" s="789" t="s">
        <v>1180</v>
      </c>
      <c r="D104" s="695"/>
      <c r="E104" s="696"/>
      <c r="F104" s="1959"/>
      <c r="G104" s="783"/>
    </row>
    <row r="105" spans="1:7" s="246" customFormat="1" ht="26.25" x14ac:dyDescent="0.25">
      <c r="B105" s="859"/>
      <c r="C105" s="789" t="s">
        <v>1181</v>
      </c>
      <c r="D105" s="695"/>
      <c r="E105" s="696"/>
      <c r="F105" s="1959"/>
      <c r="G105" s="783"/>
    </row>
    <row r="106" spans="1:7" s="246" customFormat="1" ht="14.25" x14ac:dyDescent="0.25">
      <c r="B106" s="859"/>
      <c r="C106" s="789" t="s">
        <v>1182</v>
      </c>
      <c r="D106" s="695"/>
      <c r="E106" s="696"/>
      <c r="F106" s="1959"/>
      <c r="G106" s="783"/>
    </row>
    <row r="107" spans="1:7" s="246" customFormat="1" ht="14.25" x14ac:dyDescent="0.25">
      <c r="B107" s="859"/>
      <c r="C107" s="789" t="s">
        <v>1183</v>
      </c>
      <c r="D107" s="695"/>
      <c r="E107" s="696"/>
      <c r="F107" s="1959"/>
      <c r="G107" s="783"/>
    </row>
    <row r="108" spans="1:7" s="246" customFormat="1" ht="14.25" x14ac:dyDescent="0.25">
      <c r="B108" s="859"/>
      <c r="C108" s="789" t="s">
        <v>1184</v>
      </c>
      <c r="D108" s="695"/>
      <c r="E108" s="696"/>
      <c r="F108" s="1959"/>
      <c r="G108" s="783"/>
    </row>
    <row r="109" spans="1:7" s="246" customFormat="1" ht="14.25" x14ac:dyDescent="0.25">
      <c r="B109" s="859"/>
      <c r="C109" s="789" t="s">
        <v>1185</v>
      </c>
      <c r="D109" s="695"/>
      <c r="E109" s="696"/>
      <c r="F109" s="1959"/>
      <c r="G109" s="783"/>
    </row>
    <row r="110" spans="1:7" s="246" customFormat="1" ht="14.25" x14ac:dyDescent="0.25">
      <c r="B110" s="859"/>
      <c r="C110" s="789" t="s">
        <v>1186</v>
      </c>
      <c r="D110" s="695"/>
      <c r="E110" s="696"/>
      <c r="F110" s="1959"/>
      <c r="G110" s="783"/>
    </row>
    <row r="111" spans="1:7" s="246" customFormat="1" ht="14.25" x14ac:dyDescent="0.25">
      <c r="B111" s="859"/>
      <c r="C111" s="789" t="s">
        <v>1187</v>
      </c>
      <c r="D111" s="695"/>
      <c r="E111" s="696"/>
      <c r="F111" s="1959"/>
      <c r="G111" s="783"/>
    </row>
    <row r="112" spans="1:7" s="246" customFormat="1" ht="14.25" x14ac:dyDescent="0.25">
      <c r="B112" s="859"/>
      <c r="C112" s="789" t="s">
        <v>1188</v>
      </c>
      <c r="D112" s="695"/>
      <c r="E112" s="696"/>
      <c r="F112" s="1959"/>
      <c r="G112" s="783"/>
    </row>
    <row r="113" spans="1:7" s="246" customFormat="1" ht="14.25" x14ac:dyDescent="0.25">
      <c r="B113" s="859"/>
      <c r="C113" s="789" t="s">
        <v>1189</v>
      </c>
      <c r="D113" s="695"/>
      <c r="E113" s="696"/>
      <c r="F113" s="1959"/>
      <c r="G113" s="783"/>
    </row>
    <row r="114" spans="1:7" s="246" customFormat="1" ht="14.25" x14ac:dyDescent="0.25">
      <c r="B114" s="859"/>
      <c r="C114" s="789" t="s">
        <v>1190</v>
      </c>
      <c r="D114" s="695"/>
      <c r="E114" s="696"/>
      <c r="F114" s="1959"/>
      <c r="G114" s="783"/>
    </row>
    <row r="115" spans="1:7" s="246" customFormat="1" ht="14.25" x14ac:dyDescent="0.25">
      <c r="B115" s="859"/>
      <c r="C115" s="868"/>
      <c r="D115" s="695"/>
      <c r="E115" s="696"/>
      <c r="F115" s="1959"/>
      <c r="G115" s="783"/>
    </row>
    <row r="116" spans="1:7" s="246" customFormat="1" ht="30" x14ac:dyDescent="0.25">
      <c r="B116" s="859"/>
      <c r="C116" s="869" t="s">
        <v>1191</v>
      </c>
      <c r="D116" s="695"/>
      <c r="E116" s="696"/>
      <c r="F116" s="1959"/>
      <c r="G116" s="783"/>
    </row>
    <row r="117" spans="1:7" s="246" customFormat="1" ht="24" x14ac:dyDescent="0.25">
      <c r="A117" s="842" t="str">
        <f>$B$96</f>
        <v>1.3</v>
      </c>
      <c r="B117" s="842">
        <f>COUNT($A$97:B116)+1</f>
        <v>2</v>
      </c>
      <c r="C117" s="789" t="s">
        <v>1192</v>
      </c>
      <c r="D117" s="695" t="s">
        <v>39</v>
      </c>
      <c r="E117" s="696">
        <v>1</v>
      </c>
      <c r="F117" s="1959"/>
      <c r="G117" s="783">
        <f>ROUND(E117*F117,2)</f>
        <v>0</v>
      </c>
    </row>
    <row r="118" spans="1:7" s="246" customFormat="1" ht="14.25" x14ac:dyDescent="0.25">
      <c r="B118" s="858"/>
      <c r="C118" s="789"/>
      <c r="D118" s="695"/>
      <c r="E118" s="696"/>
      <c r="F118" s="1959"/>
      <c r="G118" s="783"/>
    </row>
    <row r="119" spans="1:7" s="246" customFormat="1" ht="36" x14ac:dyDescent="0.25">
      <c r="B119" s="842">
        <f>COUNT($A$97:B118)+1</f>
        <v>3</v>
      </c>
      <c r="C119" s="789" t="s">
        <v>1193</v>
      </c>
      <c r="D119" s="695" t="s">
        <v>39</v>
      </c>
      <c r="E119" s="696">
        <v>1</v>
      </c>
      <c r="F119" s="1959"/>
      <c r="G119" s="783">
        <f>ROUND(E119*F119,2)</f>
        <v>0</v>
      </c>
    </row>
    <row r="120" spans="1:7" s="246" customFormat="1" ht="14.25" x14ac:dyDescent="0.25">
      <c r="B120" s="859"/>
      <c r="C120" s="789"/>
      <c r="D120" s="695"/>
      <c r="E120" s="696"/>
      <c r="F120" s="1959"/>
      <c r="G120" s="783"/>
    </row>
    <row r="121" spans="1:7" s="246" customFormat="1" ht="36" x14ac:dyDescent="0.25">
      <c r="B121" s="842">
        <f>COUNT($A$97:B120)+1</f>
        <v>4</v>
      </c>
      <c r="C121" s="789" t="s">
        <v>1194</v>
      </c>
      <c r="D121" s="695" t="s">
        <v>39</v>
      </c>
      <c r="E121" s="696">
        <v>1</v>
      </c>
      <c r="F121" s="1959"/>
      <c r="G121" s="783">
        <f>ROUND(E121*F121,2)</f>
        <v>0</v>
      </c>
    </row>
    <row r="122" spans="1:7" s="246" customFormat="1" ht="14.25" x14ac:dyDescent="0.25">
      <c r="B122" s="859"/>
      <c r="C122" s="789"/>
      <c r="D122" s="695"/>
      <c r="E122" s="696"/>
      <c r="F122" s="1959"/>
      <c r="G122" s="783"/>
    </row>
    <row r="123" spans="1:7" s="246" customFormat="1" ht="36" x14ac:dyDescent="0.25">
      <c r="B123" s="842">
        <f>COUNT($A$97:B122)+1</f>
        <v>5</v>
      </c>
      <c r="C123" s="789" t="s">
        <v>1195</v>
      </c>
      <c r="D123" s="695" t="s">
        <v>39</v>
      </c>
      <c r="E123" s="696">
        <v>1</v>
      </c>
      <c r="F123" s="1959"/>
      <c r="G123" s="783">
        <f>ROUND(E123*F123,2)</f>
        <v>0</v>
      </c>
    </row>
    <row r="124" spans="1:7" s="246" customFormat="1" ht="14.25" x14ac:dyDescent="0.25">
      <c r="B124" s="859"/>
      <c r="C124" s="789"/>
      <c r="D124" s="695"/>
      <c r="E124" s="696"/>
      <c r="F124" s="1959"/>
      <c r="G124" s="783"/>
    </row>
    <row r="125" spans="1:7" s="246" customFormat="1" ht="36" x14ac:dyDescent="0.25">
      <c r="B125" s="842">
        <f>COUNT($A$97:B124)+1</f>
        <v>6</v>
      </c>
      <c r="C125" s="789" t="s">
        <v>1196</v>
      </c>
      <c r="D125" s="695" t="s">
        <v>39</v>
      </c>
      <c r="E125" s="696">
        <v>1</v>
      </c>
      <c r="F125" s="1959"/>
      <c r="G125" s="783">
        <f>ROUND(E125*F125,2)</f>
        <v>0</v>
      </c>
    </row>
    <row r="126" spans="1:7" s="246" customFormat="1" ht="14.25" x14ac:dyDescent="0.25">
      <c r="B126" s="859"/>
      <c r="C126" s="789"/>
      <c r="D126" s="695"/>
      <c r="E126" s="696"/>
      <c r="F126" s="1959"/>
      <c r="G126" s="783"/>
    </row>
    <row r="127" spans="1:7" s="246" customFormat="1" ht="36" x14ac:dyDescent="0.25">
      <c r="B127" s="842">
        <f>COUNT($A$97:B126)+1</f>
        <v>7</v>
      </c>
      <c r="C127" s="789" t="s">
        <v>1197</v>
      </c>
      <c r="D127" s="695" t="s">
        <v>39</v>
      </c>
      <c r="E127" s="696">
        <v>1</v>
      </c>
      <c r="F127" s="1959"/>
      <c r="G127" s="783">
        <f>ROUND(E127*F127,2)</f>
        <v>0</v>
      </c>
    </row>
    <row r="128" spans="1:7" s="246" customFormat="1" ht="14.25" x14ac:dyDescent="0.25">
      <c r="B128" s="859"/>
      <c r="C128" s="789"/>
      <c r="D128" s="695"/>
      <c r="E128" s="696"/>
      <c r="F128" s="1959"/>
      <c r="G128" s="783"/>
    </row>
    <row r="129" spans="1:7" s="246" customFormat="1" ht="48" x14ac:dyDescent="0.25">
      <c r="B129" s="842">
        <f>COUNT($A$97:B128)+1</f>
        <v>8</v>
      </c>
      <c r="C129" s="789" t="s">
        <v>1198</v>
      </c>
      <c r="D129" s="695" t="s">
        <v>39</v>
      </c>
      <c r="E129" s="696">
        <v>1</v>
      </c>
      <c r="F129" s="1959"/>
      <c r="G129" s="783">
        <f>ROUND(E129*F129,2)</f>
        <v>0</v>
      </c>
    </row>
    <row r="130" spans="1:7" s="246" customFormat="1" ht="14.25" x14ac:dyDescent="0.25">
      <c r="B130" s="859"/>
      <c r="C130" s="789"/>
      <c r="D130" s="695"/>
      <c r="E130" s="696"/>
      <c r="F130" s="1959"/>
      <c r="G130" s="783"/>
    </row>
    <row r="131" spans="1:7" s="246" customFormat="1" ht="36" x14ac:dyDescent="0.25">
      <c r="B131" s="842">
        <f>COUNT($A$97:B130)+1</f>
        <v>9</v>
      </c>
      <c r="C131" s="789" t="s">
        <v>1199</v>
      </c>
      <c r="D131" s="695" t="s">
        <v>58</v>
      </c>
      <c r="E131" s="696">
        <v>1</v>
      </c>
      <c r="F131" s="1959"/>
      <c r="G131" s="783">
        <f>ROUND(E131*F131,2)</f>
        <v>0</v>
      </c>
    </row>
    <row r="132" spans="1:7" s="246" customFormat="1" ht="14.25" x14ac:dyDescent="0.25">
      <c r="B132" s="859"/>
      <c r="C132" s="789"/>
      <c r="D132" s="695"/>
      <c r="E132" s="696"/>
      <c r="F132" s="1959"/>
      <c r="G132" s="783"/>
    </row>
    <row r="133" spans="1:7" s="246" customFormat="1" ht="84" x14ac:dyDescent="0.25">
      <c r="B133" s="842">
        <f>COUNT($A$97:B132)+1</f>
        <v>10</v>
      </c>
      <c r="C133" s="789" t="s">
        <v>1200</v>
      </c>
      <c r="D133" s="695" t="s">
        <v>58</v>
      </c>
      <c r="E133" s="696">
        <v>1</v>
      </c>
      <c r="F133" s="1959"/>
      <c r="G133" s="783">
        <f>ROUND(E133*F133,2)</f>
        <v>0</v>
      </c>
    </row>
    <row r="134" spans="1:7" s="246" customFormat="1" ht="14.25" x14ac:dyDescent="0.25">
      <c r="B134" s="859"/>
      <c r="C134" s="789"/>
      <c r="D134" s="695"/>
      <c r="E134" s="696"/>
      <c r="F134" s="1959"/>
      <c r="G134" s="783"/>
    </row>
    <row r="135" spans="1:7" s="246" customFormat="1" ht="36" x14ac:dyDescent="0.25">
      <c r="B135" s="842">
        <f>COUNT($A$97:B134)+1</f>
        <v>11</v>
      </c>
      <c r="C135" s="789" t="s">
        <v>1201</v>
      </c>
      <c r="D135" s="695" t="s">
        <v>58</v>
      </c>
      <c r="E135" s="696">
        <v>1</v>
      </c>
      <c r="F135" s="1959"/>
      <c r="G135" s="783">
        <f>ROUND(E135*F135,2)</f>
        <v>0</v>
      </c>
    </row>
    <row r="136" spans="1:7" s="246" customFormat="1" ht="14.25" x14ac:dyDescent="0.25">
      <c r="B136" s="859"/>
      <c r="C136" s="789"/>
      <c r="D136" s="695"/>
      <c r="E136" s="696"/>
      <c r="F136" s="1959"/>
      <c r="G136" s="783"/>
    </row>
    <row r="137" spans="1:7" s="246" customFormat="1" ht="48" x14ac:dyDescent="0.25">
      <c r="B137" s="842">
        <f>COUNT($A$97:B136)+1</f>
        <v>12</v>
      </c>
      <c r="C137" s="789" t="s">
        <v>1202</v>
      </c>
      <c r="D137" s="695" t="s">
        <v>58</v>
      </c>
      <c r="E137" s="696">
        <v>1</v>
      </c>
      <c r="F137" s="1959"/>
      <c r="G137" s="783">
        <f>ROUND(E137*F137,2)</f>
        <v>0</v>
      </c>
    </row>
    <row r="138" spans="1:7" s="246" customFormat="1" ht="14.25" x14ac:dyDescent="0.25">
      <c r="B138" s="859"/>
      <c r="C138" s="789"/>
      <c r="D138" s="695"/>
      <c r="E138" s="696"/>
      <c r="F138" s="1959"/>
      <c r="G138" s="783"/>
    </row>
    <row r="139" spans="1:7" s="246" customFormat="1" ht="24" x14ac:dyDescent="0.25">
      <c r="B139" s="842">
        <f>COUNT($A$97:B138)+1</f>
        <v>13</v>
      </c>
      <c r="C139" s="789" t="s">
        <v>1203</v>
      </c>
      <c r="D139" s="695" t="s">
        <v>58</v>
      </c>
      <c r="E139" s="696">
        <v>1</v>
      </c>
      <c r="F139" s="1959"/>
      <c r="G139" s="783">
        <f>ROUND(E139*F139,2)</f>
        <v>0</v>
      </c>
    </row>
    <row r="140" spans="1:7" s="246" customFormat="1" ht="14.25" x14ac:dyDescent="0.25">
      <c r="B140" s="859"/>
      <c r="C140" s="789"/>
      <c r="D140" s="695"/>
      <c r="E140" s="696"/>
      <c r="F140" s="1959"/>
      <c r="G140" s="783"/>
    </row>
    <row r="141" spans="1:7" s="246" customFormat="1" ht="24" x14ac:dyDescent="0.25">
      <c r="B141" s="842">
        <f>COUNT($A$97:B140)+1</f>
        <v>14</v>
      </c>
      <c r="C141" s="789" t="s">
        <v>1204</v>
      </c>
      <c r="D141" s="695" t="s">
        <v>58</v>
      </c>
      <c r="E141" s="696">
        <v>1</v>
      </c>
      <c r="F141" s="1959"/>
      <c r="G141" s="783">
        <f>ROUND(E141*F141,2)</f>
        <v>0</v>
      </c>
    </row>
    <row r="142" spans="1:7" s="246" customFormat="1" ht="14.25" x14ac:dyDescent="0.25">
      <c r="B142" s="859"/>
      <c r="C142" s="870"/>
      <c r="D142" s="695"/>
      <c r="E142" s="696"/>
      <c r="F142" s="1959"/>
      <c r="G142" s="783"/>
    </row>
    <row r="143" spans="1:7" s="246" customFormat="1" ht="15" x14ac:dyDescent="0.25">
      <c r="A143" s="842" t="str">
        <f>$B$96</f>
        <v>1.3</v>
      </c>
      <c r="B143" s="842">
        <f>COUNT($A$97:B142)+1</f>
        <v>15</v>
      </c>
      <c r="C143" s="871" t="s">
        <v>1205</v>
      </c>
      <c r="D143" s="695" t="s">
        <v>58</v>
      </c>
      <c r="E143" s="696">
        <v>1</v>
      </c>
      <c r="F143" s="1959"/>
      <c r="G143" s="783">
        <f>ROUND(E143*F143,2)</f>
        <v>0</v>
      </c>
    </row>
    <row r="144" spans="1:7" s="246" customFormat="1" ht="14.25" x14ac:dyDescent="0.25">
      <c r="B144" s="859"/>
      <c r="C144" s="789" t="s">
        <v>1206</v>
      </c>
      <c r="D144" s="695"/>
      <c r="E144" s="696"/>
      <c r="F144" s="1959"/>
      <c r="G144" s="783"/>
    </row>
    <row r="145" spans="2:7" s="246" customFormat="1" ht="24" x14ac:dyDescent="0.25">
      <c r="B145" s="859"/>
      <c r="C145" s="789" t="s">
        <v>1207</v>
      </c>
      <c r="D145" s="695"/>
      <c r="E145" s="696"/>
      <c r="F145" s="1959"/>
      <c r="G145" s="783"/>
    </row>
    <row r="146" spans="2:7" s="246" customFormat="1" ht="14.25" x14ac:dyDescent="0.25">
      <c r="B146" s="859"/>
      <c r="C146" s="789" t="s">
        <v>1208</v>
      </c>
      <c r="D146" s="695"/>
      <c r="E146" s="696"/>
      <c r="F146" s="1959"/>
      <c r="G146" s="783"/>
    </row>
    <row r="147" spans="2:7" s="246" customFormat="1" ht="14.25" x14ac:dyDescent="0.25">
      <c r="B147" s="859"/>
      <c r="C147" s="789" t="s">
        <v>1209</v>
      </c>
      <c r="D147" s="695"/>
      <c r="E147" s="696"/>
      <c r="F147" s="1959"/>
      <c r="G147" s="783"/>
    </row>
    <row r="148" spans="2:7" s="246" customFormat="1" ht="14.25" x14ac:dyDescent="0.25">
      <c r="B148" s="859"/>
      <c r="C148" s="789" t="s">
        <v>1210</v>
      </c>
      <c r="D148" s="695"/>
      <c r="E148" s="696"/>
      <c r="F148" s="1959"/>
      <c r="G148" s="783"/>
    </row>
    <row r="149" spans="2:7" s="246" customFormat="1" ht="14.25" x14ac:dyDescent="0.25">
      <c r="B149" s="859"/>
      <c r="C149" s="789" t="s">
        <v>1211</v>
      </c>
      <c r="D149" s="695"/>
      <c r="E149" s="696"/>
      <c r="F149" s="1959"/>
      <c r="G149" s="783"/>
    </row>
    <row r="150" spans="2:7" s="246" customFormat="1" ht="24" x14ac:dyDescent="0.25">
      <c r="B150" s="859"/>
      <c r="C150" s="789" t="s">
        <v>1212</v>
      </c>
      <c r="D150" s="695"/>
      <c r="E150" s="696"/>
      <c r="F150" s="1959"/>
      <c r="G150" s="783"/>
    </row>
    <row r="151" spans="2:7" s="246" customFormat="1" ht="14.25" x14ac:dyDescent="0.25">
      <c r="B151" s="859"/>
      <c r="C151" s="789" t="s">
        <v>1213</v>
      </c>
      <c r="D151" s="695"/>
      <c r="E151" s="696"/>
      <c r="F151" s="1959"/>
      <c r="G151" s="783"/>
    </row>
    <row r="152" spans="2:7" s="246" customFormat="1" ht="14.25" x14ac:dyDescent="0.25">
      <c r="B152" s="859"/>
      <c r="C152" s="789" t="s">
        <v>1214</v>
      </c>
      <c r="D152" s="695"/>
      <c r="E152" s="696"/>
      <c r="F152" s="1959"/>
      <c r="G152" s="783"/>
    </row>
    <row r="153" spans="2:7" s="246" customFormat="1" ht="14.25" x14ac:dyDescent="0.25">
      <c r="B153" s="859"/>
      <c r="C153" s="789" t="s">
        <v>1215</v>
      </c>
      <c r="D153" s="695"/>
      <c r="E153" s="696"/>
      <c r="F153" s="1959"/>
      <c r="G153" s="783"/>
    </row>
    <row r="154" spans="2:7" s="246" customFormat="1" ht="14.25" x14ac:dyDescent="0.25">
      <c r="B154" s="859"/>
      <c r="C154" s="789" t="s">
        <v>1216</v>
      </c>
      <c r="D154" s="695"/>
      <c r="E154" s="696"/>
      <c r="F154" s="1959"/>
      <c r="G154" s="783"/>
    </row>
    <row r="155" spans="2:7" s="246" customFormat="1" ht="24" x14ac:dyDescent="0.25">
      <c r="B155" s="859"/>
      <c r="C155" s="789" t="s">
        <v>1217</v>
      </c>
      <c r="D155" s="695"/>
      <c r="E155" s="696"/>
      <c r="F155" s="1959"/>
      <c r="G155" s="783"/>
    </row>
    <row r="156" spans="2:7" s="246" customFormat="1" ht="14.25" x14ac:dyDescent="0.25">
      <c r="B156" s="859"/>
      <c r="C156" s="789" t="s">
        <v>1218</v>
      </c>
      <c r="D156" s="695"/>
      <c r="E156" s="696"/>
      <c r="F156" s="1959"/>
      <c r="G156" s="783"/>
    </row>
    <row r="157" spans="2:7" s="246" customFormat="1" ht="24" x14ac:dyDescent="0.25">
      <c r="B157" s="859"/>
      <c r="C157" s="789" t="s">
        <v>1219</v>
      </c>
      <c r="D157" s="695"/>
      <c r="E157" s="696"/>
      <c r="F157" s="1959"/>
      <c r="G157" s="783"/>
    </row>
    <row r="158" spans="2:7" s="246" customFormat="1" ht="14.25" x14ac:dyDescent="0.25">
      <c r="B158" s="859"/>
      <c r="C158" s="789" t="s">
        <v>1220</v>
      </c>
      <c r="D158" s="695"/>
      <c r="E158" s="696"/>
      <c r="F158" s="1959"/>
      <c r="G158" s="783"/>
    </row>
    <row r="159" spans="2:7" s="246" customFormat="1" ht="14.25" x14ac:dyDescent="0.25">
      <c r="B159" s="859"/>
      <c r="C159" s="789" t="s">
        <v>1221</v>
      </c>
      <c r="D159" s="695"/>
      <c r="E159" s="696"/>
      <c r="F159" s="1959"/>
      <c r="G159" s="783"/>
    </row>
    <row r="160" spans="2:7" s="246" customFormat="1" ht="24" x14ac:dyDescent="0.25">
      <c r="B160" s="859"/>
      <c r="C160" s="789" t="s">
        <v>1222</v>
      </c>
      <c r="D160" s="695"/>
      <c r="E160" s="696"/>
      <c r="F160" s="1959"/>
      <c r="G160" s="783"/>
    </row>
    <row r="161" spans="1:7" s="246" customFormat="1" ht="14.25" x14ac:dyDescent="0.25">
      <c r="B161" s="872"/>
      <c r="C161" s="789" t="s">
        <v>1223</v>
      </c>
      <c r="D161" s="695"/>
      <c r="E161" s="696"/>
      <c r="F161" s="1959"/>
      <c r="G161" s="783"/>
    </row>
    <row r="162" spans="1:7" s="246" customFormat="1" ht="14.25" x14ac:dyDescent="0.25">
      <c r="B162" s="872"/>
      <c r="C162" s="789" t="s">
        <v>1224</v>
      </c>
      <c r="D162" s="695"/>
      <c r="E162" s="696"/>
      <c r="F162" s="1959"/>
      <c r="G162" s="783"/>
    </row>
    <row r="163" spans="1:7" s="246" customFormat="1" ht="14.25" x14ac:dyDescent="0.25">
      <c r="B163" s="872"/>
      <c r="C163" s="789" t="s">
        <v>1225</v>
      </c>
      <c r="D163" s="695"/>
      <c r="E163" s="696"/>
      <c r="F163" s="1959"/>
      <c r="G163" s="783"/>
    </row>
    <row r="164" spans="1:7" s="246" customFormat="1" ht="14.25" x14ac:dyDescent="0.25">
      <c r="B164" s="859"/>
      <c r="C164" s="789"/>
      <c r="D164" s="695"/>
      <c r="E164" s="696"/>
      <c r="F164" s="1959"/>
      <c r="G164" s="783"/>
    </row>
    <row r="165" spans="1:7" s="246" customFormat="1" ht="14.25" x14ac:dyDescent="0.25">
      <c r="B165" s="859"/>
      <c r="C165" s="789"/>
      <c r="D165" s="695"/>
      <c r="E165" s="696"/>
      <c r="F165" s="1959"/>
      <c r="G165" s="783"/>
    </row>
    <row r="166" spans="1:7" s="246" customFormat="1" x14ac:dyDescent="0.25">
      <c r="A166" s="842" t="str">
        <f>$B$96</f>
        <v>1.3</v>
      </c>
      <c r="B166" s="842">
        <f>COUNT($A$97:B165)+1</f>
        <v>16</v>
      </c>
      <c r="C166" s="789" t="s">
        <v>1226</v>
      </c>
      <c r="D166" s="695" t="s">
        <v>39</v>
      </c>
      <c r="E166" s="696">
        <v>1</v>
      </c>
      <c r="F166" s="1959"/>
      <c r="G166" s="783">
        <f>ROUND(E166*F166,2)</f>
        <v>0</v>
      </c>
    </row>
    <row r="167" spans="1:7" s="246" customFormat="1" ht="14.25" x14ac:dyDescent="0.25">
      <c r="B167" s="859"/>
      <c r="C167" s="789"/>
      <c r="D167" s="695"/>
      <c r="E167" s="696"/>
      <c r="F167" s="1959"/>
      <c r="G167" s="783"/>
    </row>
    <row r="168" spans="1:7" s="246" customFormat="1" ht="24" x14ac:dyDescent="0.25">
      <c r="A168" s="842" t="str">
        <f>$B$96</f>
        <v>1.3</v>
      </c>
      <c r="B168" s="842">
        <f>COUNT($A$97:B167)+1</f>
        <v>17</v>
      </c>
      <c r="C168" s="789" t="s">
        <v>1227</v>
      </c>
      <c r="D168" s="695" t="s">
        <v>39</v>
      </c>
      <c r="E168" s="696">
        <v>1</v>
      </c>
      <c r="F168" s="1959"/>
      <c r="G168" s="783">
        <f>ROUND(E168*F168,2)</f>
        <v>0</v>
      </c>
    </row>
    <row r="169" spans="1:7" s="246" customFormat="1" ht="14.25" x14ac:dyDescent="0.25">
      <c r="B169" s="859"/>
      <c r="C169" s="789"/>
      <c r="D169" s="695"/>
      <c r="E169" s="696"/>
      <c r="F169" s="1959"/>
      <c r="G169" s="783"/>
    </row>
    <row r="170" spans="1:7" s="246" customFormat="1" x14ac:dyDescent="0.25">
      <c r="A170" s="842" t="str">
        <f>$B$96</f>
        <v>1.3</v>
      </c>
      <c r="B170" s="842">
        <f>COUNT($A$97:B169)+1</f>
        <v>18</v>
      </c>
      <c r="C170" s="789" t="s">
        <v>1228</v>
      </c>
      <c r="D170" s="695" t="s">
        <v>58</v>
      </c>
      <c r="E170" s="696">
        <v>1</v>
      </c>
      <c r="F170" s="1959"/>
      <c r="G170" s="783">
        <f>ROUND(E170*F170,2)</f>
        <v>0</v>
      </c>
    </row>
    <row r="171" spans="1:7" ht="15" x14ac:dyDescent="0.25">
      <c r="B171" s="861"/>
      <c r="C171" s="873" t="s">
        <v>1229</v>
      </c>
      <c r="D171" s="863"/>
      <c r="E171" s="863"/>
      <c r="F171" s="853"/>
      <c r="G171" s="1709">
        <f>ROUND(SUM(G117:G170),2)</f>
        <v>0</v>
      </c>
    </row>
    <row r="172" spans="1:7" ht="15" x14ac:dyDescent="0.25">
      <c r="B172" s="861"/>
      <c r="C172" s="862"/>
      <c r="D172" s="863"/>
      <c r="E172" s="863"/>
      <c r="F172" s="853"/>
      <c r="G172" s="1708" t="str">
        <f>IF(F172="","",F172*E172)</f>
        <v/>
      </c>
    </row>
    <row r="173" spans="1:7" ht="15" x14ac:dyDescent="0.25">
      <c r="B173" s="865" t="s">
        <v>1230</v>
      </c>
      <c r="C173" s="862" t="s">
        <v>1231</v>
      </c>
      <c r="D173" s="866"/>
      <c r="E173" s="867"/>
      <c r="F173" s="857"/>
      <c r="G173" s="1708" t="str">
        <f>IF(F173="","",F173*E173)</f>
        <v/>
      </c>
    </row>
    <row r="174" spans="1:7" ht="36" x14ac:dyDescent="0.25">
      <c r="A174" s="874" t="str">
        <f>$B$173</f>
        <v>1.4</v>
      </c>
      <c r="B174" s="859" t="s">
        <v>1232</v>
      </c>
      <c r="C174" s="789" t="s">
        <v>1233</v>
      </c>
      <c r="D174" s="695" t="s">
        <v>39</v>
      </c>
      <c r="E174" s="696">
        <v>1</v>
      </c>
      <c r="F174" s="1959"/>
      <c r="G174" s="783">
        <f>ROUND(E174*F174,2)</f>
        <v>0</v>
      </c>
    </row>
    <row r="175" spans="1:7" ht="14.25" x14ac:dyDescent="0.25">
      <c r="A175" s="874"/>
      <c r="B175" s="859"/>
      <c r="C175" s="789"/>
      <c r="D175" s="695"/>
      <c r="E175" s="696"/>
      <c r="F175" s="1959"/>
      <c r="G175" s="783"/>
    </row>
    <row r="176" spans="1:7" x14ac:dyDescent="0.2">
      <c r="A176" s="874" t="str">
        <f>$B$173</f>
        <v>1.4</v>
      </c>
      <c r="B176" s="875" t="s">
        <v>1234</v>
      </c>
      <c r="C176" s="789" t="s">
        <v>1235</v>
      </c>
      <c r="D176" s="695" t="s">
        <v>39</v>
      </c>
      <c r="E176" s="696">
        <v>10</v>
      </c>
      <c r="F176" s="1959"/>
      <c r="G176" s="783">
        <f>ROUND(E176*F176,2)</f>
        <v>0</v>
      </c>
    </row>
    <row r="177" spans="1:7" ht="14.25" x14ac:dyDescent="0.25">
      <c r="B177" s="843"/>
      <c r="C177" s="789"/>
      <c r="D177" s="695"/>
      <c r="E177" s="696"/>
      <c r="F177" s="1959"/>
      <c r="G177" s="783"/>
    </row>
    <row r="178" spans="1:7" x14ac:dyDescent="0.2">
      <c r="A178" s="874" t="str">
        <f>$B$173</f>
        <v>1.4</v>
      </c>
      <c r="B178" s="875" t="s">
        <v>1236</v>
      </c>
      <c r="C178" s="789" t="s">
        <v>1228</v>
      </c>
      <c r="D178" s="695" t="s">
        <v>58</v>
      </c>
      <c r="E178" s="696">
        <v>1</v>
      </c>
      <c r="F178" s="1959"/>
      <c r="G178" s="783">
        <f>ROUND(E178*F178,2)</f>
        <v>0</v>
      </c>
    </row>
    <row r="179" spans="1:7" ht="15" x14ac:dyDescent="0.25">
      <c r="B179" s="861"/>
      <c r="C179" s="862" t="s">
        <v>1237</v>
      </c>
      <c r="D179" s="863"/>
      <c r="E179" s="863"/>
      <c r="F179" s="853"/>
      <c r="G179" s="1709">
        <f>ROUND(SUM(G173:G178),2)</f>
        <v>0</v>
      </c>
    </row>
    <row r="180" spans="1:7" ht="14.25" x14ac:dyDescent="0.25">
      <c r="B180" s="859"/>
      <c r="C180" s="868"/>
      <c r="D180" s="866"/>
      <c r="E180" s="867"/>
      <c r="F180" s="857"/>
      <c r="G180" s="783"/>
    </row>
    <row r="181" spans="1:7" ht="14.25" x14ac:dyDescent="0.25">
      <c r="B181" s="859"/>
      <c r="C181" s="868"/>
      <c r="D181" s="866"/>
      <c r="E181" s="867"/>
      <c r="F181" s="857"/>
      <c r="G181" s="783"/>
    </row>
    <row r="182" spans="1:7" ht="15" x14ac:dyDescent="0.25">
      <c r="B182" s="865" t="s">
        <v>1238</v>
      </c>
      <c r="C182" s="862" t="s">
        <v>1239</v>
      </c>
      <c r="D182" s="866"/>
      <c r="E182" s="867"/>
      <c r="F182" s="857"/>
      <c r="G182" s="783"/>
    </row>
    <row r="183" spans="1:7" ht="14.25" x14ac:dyDescent="0.25">
      <c r="A183" s="874" t="str">
        <f>$B$182</f>
        <v>1.5</v>
      </c>
      <c r="B183" s="859" t="s">
        <v>1232</v>
      </c>
      <c r="C183" s="789" t="s">
        <v>1240</v>
      </c>
      <c r="D183" s="695" t="s">
        <v>65</v>
      </c>
      <c r="E183" s="696">
        <v>10</v>
      </c>
      <c r="F183" s="1959"/>
      <c r="G183" s="783">
        <f>ROUND(E183*F183,2)</f>
        <v>0</v>
      </c>
    </row>
    <row r="184" spans="1:7" ht="14.25" x14ac:dyDescent="0.25">
      <c r="B184" s="859"/>
      <c r="C184" s="789"/>
      <c r="D184" s="695"/>
      <c r="E184" s="696"/>
      <c r="F184" s="1959"/>
      <c r="G184" s="783"/>
    </row>
    <row r="185" spans="1:7" ht="36" x14ac:dyDescent="0.25">
      <c r="A185" s="874" t="str">
        <f>$B$182</f>
        <v>1.5</v>
      </c>
      <c r="B185" s="842" t="s">
        <v>1234</v>
      </c>
      <c r="C185" s="789" t="s">
        <v>1241</v>
      </c>
      <c r="D185" s="695" t="s">
        <v>58</v>
      </c>
      <c r="E185" s="696">
        <v>1</v>
      </c>
      <c r="F185" s="1959"/>
      <c r="G185" s="783">
        <f>ROUND(E185*F185,2)</f>
        <v>0</v>
      </c>
    </row>
    <row r="186" spans="1:7" ht="14.25" x14ac:dyDescent="0.25">
      <c r="B186" s="859"/>
      <c r="C186" s="789"/>
      <c r="D186" s="695"/>
      <c r="E186" s="696"/>
      <c r="F186" s="1959"/>
      <c r="G186" s="783"/>
    </row>
    <row r="187" spans="1:7" ht="36" x14ac:dyDescent="0.25">
      <c r="A187" s="874" t="str">
        <f>$B$182</f>
        <v>1.5</v>
      </c>
      <c r="B187" s="859" t="s">
        <v>1236</v>
      </c>
      <c r="C187" s="789" t="s">
        <v>1242</v>
      </c>
      <c r="D187" s="695" t="s">
        <v>58</v>
      </c>
      <c r="E187" s="696">
        <v>1</v>
      </c>
      <c r="F187" s="1959"/>
      <c r="G187" s="783">
        <f>ROUND(E187*F187,2)</f>
        <v>0</v>
      </c>
    </row>
    <row r="188" spans="1:7" ht="14.25" x14ac:dyDescent="0.25">
      <c r="B188" s="859"/>
      <c r="C188" s="789"/>
      <c r="D188" s="695"/>
      <c r="E188" s="696"/>
      <c r="F188" s="853"/>
      <c r="G188" s="783"/>
    </row>
    <row r="189" spans="1:7" ht="14.25" x14ac:dyDescent="0.25">
      <c r="A189" s="874" t="str">
        <f>$B$182</f>
        <v>1.5</v>
      </c>
      <c r="B189" s="859" t="s">
        <v>4</v>
      </c>
      <c r="C189" s="789" t="s">
        <v>1243</v>
      </c>
      <c r="D189" s="695" t="s">
        <v>58</v>
      </c>
      <c r="E189" s="696">
        <v>1</v>
      </c>
      <c r="F189" s="1605"/>
      <c r="G189" s="783">
        <f>ROUND(E189*F189,2)</f>
        <v>0</v>
      </c>
    </row>
    <row r="190" spans="1:7" ht="15" x14ac:dyDescent="0.25">
      <c r="B190" s="861"/>
      <c r="C190" s="862" t="s">
        <v>1244</v>
      </c>
      <c r="D190" s="863"/>
      <c r="E190" s="863"/>
      <c r="G190" s="1709">
        <f>ROUND(SUM(G183:G189),2)</f>
        <v>0</v>
      </c>
    </row>
    <row r="191" spans="1:7" ht="14.25" x14ac:dyDescent="0.25">
      <c r="B191" s="859"/>
      <c r="C191" s="868"/>
      <c r="D191" s="866"/>
      <c r="E191" s="867"/>
      <c r="G191" s="1708"/>
    </row>
    <row r="192" spans="1:7" ht="14.25" x14ac:dyDescent="0.25">
      <c r="B192" s="859"/>
      <c r="C192" s="868"/>
      <c r="D192" s="866"/>
      <c r="E192" s="867"/>
      <c r="F192" s="857"/>
      <c r="G192" s="1708" t="str">
        <f>IF(F192="","",F192*E192)</f>
        <v/>
      </c>
    </row>
    <row r="193" spans="1:7" ht="15" x14ac:dyDescent="0.25">
      <c r="B193" s="865" t="s">
        <v>1245</v>
      </c>
      <c r="C193" s="862" t="s">
        <v>1246</v>
      </c>
      <c r="D193" s="866"/>
      <c r="E193" s="867"/>
      <c r="G193" s="1708"/>
    </row>
    <row r="194" spans="1:7" ht="24" x14ac:dyDescent="0.25">
      <c r="A194" s="874" t="str">
        <f>$B$193</f>
        <v>1.6</v>
      </c>
      <c r="B194" s="859" t="s">
        <v>1232</v>
      </c>
      <c r="C194" s="789" t="s">
        <v>1247</v>
      </c>
      <c r="D194" s="695" t="s">
        <v>58</v>
      </c>
      <c r="E194" s="696">
        <v>1</v>
      </c>
      <c r="F194" s="857"/>
      <c r="G194" s="783">
        <f>ROUND(E194*F194,2)</f>
        <v>0</v>
      </c>
    </row>
    <row r="195" spans="1:7" ht="14.25" x14ac:dyDescent="0.25">
      <c r="B195" s="859"/>
      <c r="C195" s="789"/>
      <c r="D195" s="695"/>
      <c r="E195" s="696"/>
      <c r="F195" s="1959"/>
      <c r="G195" s="783"/>
    </row>
    <row r="196" spans="1:7" ht="36" x14ac:dyDescent="0.25">
      <c r="A196" s="874" t="str">
        <f>$B$193</f>
        <v>1.6</v>
      </c>
      <c r="B196" s="859" t="s">
        <v>1234</v>
      </c>
      <c r="C196" s="789" t="s">
        <v>1248</v>
      </c>
      <c r="D196" s="695" t="s">
        <v>58</v>
      </c>
      <c r="E196" s="696">
        <v>1</v>
      </c>
      <c r="F196" s="1959"/>
      <c r="G196" s="783">
        <f>ROUND(E196*F196,2)</f>
        <v>0</v>
      </c>
    </row>
    <row r="197" spans="1:7" ht="14.25" x14ac:dyDescent="0.25">
      <c r="B197" s="859"/>
      <c r="C197" s="789"/>
      <c r="D197" s="695"/>
      <c r="E197" s="696"/>
      <c r="F197" s="1959"/>
      <c r="G197" s="783"/>
    </row>
    <row r="198" spans="1:7" ht="24" x14ac:dyDescent="0.25">
      <c r="A198" s="874" t="str">
        <f>$B$193</f>
        <v>1.6</v>
      </c>
      <c r="B198" s="859" t="s">
        <v>1236</v>
      </c>
      <c r="C198" s="789" t="s">
        <v>1249</v>
      </c>
      <c r="D198" s="695" t="s">
        <v>58</v>
      </c>
      <c r="E198" s="696">
        <v>1</v>
      </c>
      <c r="F198" s="1959"/>
      <c r="G198" s="783">
        <f>ROUND(E198*F198,2)</f>
        <v>0</v>
      </c>
    </row>
    <row r="199" spans="1:7" ht="14.25" x14ac:dyDescent="0.25">
      <c r="B199" s="859"/>
      <c r="C199" s="789"/>
      <c r="D199" s="695"/>
      <c r="E199" s="696"/>
      <c r="F199" s="1959"/>
      <c r="G199" s="783"/>
    </row>
    <row r="200" spans="1:7" ht="24" x14ac:dyDescent="0.25">
      <c r="A200" s="874" t="str">
        <f>$B$193</f>
        <v>1.6</v>
      </c>
      <c r="B200" s="859" t="s">
        <v>4</v>
      </c>
      <c r="C200" s="789" t="s">
        <v>1250</v>
      </c>
      <c r="D200" s="695" t="s">
        <v>58</v>
      </c>
      <c r="E200" s="696">
        <v>1</v>
      </c>
      <c r="F200" s="1959"/>
      <c r="G200" s="783">
        <f>ROUND(E200*F200,2)</f>
        <v>0</v>
      </c>
    </row>
    <row r="201" spans="1:7" ht="14.25" x14ac:dyDescent="0.25">
      <c r="B201" s="859"/>
      <c r="C201" s="789"/>
      <c r="D201" s="695"/>
      <c r="E201" s="696"/>
      <c r="F201" s="1959"/>
      <c r="G201" s="783"/>
    </row>
    <row r="202" spans="1:7" ht="36" x14ac:dyDescent="0.25">
      <c r="A202" s="874" t="str">
        <f>$B$193</f>
        <v>1.6</v>
      </c>
      <c r="B202" s="859" t="s">
        <v>5</v>
      </c>
      <c r="C202" s="789" t="s">
        <v>1251</v>
      </c>
      <c r="D202" s="695" t="s">
        <v>58</v>
      </c>
      <c r="E202" s="696">
        <v>1</v>
      </c>
      <c r="F202" s="1959"/>
      <c r="G202" s="783">
        <f>ROUND(E202*F202,2)</f>
        <v>0</v>
      </c>
    </row>
    <row r="203" spans="1:7" ht="14.25" x14ac:dyDescent="0.25">
      <c r="B203" s="859"/>
      <c r="C203" s="789"/>
      <c r="D203" s="695"/>
      <c r="E203" s="696"/>
      <c r="F203" s="1959"/>
      <c r="G203" s="783"/>
    </row>
    <row r="204" spans="1:7" ht="60" x14ac:dyDescent="0.25">
      <c r="A204" s="874" t="str">
        <f>$B$193</f>
        <v>1.6</v>
      </c>
      <c r="B204" s="859" t="s">
        <v>6</v>
      </c>
      <c r="C204" s="789" t="s">
        <v>1252</v>
      </c>
      <c r="D204" s="695" t="s">
        <v>58</v>
      </c>
      <c r="E204" s="696">
        <v>1</v>
      </c>
      <c r="F204" s="1959"/>
      <c r="G204" s="783">
        <f>ROUND(E204*F204,2)</f>
        <v>0</v>
      </c>
    </row>
    <row r="205" spans="1:7" ht="14.25" x14ac:dyDescent="0.25">
      <c r="B205" s="859"/>
      <c r="C205" s="789"/>
      <c r="D205" s="695"/>
      <c r="E205" s="696"/>
      <c r="F205" s="1959"/>
      <c r="G205" s="783"/>
    </row>
    <row r="206" spans="1:7" ht="84" x14ac:dyDescent="0.25">
      <c r="A206" s="874" t="str">
        <f>$B$193</f>
        <v>1.6</v>
      </c>
      <c r="B206" s="843" t="s">
        <v>7</v>
      </c>
      <c r="C206" s="789" t="s">
        <v>1253</v>
      </c>
      <c r="D206" s="695" t="s">
        <v>58</v>
      </c>
      <c r="E206" s="696">
        <v>1</v>
      </c>
      <c r="F206" s="1959"/>
      <c r="G206" s="783">
        <f>ROUND(E206*F206,2)</f>
        <v>0</v>
      </c>
    </row>
    <row r="207" spans="1:7" ht="15" x14ac:dyDescent="0.25">
      <c r="B207" s="861"/>
      <c r="C207" s="862" t="s">
        <v>1254</v>
      </c>
      <c r="D207" s="863"/>
      <c r="E207" s="863"/>
      <c r="F207" s="853"/>
      <c r="G207" s="1709">
        <f>ROUND(SUM(G194:G206),2)</f>
        <v>0</v>
      </c>
    </row>
    <row r="208" spans="1:7" x14ac:dyDescent="0.25">
      <c r="G208" s="915"/>
    </row>
    <row r="209" spans="2:7" x14ac:dyDescent="0.25">
      <c r="C209" s="876" t="s">
        <v>1255</v>
      </c>
      <c r="G209" s="915"/>
    </row>
    <row r="210" spans="2:7" ht="30" x14ac:dyDescent="0.25">
      <c r="B210" s="837" t="s">
        <v>1128</v>
      </c>
      <c r="C210" s="851" t="s">
        <v>1256</v>
      </c>
      <c r="D210" s="877"/>
      <c r="E210" s="852"/>
      <c r="F210" s="878"/>
      <c r="G210" s="1709">
        <f>ROUND(G34,2)</f>
        <v>0</v>
      </c>
    </row>
    <row r="211" spans="2:7" ht="15" x14ac:dyDescent="0.25">
      <c r="B211" s="837" t="s">
        <v>1139</v>
      </c>
      <c r="C211" s="851" t="s">
        <v>1140</v>
      </c>
      <c r="D211" s="877"/>
      <c r="E211" s="852"/>
      <c r="F211" s="878"/>
      <c r="G211" s="1709">
        <f>ROUND(G94,2)</f>
        <v>0</v>
      </c>
    </row>
    <row r="212" spans="2:7" ht="15" x14ac:dyDescent="0.25">
      <c r="B212" s="837" t="s">
        <v>1171</v>
      </c>
      <c r="C212" s="851" t="s">
        <v>1172</v>
      </c>
      <c r="D212" s="877"/>
      <c r="E212" s="852"/>
      <c r="F212" s="878"/>
      <c r="G212" s="1709">
        <f>ROUND(G171,2)</f>
        <v>0</v>
      </c>
    </row>
    <row r="213" spans="2:7" ht="15" x14ac:dyDescent="0.25">
      <c r="B213" s="837" t="s">
        <v>1230</v>
      </c>
      <c r="C213" s="851" t="s">
        <v>1231</v>
      </c>
      <c r="D213" s="877"/>
      <c r="E213" s="852"/>
      <c r="F213" s="878"/>
      <c r="G213" s="1709">
        <f>ROUND(G179,2)</f>
        <v>0</v>
      </c>
    </row>
    <row r="214" spans="2:7" ht="15" x14ac:dyDescent="0.25">
      <c r="B214" s="837" t="s">
        <v>1238</v>
      </c>
      <c r="C214" s="851" t="s">
        <v>1257</v>
      </c>
      <c r="D214" s="877"/>
      <c r="E214" s="852"/>
      <c r="F214" s="878"/>
      <c r="G214" s="1709">
        <f>ROUND(G190,2)</f>
        <v>0</v>
      </c>
    </row>
    <row r="215" spans="2:7" ht="15" x14ac:dyDescent="0.25">
      <c r="B215" s="1606" t="s">
        <v>1245</v>
      </c>
      <c r="C215" s="1607" t="s">
        <v>1258</v>
      </c>
      <c r="D215" s="1608"/>
      <c r="E215" s="1609"/>
      <c r="F215" s="1610"/>
      <c r="G215" s="1712">
        <f>ROUND(G207,2)</f>
        <v>0</v>
      </c>
    </row>
    <row r="216" spans="2:7" ht="15" x14ac:dyDescent="0.25">
      <c r="C216" s="879" t="s">
        <v>1259</v>
      </c>
      <c r="G216" s="1709">
        <f>ROUND(SUM(G210:G215),2)</f>
        <v>0</v>
      </c>
    </row>
  </sheetData>
  <sheetProtection algorithmName="SHA-512" hashValue="tbBqTEfNWwW8HRnkBUdrgH4eV1kwPSaP43i4q+p8YULE4hLA+QaYykoBMUc5YUezqiZOGWZReiJk+NAfWPDoTw==" saltValue="yuPIpuwpCFpBxhjRzp1Tag==" spinCount="100000" sheet="1" objects="1" scenarios="1"/>
  <pageMargins left="0.98425196850393704" right="0.39370078740157483" top="0.98425196850393704" bottom="0.74803149606299213" header="0" footer="0.39370078740157483"/>
  <pageSetup paperSize="9" scale="98" firstPageNumber="0" orientation="portrait" r:id="rId1"/>
  <headerFooter alignWithMargins="0">
    <oddHeader>&amp;L
&amp;R&amp;"Projekt,Običajno"&amp;72p</oddHeader>
    <oddFooter>&amp;C&amp;6 &amp; List: &amp;A&amp;R &amp;  &amp; Stran: &amp;P/&amp;N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L86"/>
  <sheetViews>
    <sheetView view="pageBreakPreview" zoomScaleNormal="55" zoomScaleSheetLayoutView="100" workbookViewId="0"/>
  </sheetViews>
  <sheetFormatPr defaultColWidth="9.140625" defaultRowHeight="15" x14ac:dyDescent="0.25"/>
  <cols>
    <col min="1" max="1" width="4.85546875" style="11" customWidth="1"/>
    <col min="2" max="2" width="4.5703125" style="11" bestFit="1" customWidth="1"/>
    <col min="3" max="3" width="39.28515625" style="11" customWidth="1"/>
    <col min="4" max="4" width="5.5703125" style="11" customWidth="1"/>
    <col min="5" max="5" width="10.5703125" style="11" bestFit="1" customWidth="1"/>
    <col min="6" max="6" width="12.28515625" style="2013" customWidth="1"/>
    <col min="7" max="7" width="14.5703125" style="11" bestFit="1" customWidth="1"/>
    <col min="8" max="9" width="10.7109375" style="11" bestFit="1" customWidth="1"/>
    <col min="10" max="16384" width="9.140625" style="11"/>
  </cols>
  <sheetData>
    <row r="1" spans="1:12" x14ac:dyDescent="0.25">
      <c r="A1" s="6"/>
      <c r="B1" s="6"/>
      <c r="C1" s="7"/>
      <c r="D1" s="8"/>
      <c r="E1" s="9"/>
      <c r="F1" s="2000"/>
      <c r="G1" s="10"/>
    </row>
    <row r="2" spans="1:12" ht="18" x14ac:dyDescent="0.25">
      <c r="A2" s="1647" t="s">
        <v>339</v>
      </c>
      <c r="B2" s="1648"/>
      <c r="C2" s="1648"/>
      <c r="D2" s="1648"/>
      <c r="E2" s="1648"/>
      <c r="F2" s="2001"/>
      <c r="G2" s="1648"/>
    </row>
    <row r="3" spans="1:12" x14ac:dyDescent="0.25">
      <c r="A3" s="12"/>
      <c r="B3" s="13"/>
      <c r="C3" s="14"/>
      <c r="D3" s="15"/>
      <c r="E3" s="16"/>
      <c r="F3" s="2002"/>
      <c r="G3" s="13"/>
    </row>
    <row r="4" spans="1:12" x14ac:dyDescent="0.25">
      <c r="A4" s="17"/>
      <c r="B4" s="18" t="s">
        <v>20</v>
      </c>
      <c r="C4" s="19" t="s">
        <v>21</v>
      </c>
      <c r="D4" s="20"/>
      <c r="E4" s="21"/>
      <c r="F4" s="2003"/>
      <c r="G4" s="22"/>
      <c r="I4" s="23"/>
      <c r="J4" s="24"/>
    </row>
    <row r="5" spans="1:12" x14ac:dyDescent="0.25">
      <c r="A5" s="17"/>
      <c r="B5" s="18"/>
      <c r="C5" s="19"/>
      <c r="D5" s="20"/>
      <c r="E5" s="21"/>
      <c r="F5" s="2003"/>
      <c r="G5" s="22"/>
      <c r="I5" s="23"/>
      <c r="J5" s="24"/>
    </row>
    <row r="6" spans="1:12" x14ac:dyDescent="0.25">
      <c r="A6" s="17"/>
      <c r="B6" s="25" t="s">
        <v>22</v>
      </c>
      <c r="C6" s="26" t="s">
        <v>23</v>
      </c>
      <c r="D6" s="27"/>
      <c r="E6" s="28"/>
      <c r="F6" s="2004"/>
      <c r="G6" s="1321">
        <f>ROUND(G84,2)</f>
        <v>0</v>
      </c>
      <c r="I6" s="24"/>
      <c r="J6" s="24"/>
    </row>
    <row r="7" spans="1:12" x14ac:dyDescent="0.25">
      <c r="A7" s="17"/>
      <c r="B7" s="18"/>
      <c r="C7" s="29"/>
      <c r="D7" s="30"/>
      <c r="E7" s="31"/>
      <c r="F7" s="2005"/>
      <c r="G7" s="1322"/>
      <c r="I7" s="24"/>
      <c r="J7" s="24"/>
    </row>
    <row r="8" spans="1:12" ht="15.75" customHeight="1" thickBot="1" x14ac:dyDescent="0.3">
      <c r="A8" s="32"/>
      <c r="B8" s="33"/>
      <c r="C8" s="34" t="s">
        <v>25</v>
      </c>
      <c r="D8" s="35"/>
      <c r="E8" s="36"/>
      <c r="F8" s="2006"/>
      <c r="G8" s="1323">
        <f>ROUND(SUM(G6:G6),2)</f>
        <v>0</v>
      </c>
      <c r="K8" s="38"/>
      <c r="L8" s="24"/>
    </row>
    <row r="9" spans="1:12" ht="15.75" thickTop="1" x14ac:dyDescent="0.25">
      <c r="A9" s="39"/>
      <c r="B9" s="40"/>
      <c r="C9" s="41"/>
      <c r="D9" s="42"/>
      <c r="E9" s="43"/>
      <c r="F9" s="2007"/>
      <c r="G9" s="44"/>
      <c r="I9" s="24"/>
      <c r="J9" s="24"/>
    </row>
    <row r="10" spans="1:12" x14ac:dyDescent="0.25">
      <c r="A10" s="39"/>
      <c r="B10" s="40"/>
      <c r="C10" s="41"/>
      <c r="D10" s="42"/>
      <c r="E10" s="43"/>
      <c r="F10" s="2007"/>
      <c r="G10" s="44"/>
      <c r="I10" s="24"/>
      <c r="J10" s="24"/>
    </row>
    <row r="11" spans="1:12" x14ac:dyDescent="0.25">
      <c r="A11" s="45"/>
      <c r="B11" s="10"/>
      <c r="D11" s="46"/>
      <c r="E11" s="47"/>
      <c r="F11" s="2008"/>
      <c r="G11" s="6"/>
    </row>
    <row r="12" spans="1:12" x14ac:dyDescent="0.25">
      <c r="A12" s="45"/>
      <c r="B12" s="10"/>
      <c r="D12" s="46"/>
      <c r="E12" s="47"/>
      <c r="F12" s="2008"/>
      <c r="G12" s="6"/>
    </row>
    <row r="13" spans="1:12" x14ac:dyDescent="0.25">
      <c r="A13" s="45"/>
      <c r="B13" s="10"/>
      <c r="D13" s="46"/>
      <c r="E13" s="47"/>
      <c r="F13" s="2008"/>
      <c r="G13" s="6"/>
    </row>
    <row r="14" spans="1:12" x14ac:dyDescent="0.25">
      <c r="A14" s="45"/>
      <c r="B14" s="10"/>
      <c r="D14" s="46"/>
      <c r="E14" s="47"/>
      <c r="F14" s="2008"/>
      <c r="G14" s="6"/>
    </row>
    <row r="15" spans="1:12" x14ac:dyDescent="0.25">
      <c r="A15" s="45"/>
      <c r="B15" s="10"/>
      <c r="D15" s="46"/>
      <c r="E15" s="47"/>
      <c r="F15" s="2008"/>
      <c r="G15" s="6"/>
    </row>
    <row r="16" spans="1:12" x14ac:dyDescent="0.25">
      <c r="A16" s="45"/>
      <c r="B16" s="10"/>
      <c r="D16" s="46"/>
      <c r="E16" s="47"/>
      <c r="F16" s="2008"/>
      <c r="G16" s="6"/>
    </row>
    <row r="17" spans="1:7" x14ac:dyDescent="0.25">
      <c r="A17" s="45"/>
      <c r="B17" s="10"/>
      <c r="D17" s="46"/>
      <c r="E17" s="47"/>
      <c r="F17" s="2008"/>
      <c r="G17" s="6"/>
    </row>
    <row r="18" spans="1:7" x14ac:dyDescent="0.25">
      <c r="A18" s="45"/>
      <c r="B18" s="10"/>
      <c r="D18" s="46"/>
      <c r="E18" s="47"/>
      <c r="F18" s="2008"/>
      <c r="G18" s="6"/>
    </row>
    <row r="19" spans="1:7" x14ac:dyDescent="0.25">
      <c r="A19" s="45"/>
      <c r="B19" s="10"/>
      <c r="D19" s="46"/>
      <c r="E19" s="47"/>
      <c r="F19" s="2008"/>
      <c r="G19" s="6"/>
    </row>
    <row r="20" spans="1:7" x14ac:dyDescent="0.25">
      <c r="A20" s="45"/>
      <c r="B20" s="10"/>
      <c r="D20" s="46"/>
      <c r="E20" s="47"/>
      <c r="F20" s="2008"/>
      <c r="G20" s="6"/>
    </row>
    <row r="21" spans="1:7" x14ac:dyDescent="0.25">
      <c r="A21" s="45"/>
      <c r="B21" s="10"/>
      <c r="D21" s="46"/>
      <c r="E21" s="47"/>
      <c r="F21" s="2008"/>
      <c r="G21" s="6"/>
    </row>
    <row r="22" spans="1:7" x14ac:dyDescent="0.25">
      <c r="A22" s="45"/>
      <c r="B22" s="10"/>
      <c r="D22" s="46"/>
      <c r="E22" s="47"/>
      <c r="F22" s="2008"/>
      <c r="G22" s="6"/>
    </row>
    <row r="23" spans="1:7" x14ac:dyDescent="0.25">
      <c r="A23" s="45"/>
      <c r="B23" s="10"/>
      <c r="D23" s="46"/>
      <c r="E23" s="47"/>
      <c r="F23" s="2008"/>
      <c r="G23" s="6"/>
    </row>
    <row r="24" spans="1:7" x14ac:dyDescent="0.25">
      <c r="A24" s="45"/>
      <c r="B24" s="10"/>
      <c r="D24" s="46"/>
      <c r="E24" s="47"/>
      <c r="F24" s="2008"/>
      <c r="G24" s="6"/>
    </row>
    <row r="25" spans="1:7" x14ac:dyDescent="0.25">
      <c r="A25" s="45"/>
      <c r="B25" s="10"/>
      <c r="D25" s="46"/>
      <c r="E25" s="47"/>
      <c r="F25" s="2008"/>
      <c r="G25" s="6"/>
    </row>
    <row r="26" spans="1:7" x14ac:dyDescent="0.25">
      <c r="A26" s="45"/>
      <c r="B26" s="10"/>
      <c r="D26" s="46"/>
      <c r="E26" s="47"/>
      <c r="F26" s="2008"/>
      <c r="G26" s="6"/>
    </row>
    <row r="27" spans="1:7" x14ac:dyDescent="0.25">
      <c r="A27" s="45"/>
      <c r="B27" s="10"/>
      <c r="D27" s="46"/>
      <c r="E27" s="47"/>
      <c r="F27" s="2008"/>
      <c r="G27" s="6"/>
    </row>
    <row r="28" spans="1:7" x14ac:dyDescent="0.25">
      <c r="A28" s="45"/>
      <c r="B28" s="10"/>
      <c r="D28" s="46"/>
      <c r="E28" s="47"/>
      <c r="F28" s="2008"/>
      <c r="G28" s="6"/>
    </row>
    <row r="29" spans="1:7" x14ac:dyDescent="0.25">
      <c r="A29" s="45"/>
      <c r="B29" s="10"/>
      <c r="D29" s="46"/>
      <c r="E29" s="47"/>
      <c r="F29" s="2008"/>
      <c r="G29" s="6"/>
    </row>
    <row r="30" spans="1:7" x14ac:dyDescent="0.25">
      <c r="A30" s="45"/>
      <c r="B30" s="10"/>
      <c r="D30" s="46"/>
      <c r="E30" s="47"/>
      <c r="F30" s="2008"/>
      <c r="G30" s="6"/>
    </row>
    <row r="31" spans="1:7" x14ac:dyDescent="0.25">
      <c r="A31" s="45"/>
      <c r="B31" s="10"/>
      <c r="D31" s="46"/>
      <c r="E31" s="47"/>
      <c r="F31" s="2008"/>
      <c r="G31" s="6"/>
    </row>
    <row r="32" spans="1:7" x14ac:dyDescent="0.25">
      <c r="A32" s="45"/>
      <c r="B32" s="10"/>
      <c r="D32" s="46"/>
      <c r="E32" s="47"/>
      <c r="F32" s="2008"/>
      <c r="G32" s="6"/>
    </row>
    <row r="33" spans="1:7" x14ac:dyDescent="0.25">
      <c r="A33" s="45"/>
      <c r="B33" s="10"/>
      <c r="D33" s="46"/>
      <c r="E33" s="47"/>
      <c r="F33" s="2008"/>
      <c r="G33" s="6"/>
    </row>
    <row r="34" spans="1:7" x14ac:dyDescent="0.25">
      <c r="A34" s="45"/>
      <c r="B34" s="10"/>
      <c r="D34" s="46"/>
      <c r="E34" s="47"/>
      <c r="F34" s="2008"/>
      <c r="G34" s="6"/>
    </row>
    <row r="35" spans="1:7" x14ac:dyDescent="0.25">
      <c r="A35" s="45"/>
      <c r="B35" s="10"/>
      <c r="D35" s="46"/>
      <c r="E35" s="47"/>
      <c r="F35" s="2008"/>
      <c r="G35" s="6"/>
    </row>
    <row r="36" spans="1:7" x14ac:dyDescent="0.25">
      <c r="A36" s="45"/>
      <c r="B36" s="10"/>
      <c r="D36" s="46"/>
      <c r="E36" s="47"/>
      <c r="F36" s="2008"/>
      <c r="G36" s="6"/>
    </row>
    <row r="37" spans="1:7" x14ac:dyDescent="0.25">
      <c r="A37" s="45"/>
      <c r="B37" s="10"/>
      <c r="D37" s="46"/>
      <c r="E37" s="47"/>
      <c r="F37" s="2008"/>
      <c r="G37" s="6"/>
    </row>
    <row r="38" spans="1:7" x14ac:dyDescent="0.25">
      <c r="A38" s="45"/>
      <c r="B38" s="10"/>
      <c r="D38" s="46"/>
      <c r="E38" s="47"/>
      <c r="F38" s="2008"/>
      <c r="G38" s="6"/>
    </row>
    <row r="39" spans="1:7" x14ac:dyDescent="0.25">
      <c r="A39" s="45"/>
      <c r="B39" s="10"/>
      <c r="D39" s="46"/>
      <c r="E39" s="47"/>
      <c r="F39" s="2008"/>
      <c r="G39" s="6"/>
    </row>
    <row r="40" spans="1:7" x14ac:dyDescent="0.25">
      <c r="A40" s="45"/>
      <c r="B40" s="10"/>
      <c r="D40" s="46"/>
      <c r="E40" s="47"/>
      <c r="F40" s="2008"/>
      <c r="G40" s="6"/>
    </row>
    <row r="41" spans="1:7" x14ac:dyDescent="0.25">
      <c r="A41" s="45"/>
      <c r="B41" s="10"/>
      <c r="D41" s="46"/>
      <c r="E41" s="47"/>
      <c r="F41" s="2008"/>
      <c r="G41" s="6"/>
    </row>
    <row r="42" spans="1:7" x14ac:dyDescent="0.25">
      <c r="A42" s="45"/>
      <c r="B42" s="10"/>
      <c r="D42" s="46"/>
      <c r="E42" s="47"/>
      <c r="F42" s="2008"/>
      <c r="G42" s="6"/>
    </row>
    <row r="43" spans="1:7" x14ac:dyDescent="0.25">
      <c r="A43" s="45"/>
      <c r="B43" s="10"/>
      <c r="D43" s="46"/>
      <c r="E43" s="47"/>
      <c r="F43" s="2008"/>
      <c r="G43" s="6"/>
    </row>
    <row r="44" spans="1:7" x14ac:dyDescent="0.25">
      <c r="A44" s="45"/>
      <c r="B44" s="10"/>
      <c r="D44" s="46"/>
      <c r="E44" s="47"/>
      <c r="F44" s="2008"/>
      <c r="G44" s="6"/>
    </row>
    <row r="45" spans="1:7" x14ac:dyDescent="0.25">
      <c r="A45" s="45"/>
      <c r="B45" s="10"/>
      <c r="D45" s="46"/>
      <c r="E45" s="47"/>
      <c r="F45" s="2008"/>
      <c r="G45" s="6"/>
    </row>
    <row r="46" spans="1:7" x14ac:dyDescent="0.25">
      <c r="A46" s="45"/>
      <c r="B46" s="10"/>
      <c r="D46" s="46"/>
      <c r="E46" s="47"/>
      <c r="F46" s="2008"/>
      <c r="G46" s="6"/>
    </row>
    <row r="47" spans="1:7" x14ac:dyDescent="0.25">
      <c r="A47" s="45"/>
      <c r="B47" s="10"/>
      <c r="D47" s="46"/>
      <c r="E47" s="47"/>
      <c r="F47" s="2008"/>
      <c r="G47" s="6"/>
    </row>
    <row r="48" spans="1:7" x14ac:dyDescent="0.25">
      <c r="A48" s="45"/>
      <c r="B48" s="10"/>
      <c r="D48" s="46"/>
      <c r="E48" s="47"/>
      <c r="F48" s="2008"/>
      <c r="G48" s="6"/>
    </row>
    <row r="49" spans="1:7" x14ac:dyDescent="0.25">
      <c r="A49" s="45"/>
      <c r="B49" s="10"/>
      <c r="D49" s="46"/>
      <c r="E49" s="47"/>
      <c r="F49" s="2008"/>
      <c r="G49" s="6"/>
    </row>
    <row r="50" spans="1:7" x14ac:dyDescent="0.25">
      <c r="A50" s="45"/>
      <c r="B50" s="10"/>
      <c r="D50" s="46"/>
      <c r="E50" s="47"/>
      <c r="F50" s="2008"/>
      <c r="G50" s="6"/>
    </row>
    <row r="51" spans="1:7" x14ac:dyDescent="0.25">
      <c r="A51" s="48" t="s">
        <v>62</v>
      </c>
      <c r="B51" s="10"/>
      <c r="D51" s="46"/>
      <c r="E51" s="47"/>
      <c r="F51" s="2008"/>
      <c r="G51" s="6"/>
    </row>
    <row r="52" spans="1:7" x14ac:dyDescent="0.25">
      <c r="A52" s="49"/>
      <c r="B52" s="50"/>
      <c r="C52" s="51" t="s">
        <v>63</v>
      </c>
      <c r="D52" s="52"/>
      <c r="E52" s="53"/>
      <c r="F52" s="2009"/>
      <c r="G52" s="50"/>
    </row>
    <row r="53" spans="1:7" x14ac:dyDescent="0.25">
      <c r="A53" s="45"/>
      <c r="B53" s="6"/>
      <c r="C53" s="48"/>
      <c r="D53" s="46"/>
      <c r="E53" s="47"/>
      <c r="F53" s="2008"/>
      <c r="G53" s="6"/>
    </row>
    <row r="54" spans="1:7" x14ac:dyDescent="0.25">
      <c r="A54" s="45"/>
      <c r="B54" s="18" t="s">
        <v>20</v>
      </c>
      <c r="C54" s="19" t="s">
        <v>21</v>
      </c>
      <c r="D54" s="46"/>
      <c r="E54" s="47"/>
      <c r="F54" s="2008"/>
      <c r="G54" s="6"/>
    </row>
    <row r="55" spans="1:7" x14ac:dyDescent="0.25">
      <c r="A55" s="45"/>
      <c r="B55" s="6"/>
      <c r="C55" s="6"/>
      <c r="D55" s="46"/>
      <c r="E55" s="47"/>
      <c r="F55" s="2008"/>
      <c r="G55" s="6"/>
    </row>
    <row r="56" spans="1:7" x14ac:dyDescent="0.25">
      <c r="A56" s="8"/>
      <c r="B56" s="54" t="s">
        <v>26</v>
      </c>
      <c r="C56" s="55" t="s">
        <v>27</v>
      </c>
      <c r="D56" s="54" t="s">
        <v>28</v>
      </c>
      <c r="E56" s="56" t="s">
        <v>29</v>
      </c>
      <c r="F56" s="2010" t="s">
        <v>30</v>
      </c>
      <c r="G56" s="57" t="s">
        <v>31</v>
      </c>
    </row>
    <row r="57" spans="1:7" x14ac:dyDescent="0.25">
      <c r="A57" s="8"/>
      <c r="B57" s="8"/>
      <c r="C57" s="58"/>
      <c r="D57" s="8"/>
      <c r="E57" s="9"/>
      <c r="F57" s="2011"/>
      <c r="G57" s="59"/>
    </row>
    <row r="58" spans="1:7" x14ac:dyDescent="0.25">
      <c r="A58" s="60"/>
      <c r="B58" s="61" t="s">
        <v>22</v>
      </c>
      <c r="C58" s="62" t="s">
        <v>23</v>
      </c>
      <c r="D58" s="63"/>
      <c r="E58" s="64"/>
      <c r="F58" s="1737"/>
      <c r="G58" s="64"/>
    </row>
    <row r="59" spans="1:7" ht="8.1" customHeight="1" x14ac:dyDescent="0.25">
      <c r="A59" s="60"/>
      <c r="B59" s="65"/>
      <c r="C59" s="66"/>
      <c r="D59" s="63"/>
      <c r="E59" s="64"/>
      <c r="F59" s="1737"/>
      <c r="G59" s="64"/>
    </row>
    <row r="60" spans="1:7" s="72" customFormat="1" ht="51.75" customHeight="1" x14ac:dyDescent="0.25">
      <c r="A60" s="67"/>
      <c r="B60" s="68" t="s">
        <v>32</v>
      </c>
      <c r="C60" s="69" t="s">
        <v>33</v>
      </c>
      <c r="D60" s="70" t="s">
        <v>34</v>
      </c>
      <c r="E60" s="71">
        <v>40</v>
      </c>
      <c r="F60" s="2012"/>
      <c r="G60" s="71">
        <f>ROUND(E60*F60,2)</f>
        <v>0</v>
      </c>
    </row>
    <row r="61" spans="1:7" s="72" customFormat="1" ht="8.1" customHeight="1" x14ac:dyDescent="0.25">
      <c r="A61" s="73"/>
      <c r="B61" s="68"/>
      <c r="C61" s="69"/>
      <c r="D61" s="70"/>
      <c r="E61" s="71"/>
      <c r="F61" s="1738"/>
      <c r="G61" s="71"/>
    </row>
    <row r="62" spans="1:7" s="72" customFormat="1" ht="39.75" customHeight="1" x14ac:dyDescent="0.25">
      <c r="A62" s="67"/>
      <c r="B62" s="68" t="s">
        <v>35</v>
      </c>
      <c r="C62" s="69" t="s">
        <v>36</v>
      </c>
      <c r="D62" s="70" t="s">
        <v>34</v>
      </c>
      <c r="E62" s="74">
        <v>800</v>
      </c>
      <c r="F62" s="2012"/>
      <c r="G62" s="71">
        <f>ROUND(E62*F62,2)</f>
        <v>0</v>
      </c>
    </row>
    <row r="63" spans="1:7" s="72" customFormat="1" ht="8.1" customHeight="1" x14ac:dyDescent="0.25">
      <c r="A63" s="73"/>
      <c r="B63" s="68"/>
      <c r="C63" s="69"/>
      <c r="D63" s="70"/>
      <c r="E63" s="71"/>
      <c r="F63" s="2012"/>
      <c r="G63" s="71"/>
    </row>
    <row r="64" spans="1:7" s="72" customFormat="1" ht="27" customHeight="1" x14ac:dyDescent="0.25">
      <c r="A64" s="67"/>
      <c r="B64" s="68" t="s">
        <v>37</v>
      </c>
      <c r="C64" s="69" t="s">
        <v>38</v>
      </c>
      <c r="D64" s="70" t="s">
        <v>39</v>
      </c>
      <c r="E64" s="71">
        <v>1</v>
      </c>
      <c r="F64" s="2012"/>
      <c r="G64" s="71">
        <f>ROUND(E64*F64,2)</f>
        <v>0</v>
      </c>
    </row>
    <row r="65" spans="1:7" s="72" customFormat="1" ht="8.1" customHeight="1" x14ac:dyDescent="0.25">
      <c r="A65" s="73"/>
      <c r="B65" s="68"/>
      <c r="C65" s="69"/>
      <c r="D65" s="70"/>
      <c r="E65" s="71"/>
      <c r="F65" s="2012"/>
      <c r="G65" s="71"/>
    </row>
    <row r="66" spans="1:7" s="72" customFormat="1" ht="28.5" customHeight="1" x14ac:dyDescent="0.25">
      <c r="A66" s="67"/>
      <c r="B66" s="68" t="s">
        <v>40</v>
      </c>
      <c r="C66" s="75" t="s">
        <v>41</v>
      </c>
      <c r="D66" s="70" t="s">
        <v>39</v>
      </c>
      <c r="E66" s="71">
        <v>2</v>
      </c>
      <c r="F66" s="2012"/>
      <c r="G66" s="71">
        <f>ROUND(E66*F66,2)</f>
        <v>0</v>
      </c>
    </row>
    <row r="67" spans="1:7" s="72" customFormat="1" ht="8.1" customHeight="1" x14ac:dyDescent="0.25">
      <c r="A67" s="73"/>
      <c r="B67" s="68"/>
      <c r="C67" s="76"/>
      <c r="D67" s="70"/>
      <c r="E67" s="71"/>
      <c r="F67" s="2012"/>
      <c r="G67" s="71"/>
    </row>
    <row r="68" spans="1:7" s="72" customFormat="1" x14ac:dyDescent="0.25">
      <c r="A68" s="67"/>
      <c r="B68" s="68" t="s">
        <v>42</v>
      </c>
      <c r="C68" s="76" t="s">
        <v>43</v>
      </c>
      <c r="D68" s="70" t="s">
        <v>39</v>
      </c>
      <c r="E68" s="71">
        <v>4</v>
      </c>
      <c r="F68" s="2012"/>
      <c r="G68" s="71">
        <f>ROUND(E68*F68,2)</f>
        <v>0</v>
      </c>
    </row>
    <row r="69" spans="1:7" s="72" customFormat="1" ht="8.1" customHeight="1" x14ac:dyDescent="0.25">
      <c r="A69" s="73"/>
      <c r="B69" s="68"/>
      <c r="C69" s="76"/>
      <c r="D69" s="70"/>
      <c r="E69" s="71"/>
      <c r="F69" s="2012"/>
      <c r="G69" s="71"/>
    </row>
    <row r="70" spans="1:7" s="72" customFormat="1" ht="26.25" customHeight="1" x14ac:dyDescent="0.25">
      <c r="A70" s="67"/>
      <c r="B70" s="68" t="s">
        <v>44</v>
      </c>
      <c r="C70" s="69" t="s">
        <v>45</v>
      </c>
      <c r="D70" s="70" t="s">
        <v>39</v>
      </c>
      <c r="E70" s="71">
        <v>1</v>
      </c>
      <c r="F70" s="2012"/>
      <c r="G70" s="71">
        <f>ROUND(E70*F70,2)</f>
        <v>0</v>
      </c>
    </row>
    <row r="71" spans="1:7" s="72" customFormat="1" ht="8.1" customHeight="1" x14ac:dyDescent="0.25">
      <c r="A71" s="73"/>
      <c r="B71" s="68"/>
      <c r="C71" s="69"/>
      <c r="D71" s="70"/>
      <c r="E71" s="71"/>
      <c r="F71" s="2012"/>
      <c r="G71" s="71"/>
    </row>
    <row r="72" spans="1:7" s="72" customFormat="1" ht="27.75" customHeight="1" x14ac:dyDescent="0.25">
      <c r="A72" s="67"/>
      <c r="B72" s="68" t="s">
        <v>46</v>
      </c>
      <c r="C72" s="69" t="s">
        <v>47</v>
      </c>
      <c r="D72" s="70" t="s">
        <v>39</v>
      </c>
      <c r="E72" s="71">
        <v>5</v>
      </c>
      <c r="F72" s="2012"/>
      <c r="G72" s="71">
        <f>ROUND(E72*F72,2)</f>
        <v>0</v>
      </c>
    </row>
    <row r="73" spans="1:7" s="72" customFormat="1" ht="8.1" customHeight="1" x14ac:dyDescent="0.25">
      <c r="A73" s="73"/>
      <c r="B73" s="68"/>
      <c r="C73" s="69"/>
      <c r="D73" s="70"/>
      <c r="E73" s="71"/>
      <c r="F73" s="2012"/>
      <c r="G73" s="71"/>
    </row>
    <row r="74" spans="1:7" s="72" customFormat="1" ht="24" x14ac:dyDescent="0.25">
      <c r="A74" s="67"/>
      <c r="B74" s="68" t="s">
        <v>48</v>
      </c>
      <c r="C74" s="69" t="s">
        <v>49</v>
      </c>
      <c r="D74" s="70" t="s">
        <v>39</v>
      </c>
      <c r="E74" s="71">
        <v>5</v>
      </c>
      <c r="F74" s="2012"/>
      <c r="G74" s="71">
        <f>ROUND(E74*F74,2)</f>
        <v>0</v>
      </c>
    </row>
    <row r="75" spans="1:7" s="72" customFormat="1" ht="8.1" customHeight="1" x14ac:dyDescent="0.25">
      <c r="A75" s="73"/>
      <c r="B75" s="68"/>
      <c r="C75" s="76"/>
      <c r="D75" s="70"/>
      <c r="E75" s="71"/>
      <c r="F75" s="2012"/>
      <c r="G75" s="71"/>
    </row>
    <row r="76" spans="1:7" s="72" customFormat="1" x14ac:dyDescent="0.25">
      <c r="A76" s="67"/>
      <c r="B76" s="68" t="s">
        <v>50</v>
      </c>
      <c r="C76" s="76" t="s">
        <v>51</v>
      </c>
      <c r="D76" s="70" t="s">
        <v>39</v>
      </c>
      <c r="E76" s="71">
        <v>4</v>
      </c>
      <c r="F76" s="2012"/>
      <c r="G76" s="71">
        <f>ROUND(E76*F76,2)</f>
        <v>0</v>
      </c>
    </row>
    <row r="77" spans="1:7" s="72" customFormat="1" ht="8.1" customHeight="1" x14ac:dyDescent="0.25">
      <c r="A77" s="73"/>
      <c r="B77" s="68"/>
      <c r="C77" s="76"/>
      <c r="D77" s="70"/>
      <c r="E77" s="71"/>
      <c r="F77" s="2012"/>
      <c r="G77" s="71"/>
    </row>
    <row r="78" spans="1:7" s="72" customFormat="1" ht="24" x14ac:dyDescent="0.25">
      <c r="A78" s="67"/>
      <c r="B78" s="68" t="s">
        <v>52</v>
      </c>
      <c r="C78" s="69" t="s">
        <v>53</v>
      </c>
      <c r="D78" s="70" t="s">
        <v>39</v>
      </c>
      <c r="E78" s="71">
        <v>2</v>
      </c>
      <c r="F78" s="2012"/>
      <c r="G78" s="71">
        <f>ROUND(E78*F78,2)</f>
        <v>0</v>
      </c>
    </row>
    <row r="79" spans="1:7" s="72" customFormat="1" ht="8.1" customHeight="1" x14ac:dyDescent="0.25">
      <c r="A79" s="73"/>
      <c r="B79" s="68"/>
      <c r="C79" s="76"/>
      <c r="D79" s="70"/>
      <c r="E79" s="71"/>
      <c r="F79" s="2012"/>
      <c r="G79" s="71"/>
    </row>
    <row r="80" spans="1:7" s="72" customFormat="1" x14ac:dyDescent="0.25">
      <c r="A80" s="67"/>
      <c r="B80" s="68" t="s">
        <v>54</v>
      </c>
      <c r="C80" s="76" t="s">
        <v>55</v>
      </c>
      <c r="D80" s="70" t="s">
        <v>39</v>
      </c>
      <c r="E80" s="71">
        <v>10</v>
      </c>
      <c r="F80" s="2012"/>
      <c r="G80" s="71">
        <f>ROUND(E80*F80,2)</f>
        <v>0</v>
      </c>
    </row>
    <row r="81" spans="1:7" s="72" customFormat="1" ht="8.1" customHeight="1" x14ac:dyDescent="0.25">
      <c r="A81" s="73"/>
      <c r="B81" s="68"/>
      <c r="C81" s="76"/>
      <c r="D81" s="70"/>
      <c r="E81" s="71"/>
      <c r="F81" s="2012"/>
      <c r="G81" s="71"/>
    </row>
    <row r="82" spans="1:7" s="72" customFormat="1" ht="48" x14ac:dyDescent="0.25">
      <c r="A82" s="67"/>
      <c r="B82" s="68" t="s">
        <v>56</v>
      </c>
      <c r="C82" s="69" t="s">
        <v>57</v>
      </c>
      <c r="D82" s="70" t="s">
        <v>58</v>
      </c>
      <c r="E82" s="71">
        <v>1</v>
      </c>
      <c r="F82" s="2012"/>
      <c r="G82" s="71">
        <f>ROUND(E82*F82,2)</f>
        <v>0</v>
      </c>
    </row>
    <row r="83" spans="1:7" ht="8.1" customHeight="1" x14ac:dyDescent="0.25">
      <c r="A83" s="60"/>
      <c r="B83" s="65"/>
      <c r="C83" s="77"/>
      <c r="D83" s="63"/>
      <c r="E83" s="64"/>
      <c r="F83" s="1737"/>
      <c r="G83" s="64"/>
    </row>
    <row r="84" spans="1:7" x14ac:dyDescent="0.25">
      <c r="A84" s="60"/>
      <c r="B84" s="63"/>
      <c r="C84" s="1182" t="s">
        <v>59</v>
      </c>
      <c r="D84" s="1183"/>
      <c r="E84" s="1184"/>
      <c r="F84" s="1739"/>
      <c r="G84" s="1184">
        <f>ROUND(SUM(G60:G82),2)</f>
        <v>0</v>
      </c>
    </row>
    <row r="85" spans="1:7" x14ac:dyDescent="0.25">
      <c r="A85" s="60"/>
      <c r="B85" s="63"/>
      <c r="C85" s="78"/>
      <c r="D85" s="63"/>
      <c r="E85" s="64"/>
      <c r="F85" s="1737"/>
      <c r="G85" s="64"/>
    </row>
    <row r="86" spans="1:7" ht="8.1" customHeight="1" x14ac:dyDescent="0.25">
      <c r="A86" s="60"/>
      <c r="B86" s="63"/>
      <c r="C86" s="78"/>
      <c r="D86" s="63"/>
      <c r="E86" s="64"/>
      <c r="F86" s="1737"/>
      <c r="G86" s="64"/>
    </row>
  </sheetData>
  <sheetProtection algorithmName="SHA-512" hashValue="bfY6vXAgLeM7uXZcRPGyLWh2cl8dZzaL2q34n36qHtWpBl4V7xL3hHjqQO8///EzV1CABJWw6Gy7CiPTup/BZg==" saltValue="gMjqAIDbDxwKmGzTVjUdLQ==" spinCount="100000" sheet="1" objects="1" scenarios="1"/>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rowBreaks count="1" manualBreakCount="1">
    <brk id="53" max="6"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tabColor theme="6" tint="-0.249977111117893"/>
  </sheetPr>
  <dimension ref="A1:K236"/>
  <sheetViews>
    <sheetView view="pageBreakPreview" zoomScale="85" zoomScaleNormal="85" zoomScaleSheetLayoutView="85" workbookViewId="0"/>
  </sheetViews>
  <sheetFormatPr defaultRowHeight="12.75" x14ac:dyDescent="0.25"/>
  <cols>
    <col min="1" max="1" width="4.5703125" style="1408" customWidth="1"/>
    <col min="2" max="2" width="3.85546875" style="1408" customWidth="1"/>
    <col min="3" max="3" width="41.7109375" style="1407" customWidth="1"/>
    <col min="4" max="4" width="6" style="1408" customWidth="1"/>
    <col min="5" max="5" width="7.5703125" style="1409" customWidth="1"/>
    <col min="6" max="6" width="10.5703125" style="1975" customWidth="1"/>
    <col min="7" max="7" width="13.28515625" style="1410" customWidth="1"/>
    <col min="8" max="8" width="9.85546875" style="1408" customWidth="1"/>
    <col min="9" max="9" width="2.5703125" style="1408" bestFit="1" customWidth="1"/>
    <col min="10" max="10" width="9.140625" style="1408"/>
    <col min="11" max="11" width="9" style="1408" customWidth="1"/>
    <col min="12" max="256" width="9.140625" style="1408"/>
    <col min="257" max="257" width="3.42578125" style="1408" customWidth="1"/>
    <col min="258" max="258" width="4.42578125" style="1408" customWidth="1"/>
    <col min="259" max="259" width="43.7109375" style="1408" customWidth="1"/>
    <col min="260" max="260" width="6.28515625" style="1408" customWidth="1"/>
    <col min="261" max="261" width="7.5703125" style="1408" customWidth="1"/>
    <col min="262" max="262" width="9.5703125" style="1408" customWidth="1"/>
    <col min="263" max="263" width="13.28515625" style="1408" customWidth="1"/>
    <col min="264" max="264" width="9.85546875" style="1408" customWidth="1"/>
    <col min="265" max="265" width="2.5703125" style="1408" bestFit="1" customWidth="1"/>
    <col min="266" max="266" width="9.140625" style="1408"/>
    <col min="267" max="267" width="9" style="1408" customWidth="1"/>
    <col min="268" max="512" width="9.140625" style="1408"/>
    <col min="513" max="513" width="3.42578125" style="1408" customWidth="1"/>
    <col min="514" max="514" width="4.42578125" style="1408" customWidth="1"/>
    <col min="515" max="515" width="43.7109375" style="1408" customWidth="1"/>
    <col min="516" max="516" width="6.28515625" style="1408" customWidth="1"/>
    <col min="517" max="517" width="7.5703125" style="1408" customWidth="1"/>
    <col min="518" max="518" width="9.5703125" style="1408" customWidth="1"/>
    <col min="519" max="519" width="13.28515625" style="1408" customWidth="1"/>
    <col min="520" max="520" width="9.85546875" style="1408" customWidth="1"/>
    <col min="521" max="521" width="2.5703125" style="1408" bestFit="1" customWidth="1"/>
    <col min="522" max="522" width="9.140625" style="1408"/>
    <col min="523" max="523" width="9" style="1408" customWidth="1"/>
    <col min="524" max="768" width="9.140625" style="1408"/>
    <col min="769" max="769" width="3.42578125" style="1408" customWidth="1"/>
    <col min="770" max="770" width="4.42578125" style="1408" customWidth="1"/>
    <col min="771" max="771" width="43.7109375" style="1408" customWidth="1"/>
    <col min="772" max="772" width="6.28515625" style="1408" customWidth="1"/>
    <col min="773" max="773" width="7.5703125" style="1408" customWidth="1"/>
    <col min="774" max="774" width="9.5703125" style="1408" customWidth="1"/>
    <col min="775" max="775" width="13.28515625" style="1408" customWidth="1"/>
    <col min="776" max="776" width="9.85546875" style="1408" customWidth="1"/>
    <col min="777" max="777" width="2.5703125" style="1408" bestFit="1" customWidth="1"/>
    <col min="778" max="778" width="9.140625" style="1408"/>
    <col min="779" max="779" width="9" style="1408" customWidth="1"/>
    <col min="780" max="1024" width="9.140625" style="1408"/>
    <col min="1025" max="1025" width="3.42578125" style="1408" customWidth="1"/>
    <col min="1026" max="1026" width="4.42578125" style="1408" customWidth="1"/>
    <col min="1027" max="1027" width="43.7109375" style="1408" customWidth="1"/>
    <col min="1028" max="1028" width="6.28515625" style="1408" customWidth="1"/>
    <col min="1029" max="1029" width="7.5703125" style="1408" customWidth="1"/>
    <col min="1030" max="1030" width="9.5703125" style="1408" customWidth="1"/>
    <col min="1031" max="1031" width="13.28515625" style="1408" customWidth="1"/>
    <col min="1032" max="1032" width="9.85546875" style="1408" customWidth="1"/>
    <col min="1033" max="1033" width="2.5703125" style="1408" bestFit="1" customWidth="1"/>
    <col min="1034" max="1034" width="9.140625" style="1408"/>
    <col min="1035" max="1035" width="9" style="1408" customWidth="1"/>
    <col min="1036" max="1280" width="9.140625" style="1408"/>
    <col min="1281" max="1281" width="3.42578125" style="1408" customWidth="1"/>
    <col min="1282" max="1282" width="4.42578125" style="1408" customWidth="1"/>
    <col min="1283" max="1283" width="43.7109375" style="1408" customWidth="1"/>
    <col min="1284" max="1284" width="6.28515625" style="1408" customWidth="1"/>
    <col min="1285" max="1285" width="7.5703125" style="1408" customWidth="1"/>
    <col min="1286" max="1286" width="9.5703125" style="1408" customWidth="1"/>
    <col min="1287" max="1287" width="13.28515625" style="1408" customWidth="1"/>
    <col min="1288" max="1288" width="9.85546875" style="1408" customWidth="1"/>
    <col min="1289" max="1289" width="2.5703125" style="1408" bestFit="1" customWidth="1"/>
    <col min="1290" max="1290" width="9.140625" style="1408"/>
    <col min="1291" max="1291" width="9" style="1408" customWidth="1"/>
    <col min="1292" max="1536" width="9.140625" style="1408"/>
    <col min="1537" max="1537" width="3.42578125" style="1408" customWidth="1"/>
    <col min="1538" max="1538" width="4.42578125" style="1408" customWidth="1"/>
    <col min="1539" max="1539" width="43.7109375" style="1408" customWidth="1"/>
    <col min="1540" max="1540" width="6.28515625" style="1408" customWidth="1"/>
    <col min="1541" max="1541" width="7.5703125" style="1408" customWidth="1"/>
    <col min="1542" max="1542" width="9.5703125" style="1408" customWidth="1"/>
    <col min="1543" max="1543" width="13.28515625" style="1408" customWidth="1"/>
    <col min="1544" max="1544" width="9.85546875" style="1408" customWidth="1"/>
    <col min="1545" max="1545" width="2.5703125" style="1408" bestFit="1" customWidth="1"/>
    <col min="1546" max="1546" width="9.140625" style="1408"/>
    <col min="1547" max="1547" width="9" style="1408" customWidth="1"/>
    <col min="1548" max="1792" width="9.140625" style="1408"/>
    <col min="1793" max="1793" width="3.42578125" style="1408" customWidth="1"/>
    <col min="1794" max="1794" width="4.42578125" style="1408" customWidth="1"/>
    <col min="1795" max="1795" width="43.7109375" style="1408" customWidth="1"/>
    <col min="1796" max="1796" width="6.28515625" style="1408" customWidth="1"/>
    <col min="1797" max="1797" width="7.5703125" style="1408" customWidth="1"/>
    <col min="1798" max="1798" width="9.5703125" style="1408" customWidth="1"/>
    <col min="1799" max="1799" width="13.28515625" style="1408" customWidth="1"/>
    <col min="1800" max="1800" width="9.85546875" style="1408" customWidth="1"/>
    <col min="1801" max="1801" width="2.5703125" style="1408" bestFit="1" customWidth="1"/>
    <col min="1802" max="1802" width="9.140625" style="1408"/>
    <col min="1803" max="1803" width="9" style="1408" customWidth="1"/>
    <col min="1804" max="2048" width="9.140625" style="1408"/>
    <col min="2049" max="2049" width="3.42578125" style="1408" customWidth="1"/>
    <col min="2050" max="2050" width="4.42578125" style="1408" customWidth="1"/>
    <col min="2051" max="2051" width="43.7109375" style="1408" customWidth="1"/>
    <col min="2052" max="2052" width="6.28515625" style="1408" customWidth="1"/>
    <col min="2053" max="2053" width="7.5703125" style="1408" customWidth="1"/>
    <col min="2054" max="2054" width="9.5703125" style="1408" customWidth="1"/>
    <col min="2055" max="2055" width="13.28515625" style="1408" customWidth="1"/>
    <col min="2056" max="2056" width="9.85546875" style="1408" customWidth="1"/>
    <col min="2057" max="2057" width="2.5703125" style="1408" bestFit="1" customWidth="1"/>
    <col min="2058" max="2058" width="9.140625" style="1408"/>
    <col min="2059" max="2059" width="9" style="1408" customWidth="1"/>
    <col min="2060" max="2304" width="9.140625" style="1408"/>
    <col min="2305" max="2305" width="3.42578125" style="1408" customWidth="1"/>
    <col min="2306" max="2306" width="4.42578125" style="1408" customWidth="1"/>
    <col min="2307" max="2307" width="43.7109375" style="1408" customWidth="1"/>
    <col min="2308" max="2308" width="6.28515625" style="1408" customWidth="1"/>
    <col min="2309" max="2309" width="7.5703125" style="1408" customWidth="1"/>
    <col min="2310" max="2310" width="9.5703125" style="1408" customWidth="1"/>
    <col min="2311" max="2311" width="13.28515625" style="1408" customWidth="1"/>
    <col min="2312" max="2312" width="9.85546875" style="1408" customWidth="1"/>
    <col min="2313" max="2313" width="2.5703125" style="1408" bestFit="1" customWidth="1"/>
    <col min="2314" max="2314" width="9.140625" style="1408"/>
    <col min="2315" max="2315" width="9" style="1408" customWidth="1"/>
    <col min="2316" max="2560" width="9.140625" style="1408"/>
    <col min="2561" max="2561" width="3.42578125" style="1408" customWidth="1"/>
    <col min="2562" max="2562" width="4.42578125" style="1408" customWidth="1"/>
    <col min="2563" max="2563" width="43.7109375" style="1408" customWidth="1"/>
    <col min="2564" max="2564" width="6.28515625" style="1408" customWidth="1"/>
    <col min="2565" max="2565" width="7.5703125" style="1408" customWidth="1"/>
    <col min="2566" max="2566" width="9.5703125" style="1408" customWidth="1"/>
    <col min="2567" max="2567" width="13.28515625" style="1408" customWidth="1"/>
    <col min="2568" max="2568" width="9.85546875" style="1408" customWidth="1"/>
    <col min="2569" max="2569" width="2.5703125" style="1408" bestFit="1" customWidth="1"/>
    <col min="2570" max="2570" width="9.140625" style="1408"/>
    <col min="2571" max="2571" width="9" style="1408" customWidth="1"/>
    <col min="2572" max="2816" width="9.140625" style="1408"/>
    <col min="2817" max="2817" width="3.42578125" style="1408" customWidth="1"/>
    <col min="2818" max="2818" width="4.42578125" style="1408" customWidth="1"/>
    <col min="2819" max="2819" width="43.7109375" style="1408" customWidth="1"/>
    <col min="2820" max="2820" width="6.28515625" style="1408" customWidth="1"/>
    <col min="2821" max="2821" width="7.5703125" style="1408" customWidth="1"/>
    <col min="2822" max="2822" width="9.5703125" style="1408" customWidth="1"/>
    <col min="2823" max="2823" width="13.28515625" style="1408" customWidth="1"/>
    <col min="2824" max="2824" width="9.85546875" style="1408" customWidth="1"/>
    <col min="2825" max="2825" width="2.5703125" style="1408" bestFit="1" customWidth="1"/>
    <col min="2826" max="2826" width="9.140625" style="1408"/>
    <col min="2827" max="2827" width="9" style="1408" customWidth="1"/>
    <col min="2828" max="3072" width="9.140625" style="1408"/>
    <col min="3073" max="3073" width="3.42578125" style="1408" customWidth="1"/>
    <col min="3074" max="3074" width="4.42578125" style="1408" customWidth="1"/>
    <col min="3075" max="3075" width="43.7109375" style="1408" customWidth="1"/>
    <col min="3076" max="3076" width="6.28515625" style="1408" customWidth="1"/>
    <col min="3077" max="3077" width="7.5703125" style="1408" customWidth="1"/>
    <col min="3078" max="3078" width="9.5703125" style="1408" customWidth="1"/>
    <col min="3079" max="3079" width="13.28515625" style="1408" customWidth="1"/>
    <col min="3080" max="3080" width="9.85546875" style="1408" customWidth="1"/>
    <col min="3081" max="3081" width="2.5703125" style="1408" bestFit="1" customWidth="1"/>
    <col min="3082" max="3082" width="9.140625" style="1408"/>
    <col min="3083" max="3083" width="9" style="1408" customWidth="1"/>
    <col min="3084" max="3328" width="9.140625" style="1408"/>
    <col min="3329" max="3329" width="3.42578125" style="1408" customWidth="1"/>
    <col min="3330" max="3330" width="4.42578125" style="1408" customWidth="1"/>
    <col min="3331" max="3331" width="43.7109375" style="1408" customWidth="1"/>
    <col min="3332" max="3332" width="6.28515625" style="1408" customWidth="1"/>
    <col min="3333" max="3333" width="7.5703125" style="1408" customWidth="1"/>
    <col min="3334" max="3334" width="9.5703125" style="1408" customWidth="1"/>
    <col min="3335" max="3335" width="13.28515625" style="1408" customWidth="1"/>
    <col min="3336" max="3336" width="9.85546875" style="1408" customWidth="1"/>
    <col min="3337" max="3337" width="2.5703125" style="1408" bestFit="1" customWidth="1"/>
    <col min="3338" max="3338" width="9.140625" style="1408"/>
    <col min="3339" max="3339" width="9" style="1408" customWidth="1"/>
    <col min="3340" max="3584" width="9.140625" style="1408"/>
    <col min="3585" max="3585" width="3.42578125" style="1408" customWidth="1"/>
    <col min="3586" max="3586" width="4.42578125" style="1408" customWidth="1"/>
    <col min="3587" max="3587" width="43.7109375" style="1408" customWidth="1"/>
    <col min="3588" max="3588" width="6.28515625" style="1408" customWidth="1"/>
    <col min="3589" max="3589" width="7.5703125" style="1408" customWidth="1"/>
    <col min="3590" max="3590" width="9.5703125" style="1408" customWidth="1"/>
    <col min="3591" max="3591" width="13.28515625" style="1408" customWidth="1"/>
    <col min="3592" max="3592" width="9.85546875" style="1408" customWidth="1"/>
    <col min="3593" max="3593" width="2.5703125" style="1408" bestFit="1" customWidth="1"/>
    <col min="3594" max="3594" width="9.140625" style="1408"/>
    <col min="3595" max="3595" width="9" style="1408" customWidth="1"/>
    <col min="3596" max="3840" width="9.140625" style="1408"/>
    <col min="3841" max="3841" width="3.42578125" style="1408" customWidth="1"/>
    <col min="3842" max="3842" width="4.42578125" style="1408" customWidth="1"/>
    <col min="3843" max="3843" width="43.7109375" style="1408" customWidth="1"/>
    <col min="3844" max="3844" width="6.28515625" style="1408" customWidth="1"/>
    <col min="3845" max="3845" width="7.5703125" style="1408" customWidth="1"/>
    <col min="3846" max="3846" width="9.5703125" style="1408" customWidth="1"/>
    <col min="3847" max="3847" width="13.28515625" style="1408" customWidth="1"/>
    <col min="3848" max="3848" width="9.85546875" style="1408" customWidth="1"/>
    <col min="3849" max="3849" width="2.5703125" style="1408" bestFit="1" customWidth="1"/>
    <col min="3850" max="3850" width="9.140625" style="1408"/>
    <col min="3851" max="3851" width="9" style="1408" customWidth="1"/>
    <col min="3852" max="4096" width="9.140625" style="1408"/>
    <col min="4097" max="4097" width="3.42578125" style="1408" customWidth="1"/>
    <col min="4098" max="4098" width="4.42578125" style="1408" customWidth="1"/>
    <col min="4099" max="4099" width="43.7109375" style="1408" customWidth="1"/>
    <col min="4100" max="4100" width="6.28515625" style="1408" customWidth="1"/>
    <col min="4101" max="4101" width="7.5703125" style="1408" customWidth="1"/>
    <col min="4102" max="4102" width="9.5703125" style="1408" customWidth="1"/>
    <col min="4103" max="4103" width="13.28515625" style="1408" customWidth="1"/>
    <col min="4104" max="4104" width="9.85546875" style="1408" customWidth="1"/>
    <col min="4105" max="4105" width="2.5703125" style="1408" bestFit="1" customWidth="1"/>
    <col min="4106" max="4106" width="9.140625" style="1408"/>
    <col min="4107" max="4107" width="9" style="1408" customWidth="1"/>
    <col min="4108" max="4352" width="9.140625" style="1408"/>
    <col min="4353" max="4353" width="3.42578125" style="1408" customWidth="1"/>
    <col min="4354" max="4354" width="4.42578125" style="1408" customWidth="1"/>
    <col min="4355" max="4355" width="43.7109375" style="1408" customWidth="1"/>
    <col min="4356" max="4356" width="6.28515625" style="1408" customWidth="1"/>
    <col min="4357" max="4357" width="7.5703125" style="1408" customWidth="1"/>
    <col min="4358" max="4358" width="9.5703125" style="1408" customWidth="1"/>
    <col min="4359" max="4359" width="13.28515625" style="1408" customWidth="1"/>
    <col min="4360" max="4360" width="9.85546875" style="1408" customWidth="1"/>
    <col min="4361" max="4361" width="2.5703125" style="1408" bestFit="1" customWidth="1"/>
    <col min="4362" max="4362" width="9.140625" style="1408"/>
    <col min="4363" max="4363" width="9" style="1408" customWidth="1"/>
    <col min="4364" max="4608" width="9.140625" style="1408"/>
    <col min="4609" max="4609" width="3.42578125" style="1408" customWidth="1"/>
    <col min="4610" max="4610" width="4.42578125" style="1408" customWidth="1"/>
    <col min="4611" max="4611" width="43.7109375" style="1408" customWidth="1"/>
    <col min="4612" max="4612" width="6.28515625" style="1408" customWidth="1"/>
    <col min="4613" max="4613" width="7.5703125" style="1408" customWidth="1"/>
    <col min="4614" max="4614" width="9.5703125" style="1408" customWidth="1"/>
    <col min="4615" max="4615" width="13.28515625" style="1408" customWidth="1"/>
    <col min="4616" max="4616" width="9.85546875" style="1408" customWidth="1"/>
    <col min="4617" max="4617" width="2.5703125" style="1408" bestFit="1" customWidth="1"/>
    <col min="4618" max="4618" width="9.140625" style="1408"/>
    <col min="4619" max="4619" width="9" style="1408" customWidth="1"/>
    <col min="4620" max="4864" width="9.140625" style="1408"/>
    <col min="4865" max="4865" width="3.42578125" style="1408" customWidth="1"/>
    <col min="4866" max="4866" width="4.42578125" style="1408" customWidth="1"/>
    <col min="4867" max="4867" width="43.7109375" style="1408" customWidth="1"/>
    <col min="4868" max="4868" width="6.28515625" style="1408" customWidth="1"/>
    <col min="4869" max="4869" width="7.5703125" style="1408" customWidth="1"/>
    <col min="4870" max="4870" width="9.5703125" style="1408" customWidth="1"/>
    <col min="4871" max="4871" width="13.28515625" style="1408" customWidth="1"/>
    <col min="4872" max="4872" width="9.85546875" style="1408" customWidth="1"/>
    <col min="4873" max="4873" width="2.5703125" style="1408" bestFit="1" customWidth="1"/>
    <col min="4874" max="4874" width="9.140625" style="1408"/>
    <col min="4875" max="4875" width="9" style="1408" customWidth="1"/>
    <col min="4876" max="5120" width="9.140625" style="1408"/>
    <col min="5121" max="5121" width="3.42578125" style="1408" customWidth="1"/>
    <col min="5122" max="5122" width="4.42578125" style="1408" customWidth="1"/>
    <col min="5123" max="5123" width="43.7109375" style="1408" customWidth="1"/>
    <col min="5124" max="5124" width="6.28515625" style="1408" customWidth="1"/>
    <col min="5125" max="5125" width="7.5703125" style="1408" customWidth="1"/>
    <col min="5126" max="5126" width="9.5703125" style="1408" customWidth="1"/>
    <col min="5127" max="5127" width="13.28515625" style="1408" customWidth="1"/>
    <col min="5128" max="5128" width="9.85546875" style="1408" customWidth="1"/>
    <col min="5129" max="5129" width="2.5703125" style="1408" bestFit="1" customWidth="1"/>
    <col min="5130" max="5130" width="9.140625" style="1408"/>
    <col min="5131" max="5131" width="9" style="1408" customWidth="1"/>
    <col min="5132" max="5376" width="9.140625" style="1408"/>
    <col min="5377" max="5377" width="3.42578125" style="1408" customWidth="1"/>
    <col min="5378" max="5378" width="4.42578125" style="1408" customWidth="1"/>
    <col min="5379" max="5379" width="43.7109375" style="1408" customWidth="1"/>
    <col min="5380" max="5380" width="6.28515625" style="1408" customWidth="1"/>
    <col min="5381" max="5381" width="7.5703125" style="1408" customWidth="1"/>
    <col min="5382" max="5382" width="9.5703125" style="1408" customWidth="1"/>
    <col min="5383" max="5383" width="13.28515625" style="1408" customWidth="1"/>
    <col min="5384" max="5384" width="9.85546875" style="1408" customWidth="1"/>
    <col min="5385" max="5385" width="2.5703125" style="1408" bestFit="1" customWidth="1"/>
    <col min="5386" max="5386" width="9.140625" style="1408"/>
    <col min="5387" max="5387" width="9" style="1408" customWidth="1"/>
    <col min="5388" max="5632" width="9.140625" style="1408"/>
    <col min="5633" max="5633" width="3.42578125" style="1408" customWidth="1"/>
    <col min="5634" max="5634" width="4.42578125" style="1408" customWidth="1"/>
    <col min="5635" max="5635" width="43.7109375" style="1408" customWidth="1"/>
    <col min="5636" max="5636" width="6.28515625" style="1408" customWidth="1"/>
    <col min="5637" max="5637" width="7.5703125" style="1408" customWidth="1"/>
    <col min="5638" max="5638" width="9.5703125" style="1408" customWidth="1"/>
    <col min="5639" max="5639" width="13.28515625" style="1408" customWidth="1"/>
    <col min="5640" max="5640" width="9.85546875" style="1408" customWidth="1"/>
    <col min="5641" max="5641" width="2.5703125" style="1408" bestFit="1" customWidth="1"/>
    <col min="5642" max="5642" width="9.140625" style="1408"/>
    <col min="5643" max="5643" width="9" style="1408" customWidth="1"/>
    <col min="5644" max="5888" width="9.140625" style="1408"/>
    <col min="5889" max="5889" width="3.42578125" style="1408" customWidth="1"/>
    <col min="5890" max="5890" width="4.42578125" style="1408" customWidth="1"/>
    <col min="5891" max="5891" width="43.7109375" style="1408" customWidth="1"/>
    <col min="5892" max="5892" width="6.28515625" style="1408" customWidth="1"/>
    <col min="5893" max="5893" width="7.5703125" style="1408" customWidth="1"/>
    <col min="5894" max="5894" width="9.5703125" style="1408" customWidth="1"/>
    <col min="5895" max="5895" width="13.28515625" style="1408" customWidth="1"/>
    <col min="5896" max="5896" width="9.85546875" style="1408" customWidth="1"/>
    <col min="5897" max="5897" width="2.5703125" style="1408" bestFit="1" customWidth="1"/>
    <col min="5898" max="5898" width="9.140625" style="1408"/>
    <col min="5899" max="5899" width="9" style="1408" customWidth="1"/>
    <col min="5900" max="6144" width="9.140625" style="1408"/>
    <col min="6145" max="6145" width="3.42578125" style="1408" customWidth="1"/>
    <col min="6146" max="6146" width="4.42578125" style="1408" customWidth="1"/>
    <col min="6147" max="6147" width="43.7109375" style="1408" customWidth="1"/>
    <col min="6148" max="6148" width="6.28515625" style="1408" customWidth="1"/>
    <col min="6149" max="6149" width="7.5703125" style="1408" customWidth="1"/>
    <col min="6150" max="6150" width="9.5703125" style="1408" customWidth="1"/>
    <col min="6151" max="6151" width="13.28515625" style="1408" customWidth="1"/>
    <col min="6152" max="6152" width="9.85546875" style="1408" customWidth="1"/>
    <col min="6153" max="6153" width="2.5703125" style="1408" bestFit="1" customWidth="1"/>
    <col min="6154" max="6154" width="9.140625" style="1408"/>
    <col min="6155" max="6155" width="9" style="1408" customWidth="1"/>
    <col min="6156" max="6400" width="9.140625" style="1408"/>
    <col min="6401" max="6401" width="3.42578125" style="1408" customWidth="1"/>
    <col min="6402" max="6402" width="4.42578125" style="1408" customWidth="1"/>
    <col min="6403" max="6403" width="43.7109375" style="1408" customWidth="1"/>
    <col min="6404" max="6404" width="6.28515625" style="1408" customWidth="1"/>
    <col min="6405" max="6405" width="7.5703125" style="1408" customWidth="1"/>
    <col min="6406" max="6406" width="9.5703125" style="1408" customWidth="1"/>
    <col min="6407" max="6407" width="13.28515625" style="1408" customWidth="1"/>
    <col min="6408" max="6408" width="9.85546875" style="1408" customWidth="1"/>
    <col min="6409" max="6409" width="2.5703125" style="1408" bestFit="1" customWidth="1"/>
    <col min="6410" max="6410" width="9.140625" style="1408"/>
    <col min="6411" max="6411" width="9" style="1408" customWidth="1"/>
    <col min="6412" max="6656" width="9.140625" style="1408"/>
    <col min="6657" max="6657" width="3.42578125" style="1408" customWidth="1"/>
    <col min="6658" max="6658" width="4.42578125" style="1408" customWidth="1"/>
    <col min="6659" max="6659" width="43.7109375" style="1408" customWidth="1"/>
    <col min="6660" max="6660" width="6.28515625" style="1408" customWidth="1"/>
    <col min="6661" max="6661" width="7.5703125" style="1408" customWidth="1"/>
    <col min="6662" max="6662" width="9.5703125" style="1408" customWidth="1"/>
    <col min="6663" max="6663" width="13.28515625" style="1408" customWidth="1"/>
    <col min="6664" max="6664" width="9.85546875" style="1408" customWidth="1"/>
    <col min="6665" max="6665" width="2.5703125" style="1408" bestFit="1" customWidth="1"/>
    <col min="6666" max="6666" width="9.140625" style="1408"/>
    <col min="6667" max="6667" width="9" style="1408" customWidth="1"/>
    <col min="6668" max="6912" width="9.140625" style="1408"/>
    <col min="6913" max="6913" width="3.42578125" style="1408" customWidth="1"/>
    <col min="6914" max="6914" width="4.42578125" style="1408" customWidth="1"/>
    <col min="6915" max="6915" width="43.7109375" style="1408" customWidth="1"/>
    <col min="6916" max="6916" width="6.28515625" style="1408" customWidth="1"/>
    <col min="6917" max="6917" width="7.5703125" style="1408" customWidth="1"/>
    <col min="6918" max="6918" width="9.5703125" style="1408" customWidth="1"/>
    <col min="6919" max="6919" width="13.28515625" style="1408" customWidth="1"/>
    <col min="6920" max="6920" width="9.85546875" style="1408" customWidth="1"/>
    <col min="6921" max="6921" width="2.5703125" style="1408" bestFit="1" customWidth="1"/>
    <col min="6922" max="6922" width="9.140625" style="1408"/>
    <col min="6923" max="6923" width="9" style="1408" customWidth="1"/>
    <col min="6924" max="7168" width="9.140625" style="1408"/>
    <col min="7169" max="7169" width="3.42578125" style="1408" customWidth="1"/>
    <col min="7170" max="7170" width="4.42578125" style="1408" customWidth="1"/>
    <col min="7171" max="7171" width="43.7109375" style="1408" customWidth="1"/>
    <col min="7172" max="7172" width="6.28515625" style="1408" customWidth="1"/>
    <col min="7173" max="7173" width="7.5703125" style="1408" customWidth="1"/>
    <col min="7174" max="7174" width="9.5703125" style="1408" customWidth="1"/>
    <col min="7175" max="7175" width="13.28515625" style="1408" customWidth="1"/>
    <col min="7176" max="7176" width="9.85546875" style="1408" customWidth="1"/>
    <col min="7177" max="7177" width="2.5703125" style="1408" bestFit="1" customWidth="1"/>
    <col min="7178" max="7178" width="9.140625" style="1408"/>
    <col min="7179" max="7179" width="9" style="1408" customWidth="1"/>
    <col min="7180" max="7424" width="9.140625" style="1408"/>
    <col min="7425" max="7425" width="3.42578125" style="1408" customWidth="1"/>
    <col min="7426" max="7426" width="4.42578125" style="1408" customWidth="1"/>
    <col min="7427" max="7427" width="43.7109375" style="1408" customWidth="1"/>
    <col min="7428" max="7428" width="6.28515625" style="1408" customWidth="1"/>
    <col min="7429" max="7429" width="7.5703125" style="1408" customWidth="1"/>
    <col min="7430" max="7430" width="9.5703125" style="1408" customWidth="1"/>
    <col min="7431" max="7431" width="13.28515625" style="1408" customWidth="1"/>
    <col min="7432" max="7432" width="9.85546875" style="1408" customWidth="1"/>
    <col min="7433" max="7433" width="2.5703125" style="1408" bestFit="1" customWidth="1"/>
    <col min="7434" max="7434" width="9.140625" style="1408"/>
    <col min="7435" max="7435" width="9" style="1408" customWidth="1"/>
    <col min="7436" max="7680" width="9.140625" style="1408"/>
    <col min="7681" max="7681" width="3.42578125" style="1408" customWidth="1"/>
    <col min="7682" max="7682" width="4.42578125" style="1408" customWidth="1"/>
    <col min="7683" max="7683" width="43.7109375" style="1408" customWidth="1"/>
    <col min="7684" max="7684" width="6.28515625" style="1408" customWidth="1"/>
    <col min="7685" max="7685" width="7.5703125" style="1408" customWidth="1"/>
    <col min="7686" max="7686" width="9.5703125" style="1408" customWidth="1"/>
    <col min="7687" max="7687" width="13.28515625" style="1408" customWidth="1"/>
    <col min="7688" max="7688" width="9.85546875" style="1408" customWidth="1"/>
    <col min="7689" max="7689" width="2.5703125" style="1408" bestFit="1" customWidth="1"/>
    <col min="7690" max="7690" width="9.140625" style="1408"/>
    <col min="7691" max="7691" width="9" style="1408" customWidth="1"/>
    <col min="7692" max="7936" width="9.140625" style="1408"/>
    <col min="7937" max="7937" width="3.42578125" style="1408" customWidth="1"/>
    <col min="7938" max="7938" width="4.42578125" style="1408" customWidth="1"/>
    <col min="7939" max="7939" width="43.7109375" style="1408" customWidth="1"/>
    <col min="7940" max="7940" width="6.28515625" style="1408" customWidth="1"/>
    <col min="7941" max="7941" width="7.5703125" style="1408" customWidth="1"/>
    <col min="7942" max="7942" width="9.5703125" style="1408" customWidth="1"/>
    <col min="7943" max="7943" width="13.28515625" style="1408" customWidth="1"/>
    <col min="7944" max="7944" width="9.85546875" style="1408" customWidth="1"/>
    <col min="7945" max="7945" width="2.5703125" style="1408" bestFit="1" customWidth="1"/>
    <col min="7946" max="7946" width="9.140625" style="1408"/>
    <col min="7947" max="7947" width="9" style="1408" customWidth="1"/>
    <col min="7948" max="8192" width="9.140625" style="1408"/>
    <col min="8193" max="8193" width="3.42578125" style="1408" customWidth="1"/>
    <col min="8194" max="8194" width="4.42578125" style="1408" customWidth="1"/>
    <col min="8195" max="8195" width="43.7109375" style="1408" customWidth="1"/>
    <col min="8196" max="8196" width="6.28515625" style="1408" customWidth="1"/>
    <col min="8197" max="8197" width="7.5703125" style="1408" customWidth="1"/>
    <col min="8198" max="8198" width="9.5703125" style="1408" customWidth="1"/>
    <col min="8199" max="8199" width="13.28515625" style="1408" customWidth="1"/>
    <col min="8200" max="8200" width="9.85546875" style="1408" customWidth="1"/>
    <col min="8201" max="8201" width="2.5703125" style="1408" bestFit="1" customWidth="1"/>
    <col min="8202" max="8202" width="9.140625" style="1408"/>
    <col min="8203" max="8203" width="9" style="1408" customWidth="1"/>
    <col min="8204" max="8448" width="9.140625" style="1408"/>
    <col min="8449" max="8449" width="3.42578125" style="1408" customWidth="1"/>
    <col min="8450" max="8450" width="4.42578125" style="1408" customWidth="1"/>
    <col min="8451" max="8451" width="43.7109375" style="1408" customWidth="1"/>
    <col min="8452" max="8452" width="6.28515625" style="1408" customWidth="1"/>
    <col min="8453" max="8453" width="7.5703125" style="1408" customWidth="1"/>
    <col min="8454" max="8454" width="9.5703125" style="1408" customWidth="1"/>
    <col min="8455" max="8455" width="13.28515625" style="1408" customWidth="1"/>
    <col min="8456" max="8456" width="9.85546875" style="1408" customWidth="1"/>
    <col min="8457" max="8457" width="2.5703125" style="1408" bestFit="1" customWidth="1"/>
    <col min="8458" max="8458" width="9.140625" style="1408"/>
    <col min="8459" max="8459" width="9" style="1408" customWidth="1"/>
    <col min="8460" max="8704" width="9.140625" style="1408"/>
    <col min="8705" max="8705" width="3.42578125" style="1408" customWidth="1"/>
    <col min="8706" max="8706" width="4.42578125" style="1408" customWidth="1"/>
    <col min="8707" max="8707" width="43.7109375" style="1408" customWidth="1"/>
    <col min="8708" max="8708" width="6.28515625" style="1408" customWidth="1"/>
    <col min="8709" max="8709" width="7.5703125" style="1408" customWidth="1"/>
    <col min="8710" max="8710" width="9.5703125" style="1408" customWidth="1"/>
    <col min="8711" max="8711" width="13.28515625" style="1408" customWidth="1"/>
    <col min="8712" max="8712" width="9.85546875" style="1408" customWidth="1"/>
    <col min="8713" max="8713" width="2.5703125" style="1408" bestFit="1" customWidth="1"/>
    <col min="8714" max="8714" width="9.140625" style="1408"/>
    <col min="8715" max="8715" width="9" style="1408" customWidth="1"/>
    <col min="8716" max="8960" width="9.140625" style="1408"/>
    <col min="8961" max="8961" width="3.42578125" style="1408" customWidth="1"/>
    <col min="8962" max="8962" width="4.42578125" style="1408" customWidth="1"/>
    <col min="8963" max="8963" width="43.7109375" style="1408" customWidth="1"/>
    <col min="8964" max="8964" width="6.28515625" style="1408" customWidth="1"/>
    <col min="8965" max="8965" width="7.5703125" style="1408" customWidth="1"/>
    <col min="8966" max="8966" width="9.5703125" style="1408" customWidth="1"/>
    <col min="8967" max="8967" width="13.28515625" style="1408" customWidth="1"/>
    <col min="8968" max="8968" width="9.85546875" style="1408" customWidth="1"/>
    <col min="8969" max="8969" width="2.5703125" style="1408" bestFit="1" customWidth="1"/>
    <col min="8970" max="8970" width="9.140625" style="1408"/>
    <col min="8971" max="8971" width="9" style="1408" customWidth="1"/>
    <col min="8972" max="9216" width="9.140625" style="1408"/>
    <col min="9217" max="9217" width="3.42578125" style="1408" customWidth="1"/>
    <col min="9218" max="9218" width="4.42578125" style="1408" customWidth="1"/>
    <col min="9219" max="9219" width="43.7109375" style="1408" customWidth="1"/>
    <col min="9220" max="9220" width="6.28515625" style="1408" customWidth="1"/>
    <col min="9221" max="9221" width="7.5703125" style="1408" customWidth="1"/>
    <col min="9222" max="9222" width="9.5703125" style="1408" customWidth="1"/>
    <col min="9223" max="9223" width="13.28515625" style="1408" customWidth="1"/>
    <col min="9224" max="9224" width="9.85546875" style="1408" customWidth="1"/>
    <col min="9225" max="9225" width="2.5703125" style="1408" bestFit="1" customWidth="1"/>
    <col min="9226" max="9226" width="9.140625" style="1408"/>
    <col min="9227" max="9227" width="9" style="1408" customWidth="1"/>
    <col min="9228" max="9472" width="9.140625" style="1408"/>
    <col min="9473" max="9473" width="3.42578125" style="1408" customWidth="1"/>
    <col min="9474" max="9474" width="4.42578125" style="1408" customWidth="1"/>
    <col min="9475" max="9475" width="43.7109375" style="1408" customWidth="1"/>
    <col min="9476" max="9476" width="6.28515625" style="1408" customWidth="1"/>
    <col min="9477" max="9477" width="7.5703125" style="1408" customWidth="1"/>
    <col min="9478" max="9478" width="9.5703125" style="1408" customWidth="1"/>
    <col min="9479" max="9479" width="13.28515625" style="1408" customWidth="1"/>
    <col min="9480" max="9480" width="9.85546875" style="1408" customWidth="1"/>
    <col min="9481" max="9481" width="2.5703125" style="1408" bestFit="1" customWidth="1"/>
    <col min="9482" max="9482" width="9.140625" style="1408"/>
    <col min="9483" max="9483" width="9" style="1408" customWidth="1"/>
    <col min="9484" max="9728" width="9.140625" style="1408"/>
    <col min="9729" max="9729" width="3.42578125" style="1408" customWidth="1"/>
    <col min="9730" max="9730" width="4.42578125" style="1408" customWidth="1"/>
    <col min="9731" max="9731" width="43.7109375" style="1408" customWidth="1"/>
    <col min="9732" max="9732" width="6.28515625" style="1408" customWidth="1"/>
    <col min="9733" max="9733" width="7.5703125" style="1408" customWidth="1"/>
    <col min="9734" max="9734" width="9.5703125" style="1408" customWidth="1"/>
    <col min="9735" max="9735" width="13.28515625" style="1408" customWidth="1"/>
    <col min="9736" max="9736" width="9.85546875" style="1408" customWidth="1"/>
    <col min="9737" max="9737" width="2.5703125" style="1408" bestFit="1" customWidth="1"/>
    <col min="9738" max="9738" width="9.140625" style="1408"/>
    <col min="9739" max="9739" width="9" style="1408" customWidth="1"/>
    <col min="9740" max="9984" width="9.140625" style="1408"/>
    <col min="9985" max="9985" width="3.42578125" style="1408" customWidth="1"/>
    <col min="9986" max="9986" width="4.42578125" style="1408" customWidth="1"/>
    <col min="9987" max="9987" width="43.7109375" style="1408" customWidth="1"/>
    <col min="9988" max="9988" width="6.28515625" style="1408" customWidth="1"/>
    <col min="9989" max="9989" width="7.5703125" style="1408" customWidth="1"/>
    <col min="9990" max="9990" width="9.5703125" style="1408" customWidth="1"/>
    <col min="9991" max="9991" width="13.28515625" style="1408" customWidth="1"/>
    <col min="9992" max="9992" width="9.85546875" style="1408" customWidth="1"/>
    <col min="9993" max="9993" width="2.5703125" style="1408" bestFit="1" customWidth="1"/>
    <col min="9994" max="9994" width="9.140625" style="1408"/>
    <col min="9995" max="9995" width="9" style="1408" customWidth="1"/>
    <col min="9996" max="10240" width="9.140625" style="1408"/>
    <col min="10241" max="10241" width="3.42578125" style="1408" customWidth="1"/>
    <col min="10242" max="10242" width="4.42578125" style="1408" customWidth="1"/>
    <col min="10243" max="10243" width="43.7109375" style="1408" customWidth="1"/>
    <col min="10244" max="10244" width="6.28515625" style="1408" customWidth="1"/>
    <col min="10245" max="10245" width="7.5703125" style="1408" customWidth="1"/>
    <col min="10246" max="10246" width="9.5703125" style="1408" customWidth="1"/>
    <col min="10247" max="10247" width="13.28515625" style="1408" customWidth="1"/>
    <col min="10248" max="10248" width="9.85546875" style="1408" customWidth="1"/>
    <col min="10249" max="10249" width="2.5703125" style="1408" bestFit="1" customWidth="1"/>
    <col min="10250" max="10250" width="9.140625" style="1408"/>
    <col min="10251" max="10251" width="9" style="1408" customWidth="1"/>
    <col min="10252" max="10496" width="9.140625" style="1408"/>
    <col min="10497" max="10497" width="3.42578125" style="1408" customWidth="1"/>
    <col min="10498" max="10498" width="4.42578125" style="1408" customWidth="1"/>
    <col min="10499" max="10499" width="43.7109375" style="1408" customWidth="1"/>
    <col min="10500" max="10500" width="6.28515625" style="1408" customWidth="1"/>
    <col min="10501" max="10501" width="7.5703125" style="1408" customWidth="1"/>
    <col min="10502" max="10502" width="9.5703125" style="1408" customWidth="1"/>
    <col min="10503" max="10503" width="13.28515625" style="1408" customWidth="1"/>
    <col min="10504" max="10504" width="9.85546875" style="1408" customWidth="1"/>
    <col min="10505" max="10505" width="2.5703125" style="1408" bestFit="1" customWidth="1"/>
    <col min="10506" max="10506" width="9.140625" style="1408"/>
    <col min="10507" max="10507" width="9" style="1408" customWidth="1"/>
    <col min="10508" max="10752" width="9.140625" style="1408"/>
    <col min="10753" max="10753" width="3.42578125" style="1408" customWidth="1"/>
    <col min="10754" max="10754" width="4.42578125" style="1408" customWidth="1"/>
    <col min="10755" max="10755" width="43.7109375" style="1408" customWidth="1"/>
    <col min="10756" max="10756" width="6.28515625" style="1408" customWidth="1"/>
    <col min="10757" max="10757" width="7.5703125" style="1408" customWidth="1"/>
    <col min="10758" max="10758" width="9.5703125" style="1408" customWidth="1"/>
    <col min="10759" max="10759" width="13.28515625" style="1408" customWidth="1"/>
    <col min="10760" max="10760" width="9.85546875" style="1408" customWidth="1"/>
    <col min="10761" max="10761" width="2.5703125" style="1408" bestFit="1" customWidth="1"/>
    <col min="10762" max="10762" width="9.140625" style="1408"/>
    <col min="10763" max="10763" width="9" style="1408" customWidth="1"/>
    <col min="10764" max="11008" width="9.140625" style="1408"/>
    <col min="11009" max="11009" width="3.42578125" style="1408" customWidth="1"/>
    <col min="11010" max="11010" width="4.42578125" style="1408" customWidth="1"/>
    <col min="11011" max="11011" width="43.7109375" style="1408" customWidth="1"/>
    <col min="11012" max="11012" width="6.28515625" style="1408" customWidth="1"/>
    <col min="11013" max="11013" width="7.5703125" style="1408" customWidth="1"/>
    <col min="11014" max="11014" width="9.5703125" style="1408" customWidth="1"/>
    <col min="11015" max="11015" width="13.28515625" style="1408" customWidth="1"/>
    <col min="11016" max="11016" width="9.85546875" style="1408" customWidth="1"/>
    <col min="11017" max="11017" width="2.5703125" style="1408" bestFit="1" customWidth="1"/>
    <col min="11018" max="11018" width="9.140625" style="1408"/>
    <col min="11019" max="11019" width="9" style="1408" customWidth="1"/>
    <col min="11020" max="11264" width="9.140625" style="1408"/>
    <col min="11265" max="11265" width="3.42578125" style="1408" customWidth="1"/>
    <col min="11266" max="11266" width="4.42578125" style="1408" customWidth="1"/>
    <col min="11267" max="11267" width="43.7109375" style="1408" customWidth="1"/>
    <col min="11268" max="11268" width="6.28515625" style="1408" customWidth="1"/>
    <col min="11269" max="11269" width="7.5703125" style="1408" customWidth="1"/>
    <col min="11270" max="11270" width="9.5703125" style="1408" customWidth="1"/>
    <col min="11271" max="11271" width="13.28515625" style="1408" customWidth="1"/>
    <col min="11272" max="11272" width="9.85546875" style="1408" customWidth="1"/>
    <col min="11273" max="11273" width="2.5703125" style="1408" bestFit="1" customWidth="1"/>
    <col min="11274" max="11274" width="9.140625" style="1408"/>
    <col min="11275" max="11275" width="9" style="1408" customWidth="1"/>
    <col min="11276" max="11520" width="9.140625" style="1408"/>
    <col min="11521" max="11521" width="3.42578125" style="1408" customWidth="1"/>
    <col min="11522" max="11522" width="4.42578125" style="1408" customWidth="1"/>
    <col min="11523" max="11523" width="43.7109375" style="1408" customWidth="1"/>
    <col min="11524" max="11524" width="6.28515625" style="1408" customWidth="1"/>
    <col min="11525" max="11525" width="7.5703125" style="1408" customWidth="1"/>
    <col min="11526" max="11526" width="9.5703125" style="1408" customWidth="1"/>
    <col min="11527" max="11527" width="13.28515625" style="1408" customWidth="1"/>
    <col min="11528" max="11528" width="9.85546875" style="1408" customWidth="1"/>
    <col min="11529" max="11529" width="2.5703125" style="1408" bestFit="1" customWidth="1"/>
    <col min="11530" max="11530" width="9.140625" style="1408"/>
    <col min="11531" max="11531" width="9" style="1408" customWidth="1"/>
    <col min="11532" max="11776" width="9.140625" style="1408"/>
    <col min="11777" max="11777" width="3.42578125" style="1408" customWidth="1"/>
    <col min="11778" max="11778" width="4.42578125" style="1408" customWidth="1"/>
    <col min="11779" max="11779" width="43.7109375" style="1408" customWidth="1"/>
    <col min="11780" max="11780" width="6.28515625" style="1408" customWidth="1"/>
    <col min="11781" max="11781" width="7.5703125" style="1408" customWidth="1"/>
    <col min="11782" max="11782" width="9.5703125" style="1408" customWidth="1"/>
    <col min="11783" max="11783" width="13.28515625" style="1408" customWidth="1"/>
    <col min="11784" max="11784" width="9.85546875" style="1408" customWidth="1"/>
    <col min="11785" max="11785" width="2.5703125" style="1408" bestFit="1" customWidth="1"/>
    <col min="11786" max="11786" width="9.140625" style="1408"/>
    <col min="11787" max="11787" width="9" style="1408" customWidth="1"/>
    <col min="11788" max="12032" width="9.140625" style="1408"/>
    <col min="12033" max="12033" width="3.42578125" style="1408" customWidth="1"/>
    <col min="12034" max="12034" width="4.42578125" style="1408" customWidth="1"/>
    <col min="12035" max="12035" width="43.7109375" style="1408" customWidth="1"/>
    <col min="12036" max="12036" width="6.28515625" style="1408" customWidth="1"/>
    <col min="12037" max="12037" width="7.5703125" style="1408" customWidth="1"/>
    <col min="12038" max="12038" width="9.5703125" style="1408" customWidth="1"/>
    <col min="12039" max="12039" width="13.28515625" style="1408" customWidth="1"/>
    <col min="12040" max="12040" width="9.85546875" style="1408" customWidth="1"/>
    <col min="12041" max="12041" width="2.5703125" style="1408" bestFit="1" customWidth="1"/>
    <col min="12042" max="12042" width="9.140625" style="1408"/>
    <col min="12043" max="12043" width="9" style="1408" customWidth="1"/>
    <col min="12044" max="12288" width="9.140625" style="1408"/>
    <col min="12289" max="12289" width="3.42578125" style="1408" customWidth="1"/>
    <col min="12290" max="12290" width="4.42578125" style="1408" customWidth="1"/>
    <col min="12291" max="12291" width="43.7109375" style="1408" customWidth="1"/>
    <col min="12292" max="12292" width="6.28515625" style="1408" customWidth="1"/>
    <col min="12293" max="12293" width="7.5703125" style="1408" customWidth="1"/>
    <col min="12294" max="12294" width="9.5703125" style="1408" customWidth="1"/>
    <col min="12295" max="12295" width="13.28515625" style="1408" customWidth="1"/>
    <col min="12296" max="12296" width="9.85546875" style="1408" customWidth="1"/>
    <col min="12297" max="12297" width="2.5703125" style="1408" bestFit="1" customWidth="1"/>
    <col min="12298" max="12298" width="9.140625" style="1408"/>
    <col min="12299" max="12299" width="9" style="1408" customWidth="1"/>
    <col min="12300" max="12544" width="9.140625" style="1408"/>
    <col min="12545" max="12545" width="3.42578125" style="1408" customWidth="1"/>
    <col min="12546" max="12546" width="4.42578125" style="1408" customWidth="1"/>
    <col min="12547" max="12547" width="43.7109375" style="1408" customWidth="1"/>
    <col min="12548" max="12548" width="6.28515625" style="1408" customWidth="1"/>
    <col min="12549" max="12549" width="7.5703125" style="1408" customWidth="1"/>
    <col min="12550" max="12550" width="9.5703125" style="1408" customWidth="1"/>
    <col min="12551" max="12551" width="13.28515625" style="1408" customWidth="1"/>
    <col min="12552" max="12552" width="9.85546875" style="1408" customWidth="1"/>
    <col min="12553" max="12553" width="2.5703125" style="1408" bestFit="1" customWidth="1"/>
    <col min="12554" max="12554" width="9.140625" style="1408"/>
    <col min="12555" max="12555" width="9" style="1408" customWidth="1"/>
    <col min="12556" max="12800" width="9.140625" style="1408"/>
    <col min="12801" max="12801" width="3.42578125" style="1408" customWidth="1"/>
    <col min="12802" max="12802" width="4.42578125" style="1408" customWidth="1"/>
    <col min="12803" max="12803" width="43.7109375" style="1408" customWidth="1"/>
    <col min="12804" max="12804" width="6.28515625" style="1408" customWidth="1"/>
    <col min="12805" max="12805" width="7.5703125" style="1408" customWidth="1"/>
    <col min="12806" max="12806" width="9.5703125" style="1408" customWidth="1"/>
    <col min="12807" max="12807" width="13.28515625" style="1408" customWidth="1"/>
    <col min="12808" max="12808" width="9.85546875" style="1408" customWidth="1"/>
    <col min="12809" max="12809" width="2.5703125" style="1408" bestFit="1" customWidth="1"/>
    <col min="12810" max="12810" width="9.140625" style="1408"/>
    <col min="12811" max="12811" width="9" style="1408" customWidth="1"/>
    <col min="12812" max="13056" width="9.140625" style="1408"/>
    <col min="13057" max="13057" width="3.42578125" style="1408" customWidth="1"/>
    <col min="13058" max="13058" width="4.42578125" style="1408" customWidth="1"/>
    <col min="13059" max="13059" width="43.7109375" style="1408" customWidth="1"/>
    <col min="13060" max="13060" width="6.28515625" style="1408" customWidth="1"/>
    <col min="13061" max="13061" width="7.5703125" style="1408" customWidth="1"/>
    <col min="13062" max="13062" width="9.5703125" style="1408" customWidth="1"/>
    <col min="13063" max="13063" width="13.28515625" style="1408" customWidth="1"/>
    <col min="13064" max="13064" width="9.85546875" style="1408" customWidth="1"/>
    <col min="13065" max="13065" width="2.5703125" style="1408" bestFit="1" customWidth="1"/>
    <col min="13066" max="13066" width="9.140625" style="1408"/>
    <col min="13067" max="13067" width="9" style="1408" customWidth="1"/>
    <col min="13068" max="13312" width="9.140625" style="1408"/>
    <col min="13313" max="13313" width="3.42578125" style="1408" customWidth="1"/>
    <col min="13314" max="13314" width="4.42578125" style="1408" customWidth="1"/>
    <col min="13315" max="13315" width="43.7109375" style="1408" customWidth="1"/>
    <col min="13316" max="13316" width="6.28515625" style="1408" customWidth="1"/>
    <col min="13317" max="13317" width="7.5703125" style="1408" customWidth="1"/>
    <col min="13318" max="13318" width="9.5703125" style="1408" customWidth="1"/>
    <col min="13319" max="13319" width="13.28515625" style="1408" customWidth="1"/>
    <col min="13320" max="13320" width="9.85546875" style="1408" customWidth="1"/>
    <col min="13321" max="13321" width="2.5703125" style="1408" bestFit="1" customWidth="1"/>
    <col min="13322" max="13322" width="9.140625" style="1408"/>
    <col min="13323" max="13323" width="9" style="1408" customWidth="1"/>
    <col min="13324" max="13568" width="9.140625" style="1408"/>
    <col min="13569" max="13569" width="3.42578125" style="1408" customWidth="1"/>
    <col min="13570" max="13570" width="4.42578125" style="1408" customWidth="1"/>
    <col min="13571" max="13571" width="43.7109375" style="1408" customWidth="1"/>
    <col min="13572" max="13572" width="6.28515625" style="1408" customWidth="1"/>
    <col min="13573" max="13573" width="7.5703125" style="1408" customWidth="1"/>
    <col min="13574" max="13574" width="9.5703125" style="1408" customWidth="1"/>
    <col min="13575" max="13575" width="13.28515625" style="1408" customWidth="1"/>
    <col min="13576" max="13576" width="9.85546875" style="1408" customWidth="1"/>
    <col min="13577" max="13577" width="2.5703125" style="1408" bestFit="1" customWidth="1"/>
    <col min="13578" max="13578" width="9.140625" style="1408"/>
    <col min="13579" max="13579" width="9" style="1408" customWidth="1"/>
    <col min="13580" max="13824" width="9.140625" style="1408"/>
    <col min="13825" max="13825" width="3.42578125" style="1408" customWidth="1"/>
    <col min="13826" max="13826" width="4.42578125" style="1408" customWidth="1"/>
    <col min="13827" max="13827" width="43.7109375" style="1408" customWidth="1"/>
    <col min="13828" max="13828" width="6.28515625" style="1408" customWidth="1"/>
    <col min="13829" max="13829" width="7.5703125" style="1408" customWidth="1"/>
    <col min="13830" max="13830" width="9.5703125" style="1408" customWidth="1"/>
    <col min="13831" max="13831" width="13.28515625" style="1408" customWidth="1"/>
    <col min="13832" max="13832" width="9.85546875" style="1408" customWidth="1"/>
    <col min="13833" max="13833" width="2.5703125" style="1408" bestFit="1" customWidth="1"/>
    <col min="13834" max="13834" width="9.140625" style="1408"/>
    <col min="13835" max="13835" width="9" style="1408" customWidth="1"/>
    <col min="13836" max="14080" width="9.140625" style="1408"/>
    <col min="14081" max="14081" width="3.42578125" style="1408" customWidth="1"/>
    <col min="14082" max="14082" width="4.42578125" style="1408" customWidth="1"/>
    <col min="14083" max="14083" width="43.7109375" style="1408" customWidth="1"/>
    <col min="14084" max="14084" width="6.28515625" style="1408" customWidth="1"/>
    <col min="14085" max="14085" width="7.5703125" style="1408" customWidth="1"/>
    <col min="14086" max="14086" width="9.5703125" style="1408" customWidth="1"/>
    <col min="14087" max="14087" width="13.28515625" style="1408" customWidth="1"/>
    <col min="14088" max="14088" width="9.85546875" style="1408" customWidth="1"/>
    <col min="14089" max="14089" width="2.5703125" style="1408" bestFit="1" customWidth="1"/>
    <col min="14090" max="14090" width="9.140625" style="1408"/>
    <col min="14091" max="14091" width="9" style="1408" customWidth="1"/>
    <col min="14092" max="14336" width="9.140625" style="1408"/>
    <col min="14337" max="14337" width="3.42578125" style="1408" customWidth="1"/>
    <col min="14338" max="14338" width="4.42578125" style="1408" customWidth="1"/>
    <col min="14339" max="14339" width="43.7109375" style="1408" customWidth="1"/>
    <col min="14340" max="14340" width="6.28515625" style="1408" customWidth="1"/>
    <col min="14341" max="14341" width="7.5703125" style="1408" customWidth="1"/>
    <col min="14342" max="14342" width="9.5703125" style="1408" customWidth="1"/>
    <col min="14343" max="14343" width="13.28515625" style="1408" customWidth="1"/>
    <col min="14344" max="14344" width="9.85546875" style="1408" customWidth="1"/>
    <col min="14345" max="14345" width="2.5703125" style="1408" bestFit="1" customWidth="1"/>
    <col min="14346" max="14346" width="9.140625" style="1408"/>
    <col min="14347" max="14347" width="9" style="1408" customWidth="1"/>
    <col min="14348" max="14592" width="9.140625" style="1408"/>
    <col min="14593" max="14593" width="3.42578125" style="1408" customWidth="1"/>
    <col min="14594" max="14594" width="4.42578125" style="1408" customWidth="1"/>
    <col min="14595" max="14595" width="43.7109375" style="1408" customWidth="1"/>
    <col min="14596" max="14596" width="6.28515625" style="1408" customWidth="1"/>
    <col min="14597" max="14597" width="7.5703125" style="1408" customWidth="1"/>
    <col min="14598" max="14598" width="9.5703125" style="1408" customWidth="1"/>
    <col min="14599" max="14599" width="13.28515625" style="1408" customWidth="1"/>
    <col min="14600" max="14600" width="9.85546875" style="1408" customWidth="1"/>
    <col min="14601" max="14601" width="2.5703125" style="1408" bestFit="1" customWidth="1"/>
    <col min="14602" max="14602" width="9.140625" style="1408"/>
    <col min="14603" max="14603" width="9" style="1408" customWidth="1"/>
    <col min="14604" max="14848" width="9.140625" style="1408"/>
    <col min="14849" max="14849" width="3.42578125" style="1408" customWidth="1"/>
    <col min="14850" max="14850" width="4.42578125" style="1408" customWidth="1"/>
    <col min="14851" max="14851" width="43.7109375" style="1408" customWidth="1"/>
    <col min="14852" max="14852" width="6.28515625" style="1408" customWidth="1"/>
    <col min="14853" max="14853" width="7.5703125" style="1408" customWidth="1"/>
    <col min="14854" max="14854" width="9.5703125" style="1408" customWidth="1"/>
    <col min="14855" max="14855" width="13.28515625" style="1408" customWidth="1"/>
    <col min="14856" max="14856" width="9.85546875" style="1408" customWidth="1"/>
    <col min="14857" max="14857" width="2.5703125" style="1408" bestFit="1" customWidth="1"/>
    <col min="14858" max="14858" width="9.140625" style="1408"/>
    <col min="14859" max="14859" width="9" style="1408" customWidth="1"/>
    <col min="14860" max="15104" width="9.140625" style="1408"/>
    <col min="15105" max="15105" width="3.42578125" style="1408" customWidth="1"/>
    <col min="15106" max="15106" width="4.42578125" style="1408" customWidth="1"/>
    <col min="15107" max="15107" width="43.7109375" style="1408" customWidth="1"/>
    <col min="15108" max="15108" width="6.28515625" style="1408" customWidth="1"/>
    <col min="15109" max="15109" width="7.5703125" style="1408" customWidth="1"/>
    <col min="15110" max="15110" width="9.5703125" style="1408" customWidth="1"/>
    <col min="15111" max="15111" width="13.28515625" style="1408" customWidth="1"/>
    <col min="15112" max="15112" width="9.85546875" style="1408" customWidth="1"/>
    <col min="15113" max="15113" width="2.5703125" style="1408" bestFit="1" customWidth="1"/>
    <col min="15114" max="15114" width="9.140625" style="1408"/>
    <col min="15115" max="15115" width="9" style="1408" customWidth="1"/>
    <col min="15116" max="15360" width="9.140625" style="1408"/>
    <col min="15361" max="15361" width="3.42578125" style="1408" customWidth="1"/>
    <col min="15362" max="15362" width="4.42578125" style="1408" customWidth="1"/>
    <col min="15363" max="15363" width="43.7109375" style="1408" customWidth="1"/>
    <col min="15364" max="15364" width="6.28515625" style="1408" customWidth="1"/>
    <col min="15365" max="15365" width="7.5703125" style="1408" customWidth="1"/>
    <col min="15366" max="15366" width="9.5703125" style="1408" customWidth="1"/>
    <col min="15367" max="15367" width="13.28515625" style="1408" customWidth="1"/>
    <col min="15368" max="15368" width="9.85546875" style="1408" customWidth="1"/>
    <col min="15369" max="15369" width="2.5703125" style="1408" bestFit="1" customWidth="1"/>
    <col min="15370" max="15370" width="9.140625" style="1408"/>
    <col min="15371" max="15371" width="9" style="1408" customWidth="1"/>
    <col min="15372" max="15616" width="9.140625" style="1408"/>
    <col min="15617" max="15617" width="3.42578125" style="1408" customWidth="1"/>
    <col min="15618" max="15618" width="4.42578125" style="1408" customWidth="1"/>
    <col min="15619" max="15619" width="43.7109375" style="1408" customWidth="1"/>
    <col min="15620" max="15620" width="6.28515625" style="1408" customWidth="1"/>
    <col min="15621" max="15621" width="7.5703125" style="1408" customWidth="1"/>
    <col min="15622" max="15622" width="9.5703125" style="1408" customWidth="1"/>
    <col min="15623" max="15623" width="13.28515625" style="1408" customWidth="1"/>
    <col min="15624" max="15624" width="9.85546875" style="1408" customWidth="1"/>
    <col min="15625" max="15625" width="2.5703125" style="1408" bestFit="1" customWidth="1"/>
    <col min="15626" max="15626" width="9.140625" style="1408"/>
    <col min="15627" max="15627" width="9" style="1408" customWidth="1"/>
    <col min="15628" max="15872" width="9.140625" style="1408"/>
    <col min="15873" max="15873" width="3.42578125" style="1408" customWidth="1"/>
    <col min="15874" max="15874" width="4.42578125" style="1408" customWidth="1"/>
    <col min="15875" max="15875" width="43.7109375" style="1408" customWidth="1"/>
    <col min="15876" max="15876" width="6.28515625" style="1408" customWidth="1"/>
    <col min="15877" max="15877" width="7.5703125" style="1408" customWidth="1"/>
    <col min="15878" max="15878" width="9.5703125" style="1408" customWidth="1"/>
    <col min="15879" max="15879" width="13.28515625" style="1408" customWidth="1"/>
    <col min="15880" max="15880" width="9.85546875" style="1408" customWidth="1"/>
    <col min="15881" max="15881" width="2.5703125" style="1408" bestFit="1" customWidth="1"/>
    <col min="15882" max="15882" width="9.140625" style="1408"/>
    <col min="15883" max="15883" width="9" style="1408" customWidth="1"/>
    <col min="15884" max="16128" width="9.140625" style="1408"/>
    <col min="16129" max="16129" width="3.42578125" style="1408" customWidth="1"/>
    <col min="16130" max="16130" width="4.42578125" style="1408" customWidth="1"/>
    <col min="16131" max="16131" width="43.7109375" style="1408" customWidth="1"/>
    <col min="16132" max="16132" width="6.28515625" style="1408" customWidth="1"/>
    <col min="16133" max="16133" width="7.5703125" style="1408" customWidth="1"/>
    <col min="16134" max="16134" width="9.5703125" style="1408" customWidth="1"/>
    <col min="16135" max="16135" width="13.28515625" style="1408" customWidth="1"/>
    <col min="16136" max="16136" width="9.85546875" style="1408" customWidth="1"/>
    <col min="16137" max="16137" width="2.5703125" style="1408" bestFit="1" customWidth="1"/>
    <col min="16138" max="16138" width="9.140625" style="1408"/>
    <col min="16139" max="16139" width="9" style="1408" customWidth="1"/>
    <col min="16140" max="16384" width="9.140625" style="1408"/>
  </cols>
  <sheetData>
    <row r="1" spans="1:11" s="1394" customFormat="1" ht="18" x14ac:dyDescent="0.25">
      <c r="A1" s="1393"/>
      <c r="B1" s="1398"/>
      <c r="C1" s="1393"/>
      <c r="E1" s="1395"/>
      <c r="F1" s="1973"/>
      <c r="G1" s="1396"/>
      <c r="H1" s="1397"/>
    </row>
    <row r="2" spans="1:11" s="1402" customFormat="1" ht="18" x14ac:dyDescent="0.25">
      <c r="A2" s="1399" t="s">
        <v>1585</v>
      </c>
      <c r="B2" s="1400"/>
      <c r="C2" s="1401" t="str">
        <f>+[5]OSNOVA!E40</f>
        <v>ODVZEMNI OBJEKT</v>
      </c>
      <c r="E2" s="1403"/>
      <c r="F2" s="1974"/>
      <c r="G2" s="1396"/>
      <c r="H2" s="1405"/>
    </row>
    <row r="3" spans="1:11" ht="14.25" customHeight="1" x14ac:dyDescent="0.25">
      <c r="A3" s="1406" t="s">
        <v>561</v>
      </c>
      <c r="B3" s="1406"/>
      <c r="H3" s="2050"/>
    </row>
    <row r="4" spans="1:11" x14ac:dyDescent="0.25">
      <c r="C4" s="1411"/>
      <c r="D4" s="1406"/>
      <c r="E4" s="1406"/>
      <c r="F4" s="1976"/>
      <c r="G4" s="1406"/>
      <c r="H4" s="2050"/>
    </row>
    <row r="5" spans="1:11" ht="12.75" customHeight="1" x14ac:dyDescent="0.25">
      <c r="A5" s="1406" t="s">
        <v>63</v>
      </c>
      <c r="B5" s="1406"/>
      <c r="C5" s="1411"/>
      <c r="D5" s="1406"/>
      <c r="E5" s="1406"/>
      <c r="F5" s="1976"/>
      <c r="G5" s="1406"/>
      <c r="H5" s="1412"/>
    </row>
    <row r="6" spans="1:11" s="1417" customFormat="1" x14ac:dyDescent="0.25">
      <c r="A6" s="1413" t="s">
        <v>26</v>
      </c>
      <c r="B6" s="1413"/>
      <c r="C6" s="1414" t="s">
        <v>27</v>
      </c>
      <c r="D6" s="1413" t="s">
        <v>28</v>
      </c>
      <c r="E6" s="1415" t="s">
        <v>29</v>
      </c>
      <c r="F6" s="1977" t="s">
        <v>30</v>
      </c>
      <c r="G6" s="1416" t="s">
        <v>31</v>
      </c>
      <c r="H6" s="1408"/>
      <c r="J6" s="1418"/>
      <c r="K6" s="1418"/>
    </row>
    <row r="7" spans="1:11" s="1422" customFormat="1" ht="12" x14ac:dyDescent="0.25">
      <c r="A7" s="1419"/>
      <c r="B7" s="1420"/>
      <c r="C7" s="1421"/>
      <c r="E7" s="1423"/>
      <c r="F7" s="1976"/>
      <c r="G7" s="1406"/>
    </row>
    <row r="8" spans="1:11" s="1430" customFormat="1" ht="16.5" thickBot="1" x14ac:dyDescent="0.3">
      <c r="A8" s="1424"/>
      <c r="B8" s="1425" t="s">
        <v>20</v>
      </c>
      <c r="C8" s="1426" t="s">
        <v>1011</v>
      </c>
      <c r="D8" s="1427"/>
      <c r="E8" s="1428"/>
      <c r="F8" s="1978"/>
      <c r="G8" s="1713"/>
    </row>
    <row r="9" spans="1:11" s="1430" customFormat="1" ht="15.75" x14ac:dyDescent="0.25">
      <c r="A9" s="1431"/>
      <c r="B9" s="1432"/>
      <c r="C9" s="1433"/>
      <c r="E9" s="1434"/>
      <c r="F9" s="1979"/>
      <c r="G9" s="1445"/>
    </row>
    <row r="10" spans="1:11" s="1436" customFormat="1" ht="25.5" customHeight="1" x14ac:dyDescent="0.25">
      <c r="C10" s="1437" t="s">
        <v>1323</v>
      </c>
      <c r="E10" s="1438"/>
      <c r="F10" s="1980"/>
      <c r="G10" s="1714"/>
    </row>
    <row r="11" spans="1:11" ht="63" customHeight="1" x14ac:dyDescent="0.25">
      <c r="A11" s="1439"/>
      <c r="B11" s="1437"/>
      <c r="C11" s="1437" t="s">
        <v>1124</v>
      </c>
      <c r="D11" s="1440"/>
      <c r="E11" s="1441"/>
      <c r="F11" s="1981"/>
      <c r="G11" s="1442"/>
    </row>
    <row r="12" spans="1:11" ht="51.75" customHeight="1" x14ac:dyDescent="0.25">
      <c r="A12" s="1443"/>
      <c r="B12" s="1437"/>
      <c r="C12" s="1437" t="s">
        <v>1125</v>
      </c>
      <c r="E12" s="1444"/>
      <c r="G12" s="1445"/>
    </row>
    <row r="13" spans="1:11" s="1422" customFormat="1" ht="99.75" customHeight="1" x14ac:dyDescent="0.2">
      <c r="A13" s="1446"/>
      <c r="B13" s="1437"/>
      <c r="C13" s="1437" t="s">
        <v>1126</v>
      </c>
      <c r="D13" s="1447"/>
      <c r="E13" s="1448"/>
      <c r="F13" s="1982"/>
      <c r="G13" s="1449"/>
      <c r="H13" s="1450"/>
      <c r="I13" s="1451"/>
      <c r="J13" s="1452"/>
      <c r="K13" s="1453"/>
    </row>
    <row r="14" spans="1:11" s="1455" customFormat="1" ht="51" customHeight="1" x14ac:dyDescent="0.2">
      <c r="A14" s="1454"/>
      <c r="B14" s="1437"/>
      <c r="C14" s="1437" t="s">
        <v>1127</v>
      </c>
      <c r="E14" s="1456"/>
      <c r="F14" s="1983"/>
      <c r="G14" s="1449"/>
      <c r="H14" s="1457"/>
      <c r="I14" s="1458"/>
      <c r="J14" s="1452"/>
      <c r="K14" s="1459"/>
    </row>
    <row r="15" spans="1:11" s="1422" customFormat="1" x14ac:dyDescent="0.2">
      <c r="A15" s="1446"/>
      <c r="B15" s="1420"/>
      <c r="C15" s="1437"/>
      <c r="D15" s="1447"/>
      <c r="E15" s="1448"/>
      <c r="F15" s="1982"/>
      <c r="G15" s="1449"/>
      <c r="H15" s="1450"/>
      <c r="I15" s="1451"/>
      <c r="J15" s="1452"/>
      <c r="K15" s="1408"/>
    </row>
    <row r="16" spans="1:11" s="1422" customFormat="1" ht="15" x14ac:dyDescent="0.2">
      <c r="A16" s="1446"/>
      <c r="B16" s="1460" t="s">
        <v>1266</v>
      </c>
      <c r="C16" s="1461" t="s">
        <v>1129</v>
      </c>
      <c r="D16" s="1462"/>
      <c r="E16" s="1463"/>
      <c r="F16" s="1464"/>
      <c r="G16" s="1715"/>
      <c r="H16" s="1450"/>
      <c r="I16" s="1451"/>
      <c r="J16" s="1452"/>
      <c r="K16" s="1408"/>
    </row>
    <row r="17" spans="1:11" s="1422" customFormat="1" ht="41.25" x14ac:dyDescent="0.2">
      <c r="A17" s="1466" t="str">
        <f>$B$16</f>
        <v>5.1</v>
      </c>
      <c r="B17" s="1437" t="s">
        <v>1232</v>
      </c>
      <c r="C17" s="1437" t="s">
        <v>1130</v>
      </c>
      <c r="D17" s="1447" t="s">
        <v>65</v>
      </c>
      <c r="E17" s="1448">
        <v>50</v>
      </c>
      <c r="F17" s="1982"/>
      <c r="G17" s="1449">
        <f>ROUND(E17*F17,2)</f>
        <v>0</v>
      </c>
      <c r="H17" s="1450"/>
      <c r="I17" s="1451"/>
      <c r="J17" s="1452"/>
      <c r="K17" s="1408"/>
    </row>
    <row r="18" spans="1:11" s="1422" customFormat="1" x14ac:dyDescent="0.2">
      <c r="A18" s="1466"/>
      <c r="B18" s="1437"/>
      <c r="C18" s="1437"/>
      <c r="D18" s="1447"/>
      <c r="E18" s="1448"/>
      <c r="F18" s="1982"/>
      <c r="G18" s="1449"/>
      <c r="H18" s="1450"/>
      <c r="I18" s="1451"/>
      <c r="J18" s="1452"/>
      <c r="K18" s="1408"/>
    </row>
    <row r="19" spans="1:11" s="1422" customFormat="1" ht="41.25" x14ac:dyDescent="0.2">
      <c r="A19" s="1466" t="str">
        <f>$B$16</f>
        <v>5.1</v>
      </c>
      <c r="B19" s="1437" t="s">
        <v>1234</v>
      </c>
      <c r="C19" s="1437" t="s">
        <v>1131</v>
      </c>
      <c r="D19" s="1447" t="s">
        <v>65</v>
      </c>
      <c r="E19" s="1448">
        <v>50</v>
      </c>
      <c r="F19" s="1982"/>
      <c r="G19" s="1449">
        <f>ROUND(E19*F19,2)</f>
        <v>0</v>
      </c>
      <c r="H19" s="1450"/>
      <c r="I19" s="1451"/>
      <c r="J19" s="1452"/>
      <c r="K19" s="1408"/>
    </row>
    <row r="20" spans="1:11" s="1422" customFormat="1" x14ac:dyDescent="0.2">
      <c r="A20" s="1466"/>
      <c r="B20" s="1437"/>
      <c r="C20" s="1437"/>
      <c r="D20" s="1447"/>
      <c r="E20" s="1448"/>
      <c r="F20" s="1982"/>
      <c r="G20" s="1449"/>
      <c r="H20" s="1450"/>
      <c r="I20" s="1451"/>
      <c r="J20" s="1452"/>
      <c r="K20" s="1408"/>
    </row>
    <row r="21" spans="1:11" s="1422" customFormat="1" x14ac:dyDescent="0.2">
      <c r="A21" s="1466" t="str">
        <f t="shared" ref="A21:A61" si="0">$B$16</f>
        <v>5.1</v>
      </c>
      <c r="B21" s="1437" t="s">
        <v>1236</v>
      </c>
      <c r="C21" s="1437" t="s">
        <v>1132</v>
      </c>
      <c r="D21" s="1447" t="s">
        <v>65</v>
      </c>
      <c r="E21" s="1448">
        <v>800</v>
      </c>
      <c r="F21" s="1982"/>
      <c r="G21" s="1449">
        <f>ROUND(E21*F21,2)</f>
        <v>0</v>
      </c>
      <c r="H21" s="1450"/>
      <c r="I21" s="1451"/>
      <c r="J21" s="1452"/>
      <c r="K21" s="1408"/>
    </row>
    <row r="22" spans="1:11" s="1422" customFormat="1" x14ac:dyDescent="0.2">
      <c r="A22" s="1466"/>
      <c r="B22" s="1437"/>
      <c r="C22" s="1437"/>
      <c r="D22" s="1447"/>
      <c r="E22" s="1448"/>
      <c r="F22" s="1982"/>
      <c r="G22" s="1449"/>
      <c r="H22" s="1450"/>
      <c r="I22" s="1451"/>
      <c r="J22" s="1452"/>
      <c r="K22" s="1408"/>
    </row>
    <row r="23" spans="1:11" s="1422" customFormat="1" x14ac:dyDescent="0.2">
      <c r="A23" s="1466" t="str">
        <f t="shared" si="0"/>
        <v>5.1</v>
      </c>
      <c r="B23" s="1437" t="s">
        <v>4</v>
      </c>
      <c r="C23" s="1437" t="s">
        <v>1322</v>
      </c>
      <c r="D23" s="1447" t="s">
        <v>65</v>
      </c>
      <c r="E23" s="1448">
        <v>350</v>
      </c>
      <c r="F23" s="1982"/>
      <c r="G23" s="1449">
        <f>ROUND(E23*F23,2)</f>
        <v>0</v>
      </c>
      <c r="H23" s="1450"/>
      <c r="I23" s="1451"/>
      <c r="J23" s="1452"/>
      <c r="K23" s="1408"/>
    </row>
    <row r="24" spans="1:11" s="1422" customFormat="1" x14ac:dyDescent="0.2">
      <c r="A24" s="1466"/>
      <c r="B24" s="1437"/>
      <c r="C24" s="1437"/>
      <c r="D24" s="1447"/>
      <c r="E24" s="1448"/>
      <c r="F24" s="1982"/>
      <c r="G24" s="1449"/>
      <c r="H24" s="1450"/>
      <c r="I24" s="1451"/>
      <c r="J24" s="1452"/>
      <c r="K24" s="1408"/>
    </row>
    <row r="25" spans="1:11" s="1422" customFormat="1" x14ac:dyDescent="0.2">
      <c r="A25" s="1466" t="str">
        <f t="shared" si="0"/>
        <v>5.1</v>
      </c>
      <c r="B25" s="1437" t="s">
        <v>5</v>
      </c>
      <c r="C25" s="1437" t="s">
        <v>1321</v>
      </c>
      <c r="D25" s="1447" t="s">
        <v>65</v>
      </c>
      <c r="E25" s="1448">
        <v>350</v>
      </c>
      <c r="F25" s="1982"/>
      <c r="G25" s="1449">
        <f>ROUND(E25*F25,2)</f>
        <v>0</v>
      </c>
      <c r="H25" s="1450"/>
      <c r="I25" s="1451"/>
      <c r="J25" s="1452"/>
      <c r="K25" s="1408"/>
    </row>
    <row r="26" spans="1:11" s="1422" customFormat="1" x14ac:dyDescent="0.2">
      <c r="A26" s="1466"/>
      <c r="B26" s="1437"/>
      <c r="C26" s="1437"/>
      <c r="D26" s="1447"/>
      <c r="E26" s="1448"/>
      <c r="F26" s="1982"/>
      <c r="G26" s="1449"/>
      <c r="H26" s="1450"/>
      <c r="I26" s="1451"/>
      <c r="J26" s="1452"/>
      <c r="K26" s="1408"/>
    </row>
    <row r="27" spans="1:11" s="1422" customFormat="1" x14ac:dyDescent="0.2">
      <c r="A27" s="1466" t="str">
        <f t="shared" si="0"/>
        <v>5.1</v>
      </c>
      <c r="B27" s="1437" t="s">
        <v>6</v>
      </c>
      <c r="C27" s="1437" t="s">
        <v>1320</v>
      </c>
      <c r="D27" s="1447" t="s">
        <v>65</v>
      </c>
      <c r="E27" s="1448">
        <v>50</v>
      </c>
      <c r="F27" s="1982"/>
      <c r="G27" s="1449">
        <f>ROUND(E27*F27,2)</f>
        <v>0</v>
      </c>
      <c r="H27" s="1450"/>
      <c r="I27" s="1451"/>
      <c r="J27" s="1452"/>
      <c r="K27" s="1408"/>
    </row>
    <row r="28" spans="1:11" s="1422" customFormat="1" x14ac:dyDescent="0.2">
      <c r="A28" s="1466"/>
      <c r="B28" s="1437"/>
      <c r="C28" s="1437"/>
      <c r="D28" s="1447"/>
      <c r="E28" s="1448"/>
      <c r="F28" s="1982"/>
      <c r="G28" s="1449"/>
      <c r="H28" s="1450"/>
      <c r="I28" s="1451"/>
      <c r="J28" s="1452"/>
      <c r="K28" s="1408"/>
    </row>
    <row r="29" spans="1:11" s="1422" customFormat="1" x14ac:dyDescent="0.2">
      <c r="A29" s="1466" t="str">
        <f t="shared" si="0"/>
        <v>5.1</v>
      </c>
      <c r="B29" s="1437" t="s">
        <v>7</v>
      </c>
      <c r="C29" s="1437" t="s">
        <v>1133</v>
      </c>
      <c r="D29" s="1447" t="s">
        <v>65</v>
      </c>
      <c r="E29" s="1448">
        <v>300</v>
      </c>
      <c r="F29" s="1982"/>
      <c r="G29" s="1449">
        <f>ROUND(E29*F29,2)</f>
        <v>0</v>
      </c>
      <c r="H29" s="1450"/>
      <c r="I29" s="1451"/>
      <c r="J29" s="1452"/>
      <c r="K29" s="1408"/>
    </row>
    <row r="30" spans="1:11" s="1422" customFormat="1" x14ac:dyDescent="0.2">
      <c r="A30" s="1466"/>
      <c r="B30" s="1437"/>
      <c r="C30" s="1437"/>
      <c r="D30" s="1447"/>
      <c r="E30" s="1448"/>
      <c r="F30" s="1982"/>
      <c r="G30" s="1449"/>
      <c r="H30" s="1450"/>
      <c r="I30" s="1451"/>
      <c r="J30" s="1452"/>
      <c r="K30" s="1408"/>
    </row>
    <row r="31" spans="1:11" s="1455" customFormat="1" x14ac:dyDescent="0.2">
      <c r="A31" s="1466" t="str">
        <f t="shared" si="0"/>
        <v>5.1</v>
      </c>
      <c r="B31" s="1437" t="s">
        <v>1274</v>
      </c>
      <c r="C31" s="1437" t="s">
        <v>1319</v>
      </c>
      <c r="D31" s="1447" t="s">
        <v>65</v>
      </c>
      <c r="E31" s="1448">
        <v>600</v>
      </c>
      <c r="F31" s="1982"/>
      <c r="G31" s="1449">
        <f>ROUND(E31*F31,2)</f>
        <v>0</v>
      </c>
      <c r="H31" s="1457"/>
      <c r="I31" s="1458"/>
      <c r="J31" s="1452"/>
      <c r="K31" s="1459"/>
    </row>
    <row r="32" spans="1:11" s="1455" customFormat="1" x14ac:dyDescent="0.2">
      <c r="A32" s="1466"/>
      <c r="B32" s="1437"/>
      <c r="C32" s="1437"/>
      <c r="D32" s="1447"/>
      <c r="E32" s="1448"/>
      <c r="F32" s="1982"/>
      <c r="G32" s="1449"/>
      <c r="H32" s="1457"/>
      <c r="I32" s="1458"/>
      <c r="J32" s="1452"/>
      <c r="K32" s="1459"/>
    </row>
    <row r="33" spans="1:11" s="1422" customFormat="1" x14ac:dyDescent="0.2">
      <c r="A33" s="1466" t="str">
        <f t="shared" si="0"/>
        <v>5.1</v>
      </c>
      <c r="B33" s="1437" t="s">
        <v>1272</v>
      </c>
      <c r="C33" s="1437" t="s">
        <v>1134</v>
      </c>
      <c r="D33" s="1447" t="s">
        <v>65</v>
      </c>
      <c r="E33" s="1448">
        <v>300</v>
      </c>
      <c r="F33" s="1982"/>
      <c r="G33" s="1449">
        <f>ROUND(E33*F33,2)</f>
        <v>0</v>
      </c>
      <c r="H33" s="1450"/>
      <c r="I33" s="1451"/>
      <c r="J33" s="1452"/>
      <c r="K33" s="1408"/>
    </row>
    <row r="34" spans="1:11" s="1422" customFormat="1" x14ac:dyDescent="0.2">
      <c r="A34" s="1466"/>
      <c r="B34" s="1437"/>
      <c r="C34" s="1437"/>
      <c r="D34" s="1447"/>
      <c r="E34" s="1448"/>
      <c r="F34" s="1982"/>
      <c r="G34" s="1449"/>
      <c r="H34" s="1450"/>
      <c r="I34" s="1451"/>
      <c r="J34" s="1452"/>
      <c r="K34" s="1408"/>
    </row>
    <row r="35" spans="1:11" s="1422" customFormat="1" x14ac:dyDescent="0.2">
      <c r="A35" s="1466" t="str">
        <f t="shared" si="0"/>
        <v>5.1</v>
      </c>
      <c r="B35" s="1437" t="s">
        <v>1288</v>
      </c>
      <c r="C35" s="1437" t="s">
        <v>1135</v>
      </c>
      <c r="D35" s="1447" t="s">
        <v>65</v>
      </c>
      <c r="E35" s="1448">
        <v>300</v>
      </c>
      <c r="F35" s="1982"/>
      <c r="G35" s="1449">
        <f>ROUND(E35*F35,2)</f>
        <v>0</v>
      </c>
      <c r="H35" s="1450"/>
      <c r="I35" s="1451"/>
      <c r="J35" s="1452"/>
      <c r="K35" s="1408"/>
    </row>
    <row r="36" spans="1:11" s="1422" customFormat="1" x14ac:dyDescent="0.2">
      <c r="A36" s="1466"/>
      <c r="B36" s="1437"/>
      <c r="C36" s="1437"/>
      <c r="D36" s="1447"/>
      <c r="E36" s="1448"/>
      <c r="F36" s="1982"/>
      <c r="G36" s="1449"/>
      <c r="H36" s="1450"/>
      <c r="I36" s="1451"/>
      <c r="J36" s="1452"/>
      <c r="K36" s="1408"/>
    </row>
    <row r="37" spans="1:11" s="1422" customFormat="1" ht="24" x14ac:dyDescent="0.2">
      <c r="A37" s="1466" t="str">
        <f t="shared" si="0"/>
        <v>5.1</v>
      </c>
      <c r="B37" s="1437" t="s">
        <v>1270</v>
      </c>
      <c r="C37" s="1437" t="s">
        <v>1318</v>
      </c>
      <c r="D37" s="1447" t="s">
        <v>65</v>
      </c>
      <c r="E37" s="1448">
        <v>350</v>
      </c>
      <c r="F37" s="1982"/>
      <c r="G37" s="1449">
        <f>ROUND(E37*F37,2)</f>
        <v>0</v>
      </c>
      <c r="H37" s="1450"/>
      <c r="I37" s="1451"/>
      <c r="J37" s="1452"/>
      <c r="K37" s="1408"/>
    </row>
    <row r="38" spans="1:11" s="1422" customFormat="1" x14ac:dyDescent="0.2">
      <c r="A38" s="1466"/>
      <c r="B38" s="1437"/>
      <c r="C38" s="1437"/>
      <c r="D38" s="1447"/>
      <c r="E38" s="1448"/>
      <c r="F38" s="1982"/>
      <c r="G38" s="1449"/>
      <c r="H38" s="1450"/>
      <c r="I38" s="1451"/>
      <c r="J38" s="1452"/>
      <c r="K38" s="1408"/>
    </row>
    <row r="39" spans="1:11" s="1422" customFormat="1" ht="48" x14ac:dyDescent="0.2">
      <c r="A39" s="1466" t="str">
        <f t="shared" si="0"/>
        <v>5.1</v>
      </c>
      <c r="B39" s="1437" t="s">
        <v>1287</v>
      </c>
      <c r="C39" s="1437" t="s">
        <v>1317</v>
      </c>
      <c r="D39" s="1447" t="s">
        <v>58</v>
      </c>
      <c r="E39" s="1448">
        <v>1</v>
      </c>
      <c r="F39" s="1982"/>
      <c r="G39" s="1449">
        <f>ROUND(E39*F39,2)</f>
        <v>0</v>
      </c>
      <c r="H39" s="1450"/>
      <c r="I39" s="1451"/>
      <c r="J39" s="1452"/>
      <c r="K39" s="1408"/>
    </row>
    <row r="40" spans="1:11" s="1422" customFormat="1" x14ac:dyDescent="0.2">
      <c r="A40" s="1466"/>
      <c r="B40" s="1437"/>
      <c r="C40" s="1437"/>
      <c r="D40" s="1447"/>
      <c r="E40" s="1448"/>
      <c r="F40" s="1982"/>
      <c r="G40" s="1449"/>
      <c r="H40" s="1450"/>
      <c r="I40" s="1451"/>
      <c r="J40" s="1452"/>
      <c r="K40" s="1408"/>
    </row>
    <row r="41" spans="1:11" s="1422" customFormat="1" x14ac:dyDescent="0.2">
      <c r="A41" s="1466" t="str">
        <f t="shared" si="0"/>
        <v>5.1</v>
      </c>
      <c r="B41" s="1437" t="s">
        <v>1286</v>
      </c>
      <c r="C41" s="1437" t="s">
        <v>1316</v>
      </c>
      <c r="D41" s="1447" t="s">
        <v>58</v>
      </c>
      <c r="E41" s="1448">
        <v>1</v>
      </c>
      <c r="F41" s="1982"/>
      <c r="G41" s="1449">
        <f>ROUND(E41*F41,2)</f>
        <v>0</v>
      </c>
      <c r="H41" s="1450"/>
      <c r="I41" s="1451"/>
      <c r="J41" s="1452"/>
      <c r="K41" s="1408"/>
    </row>
    <row r="42" spans="1:11" s="1422" customFormat="1" x14ac:dyDescent="0.2">
      <c r="A42" s="1466"/>
      <c r="B42" s="1437"/>
      <c r="C42" s="1437"/>
      <c r="D42" s="1447"/>
      <c r="E42" s="1448"/>
      <c r="F42" s="1982"/>
      <c r="G42" s="1449"/>
      <c r="H42" s="1450"/>
      <c r="I42" s="1451"/>
      <c r="J42" s="1452"/>
      <c r="K42" s="1408"/>
    </row>
    <row r="43" spans="1:11" s="1422" customFormat="1" x14ac:dyDescent="0.2">
      <c r="A43" s="1466" t="str">
        <f t="shared" si="0"/>
        <v>5.1</v>
      </c>
      <c r="B43" s="1437" t="s">
        <v>1285</v>
      </c>
      <c r="C43" s="1437" t="s">
        <v>1315</v>
      </c>
      <c r="D43" s="1447" t="s">
        <v>58</v>
      </c>
      <c r="E43" s="1448">
        <v>1</v>
      </c>
      <c r="F43" s="1982"/>
      <c r="G43" s="1449">
        <f>ROUND(E43*F43,2)</f>
        <v>0</v>
      </c>
      <c r="H43" s="1450"/>
      <c r="I43" s="1451"/>
      <c r="J43" s="1452"/>
      <c r="K43" s="1408"/>
    </row>
    <row r="44" spans="1:11" s="1422" customFormat="1" x14ac:dyDescent="0.2">
      <c r="A44" s="1466"/>
      <c r="B44" s="1437"/>
      <c r="C44" s="1437"/>
      <c r="D44" s="1447"/>
      <c r="E44" s="1448"/>
      <c r="F44" s="1982"/>
      <c r="G44" s="1449"/>
      <c r="H44" s="1450"/>
      <c r="I44" s="1451"/>
      <c r="J44" s="1452"/>
      <c r="K44" s="1408"/>
    </row>
    <row r="45" spans="1:11" s="1422" customFormat="1" x14ac:dyDescent="0.2">
      <c r="A45" s="1466" t="str">
        <f t="shared" si="0"/>
        <v>5.1</v>
      </c>
      <c r="B45" s="1437" t="s">
        <v>1301</v>
      </c>
      <c r="C45" s="1437" t="s">
        <v>1314</v>
      </c>
      <c r="D45" s="1447" t="s">
        <v>58</v>
      </c>
      <c r="E45" s="1448">
        <v>1</v>
      </c>
      <c r="F45" s="1982"/>
      <c r="G45" s="1449">
        <f>ROUND(E45*F45,2)</f>
        <v>0</v>
      </c>
      <c r="H45" s="1450"/>
      <c r="I45" s="1451"/>
      <c r="J45" s="1452"/>
      <c r="K45" s="1408"/>
    </row>
    <row r="46" spans="1:11" s="1422" customFormat="1" x14ac:dyDescent="0.2">
      <c r="A46" s="1466"/>
      <c r="B46" s="1437"/>
      <c r="C46" s="1437"/>
      <c r="D46" s="1447"/>
      <c r="E46" s="1448"/>
      <c r="F46" s="1982"/>
      <c r="G46" s="1449"/>
      <c r="H46" s="1450"/>
      <c r="I46" s="1451"/>
      <c r="J46" s="1452"/>
      <c r="K46" s="1408"/>
    </row>
    <row r="47" spans="1:11" s="1422" customFormat="1" x14ac:dyDescent="0.2">
      <c r="A47" s="1466" t="str">
        <f t="shared" si="0"/>
        <v>5.1</v>
      </c>
      <c r="B47" s="1437" t="s">
        <v>1284</v>
      </c>
      <c r="C47" s="1437" t="s">
        <v>1313</v>
      </c>
      <c r="D47" s="1447" t="s">
        <v>58</v>
      </c>
      <c r="E47" s="1448">
        <v>1</v>
      </c>
      <c r="F47" s="1982"/>
      <c r="G47" s="1449">
        <f>ROUND(E47*F47,2)</f>
        <v>0</v>
      </c>
      <c r="H47" s="1450"/>
      <c r="I47" s="1451"/>
      <c r="J47" s="1452"/>
      <c r="K47" s="1453"/>
    </row>
    <row r="48" spans="1:11" s="1422" customFormat="1" x14ac:dyDescent="0.2">
      <c r="A48" s="1466"/>
      <c r="B48" s="1437"/>
      <c r="C48" s="1437"/>
      <c r="D48" s="1447"/>
      <c r="E48" s="1448"/>
      <c r="F48" s="1982"/>
      <c r="G48" s="1449"/>
      <c r="H48" s="1450"/>
      <c r="I48" s="1451"/>
      <c r="J48" s="1452"/>
      <c r="K48" s="1453"/>
    </row>
    <row r="49" spans="1:11" s="1422" customFormat="1" x14ac:dyDescent="0.2">
      <c r="A49" s="1466" t="str">
        <f t="shared" si="0"/>
        <v>5.1</v>
      </c>
      <c r="B49" s="1437" t="s">
        <v>1283</v>
      </c>
      <c r="C49" s="1437" t="s">
        <v>1312</v>
      </c>
      <c r="D49" s="1447" t="s">
        <v>58</v>
      </c>
      <c r="E49" s="1448">
        <v>1</v>
      </c>
      <c r="F49" s="1982"/>
      <c r="G49" s="1449">
        <f>ROUND(E49*F49,2)</f>
        <v>0</v>
      </c>
      <c r="H49" s="1450"/>
      <c r="I49" s="1451"/>
      <c r="J49" s="1452"/>
      <c r="K49" s="1453"/>
    </row>
    <row r="50" spans="1:11" s="1422" customFormat="1" x14ac:dyDescent="0.2">
      <c r="A50" s="1466"/>
      <c r="B50" s="1437"/>
      <c r="C50" s="1437"/>
      <c r="D50" s="1447"/>
      <c r="E50" s="1448"/>
      <c r="F50" s="1982"/>
      <c r="G50" s="1449"/>
      <c r="H50" s="1450"/>
      <c r="I50" s="1451"/>
      <c r="J50" s="1452"/>
      <c r="K50" s="1453"/>
    </row>
    <row r="51" spans="1:11" s="1467" customFormat="1" x14ac:dyDescent="0.2">
      <c r="A51" s="1466" t="str">
        <f t="shared" si="0"/>
        <v>5.1</v>
      </c>
      <c r="B51" s="1437" t="s">
        <v>1282</v>
      </c>
      <c r="C51" s="1437" t="s">
        <v>1311</v>
      </c>
      <c r="D51" s="1447" t="s">
        <v>58</v>
      </c>
      <c r="E51" s="1448">
        <v>1</v>
      </c>
      <c r="F51" s="1982"/>
      <c r="G51" s="1449">
        <f>ROUND(E51*F51,2)</f>
        <v>0</v>
      </c>
      <c r="H51" s="1450"/>
      <c r="I51" s="1451"/>
      <c r="J51" s="1452"/>
    </row>
    <row r="52" spans="1:11" s="1467" customFormat="1" x14ac:dyDescent="0.2">
      <c r="A52" s="1466"/>
      <c r="B52" s="1437"/>
      <c r="C52" s="1437"/>
      <c r="D52" s="1447"/>
      <c r="E52" s="1448"/>
      <c r="F52" s="1982"/>
      <c r="G52" s="1449"/>
      <c r="H52" s="1450"/>
      <c r="I52" s="1451"/>
      <c r="J52" s="1452"/>
    </row>
    <row r="53" spans="1:11" s="1436" customFormat="1" ht="15" x14ac:dyDescent="0.2">
      <c r="A53" s="1466" t="str">
        <f t="shared" si="0"/>
        <v>5.1</v>
      </c>
      <c r="B53" s="1437" t="s">
        <v>1281</v>
      </c>
      <c r="C53" s="1437" t="s">
        <v>1310</v>
      </c>
      <c r="D53" s="1447" t="s">
        <v>58</v>
      </c>
      <c r="E53" s="1448">
        <v>1</v>
      </c>
      <c r="F53" s="1982"/>
      <c r="G53" s="1449">
        <f>ROUND(E53*F53,2)</f>
        <v>0</v>
      </c>
      <c r="H53" s="1450"/>
      <c r="I53" s="1451"/>
      <c r="J53" s="1452"/>
    </row>
    <row r="54" spans="1:11" s="1436" customFormat="1" ht="15" x14ac:dyDescent="0.2">
      <c r="A54" s="1466"/>
      <c r="B54" s="1437"/>
      <c r="C54" s="1437"/>
      <c r="D54" s="1447"/>
      <c r="E54" s="1448"/>
      <c r="F54" s="1982"/>
      <c r="G54" s="1449"/>
      <c r="H54" s="1450"/>
      <c r="I54" s="1451"/>
      <c r="J54" s="1452"/>
    </row>
    <row r="55" spans="1:11" s="1436" customFormat="1" ht="15" x14ac:dyDescent="0.2">
      <c r="A55" s="1466" t="str">
        <f t="shared" si="0"/>
        <v>5.1</v>
      </c>
      <c r="B55" s="1437" t="s">
        <v>1300</v>
      </c>
      <c r="C55" s="1437" t="s">
        <v>1309</v>
      </c>
      <c r="D55" s="1447" t="s">
        <v>58</v>
      </c>
      <c r="E55" s="1448">
        <v>1</v>
      </c>
      <c r="F55" s="1982"/>
      <c r="G55" s="1449">
        <f>ROUND(E55*F55,2)</f>
        <v>0</v>
      </c>
      <c r="H55" s="1450"/>
      <c r="I55" s="1451"/>
      <c r="J55" s="1452"/>
    </row>
    <row r="56" spans="1:11" s="1436" customFormat="1" ht="15" x14ac:dyDescent="0.2">
      <c r="A56" s="1466"/>
      <c r="B56" s="1437"/>
      <c r="C56" s="1437"/>
      <c r="D56" s="1447"/>
      <c r="E56" s="1448"/>
      <c r="F56" s="1982"/>
      <c r="G56" s="1449"/>
      <c r="H56" s="1450"/>
      <c r="I56" s="1451"/>
      <c r="J56" s="1452"/>
    </row>
    <row r="57" spans="1:11" s="1422" customFormat="1" x14ac:dyDescent="0.2">
      <c r="A57" s="1466" t="str">
        <f t="shared" si="0"/>
        <v>5.1</v>
      </c>
      <c r="B57" s="1437" t="s">
        <v>1299</v>
      </c>
      <c r="C57" s="1437" t="s">
        <v>1308</v>
      </c>
      <c r="D57" s="1447" t="s">
        <v>58</v>
      </c>
      <c r="E57" s="1448">
        <v>3</v>
      </c>
      <c r="F57" s="1982"/>
      <c r="G57" s="1449">
        <f>ROUND(E57*F57,2)</f>
        <v>0</v>
      </c>
      <c r="H57" s="1450"/>
      <c r="I57" s="1451"/>
      <c r="J57" s="1452"/>
    </row>
    <row r="58" spans="1:11" s="1422" customFormat="1" x14ac:dyDescent="0.2">
      <c r="A58" s="1466"/>
      <c r="B58" s="1437"/>
      <c r="C58" s="1437"/>
      <c r="D58" s="1447"/>
      <c r="E58" s="1448"/>
      <c r="F58" s="1982"/>
      <c r="G58" s="1449"/>
      <c r="H58" s="1450"/>
      <c r="I58" s="1451"/>
      <c r="J58" s="1452"/>
    </row>
    <row r="59" spans="1:11" s="1468" customFormat="1" ht="18.75" x14ac:dyDescent="0.2">
      <c r="A59" s="1466" t="str">
        <f t="shared" si="0"/>
        <v>5.1</v>
      </c>
      <c r="B59" s="1437" t="s">
        <v>1298</v>
      </c>
      <c r="C59" s="1437" t="s">
        <v>1307</v>
      </c>
      <c r="D59" s="1447" t="s">
        <v>58</v>
      </c>
      <c r="E59" s="1448">
        <v>1</v>
      </c>
      <c r="F59" s="1982"/>
      <c r="G59" s="1449">
        <f>ROUND(E59*F59,2)</f>
        <v>0</v>
      </c>
      <c r="H59" s="1450"/>
      <c r="I59" s="1451"/>
      <c r="J59" s="1452"/>
    </row>
    <row r="60" spans="1:11" s="1468" customFormat="1" ht="18.75" x14ac:dyDescent="0.2">
      <c r="A60" s="1466"/>
      <c r="B60" s="1437"/>
      <c r="C60" s="1437"/>
      <c r="D60" s="1447"/>
      <c r="E60" s="1448"/>
      <c r="F60" s="1982"/>
      <c r="G60" s="1449"/>
      <c r="H60" s="1450"/>
      <c r="I60" s="1451"/>
      <c r="J60" s="1452"/>
    </row>
    <row r="61" spans="1:11" s="1469" customFormat="1" ht="14.25" customHeight="1" x14ac:dyDescent="0.2">
      <c r="A61" s="1466" t="str">
        <f t="shared" si="0"/>
        <v>5.1</v>
      </c>
      <c r="B61" s="1437" t="s">
        <v>1297</v>
      </c>
      <c r="C61" s="1437" t="s">
        <v>1137</v>
      </c>
      <c r="D61" s="1447" t="s">
        <v>58</v>
      </c>
      <c r="E61" s="1448">
        <v>1</v>
      </c>
      <c r="F61" s="1982"/>
      <c r="G61" s="1449">
        <f>ROUND(E61*F61,2)</f>
        <v>0</v>
      </c>
      <c r="H61" s="1450"/>
      <c r="I61" s="1451"/>
      <c r="J61" s="1452"/>
    </row>
    <row r="62" spans="1:11" s="1469" customFormat="1" ht="12.75" customHeight="1" x14ac:dyDescent="0.2">
      <c r="A62" s="1446"/>
      <c r="B62" s="1437"/>
      <c r="C62" s="1470"/>
      <c r="D62" s="1462"/>
      <c r="E62" s="1463"/>
      <c r="F62" s="1464"/>
      <c r="G62" s="1715"/>
      <c r="H62" s="1450"/>
      <c r="I62" s="1451"/>
      <c r="J62" s="1452"/>
    </row>
    <row r="63" spans="1:11" s="1467" customFormat="1" ht="15" x14ac:dyDescent="0.2">
      <c r="A63" s="1446"/>
      <c r="B63" s="1437"/>
      <c r="C63" s="1461" t="s">
        <v>1138</v>
      </c>
      <c r="D63" s="1471"/>
      <c r="E63" s="1472"/>
      <c r="F63" s="1473"/>
      <c r="G63" s="1716">
        <f>ROUND(SUM(G17:G61),2)</f>
        <v>0</v>
      </c>
      <c r="H63" s="1450"/>
      <c r="I63" s="1451"/>
      <c r="J63" s="1452"/>
      <c r="K63" s="1474"/>
    </row>
    <row r="64" spans="1:11" s="1469" customFormat="1" ht="15" x14ac:dyDescent="0.2">
      <c r="A64" s="1446"/>
      <c r="B64" s="1460"/>
      <c r="C64" s="1475"/>
      <c r="D64" s="1471"/>
      <c r="E64" s="1472"/>
      <c r="F64" s="1473"/>
      <c r="G64" s="1715" t="str">
        <f>IF(F64="","",F64*E64)</f>
        <v/>
      </c>
      <c r="H64" s="1450"/>
      <c r="I64" s="1451"/>
      <c r="J64" s="1452"/>
    </row>
    <row r="65" spans="1:11" s="1477" customFormat="1" ht="15" x14ac:dyDescent="0.2">
      <c r="A65" s="1446"/>
      <c r="B65" s="1460" t="s">
        <v>1265</v>
      </c>
      <c r="C65" s="1475" t="s">
        <v>1140</v>
      </c>
      <c r="D65" s="1476"/>
      <c r="E65" s="1472"/>
      <c r="F65" s="1473"/>
      <c r="G65" s="1715" t="str">
        <f>IF(F65="","",F65*E65)</f>
        <v/>
      </c>
      <c r="H65" s="1450"/>
      <c r="I65" s="1451"/>
      <c r="J65" s="1452"/>
    </row>
    <row r="66" spans="1:11" s="1477" customFormat="1" ht="15" x14ac:dyDescent="0.2">
      <c r="A66" s="1446"/>
      <c r="B66" s="850"/>
      <c r="C66" s="1478"/>
      <c r="D66" s="1462"/>
      <c r="E66" s="1479"/>
      <c r="F66" s="853"/>
      <c r="G66" s="1715" t="str">
        <f>IF(F66="","",F66*E66)</f>
        <v/>
      </c>
      <c r="H66" s="1450"/>
      <c r="I66" s="1451"/>
      <c r="J66" s="1452"/>
    </row>
    <row r="67" spans="1:11" s="1477" customFormat="1" ht="15" x14ac:dyDescent="0.2">
      <c r="A67" s="1466"/>
      <c r="B67" s="1480"/>
      <c r="C67" s="1481" t="s">
        <v>1306</v>
      </c>
      <c r="D67" s="1482" t="s">
        <v>159</v>
      </c>
      <c r="E67" s="1483" t="s">
        <v>159</v>
      </c>
      <c r="F67" s="1484"/>
      <c r="G67" s="1715" t="str">
        <f>IF(F67="","",F67*E67)</f>
        <v/>
      </c>
      <c r="H67" s="1450"/>
      <c r="I67" s="1451"/>
      <c r="J67" s="1452"/>
    </row>
    <row r="68" spans="1:11" s="1469" customFormat="1" ht="84" x14ac:dyDescent="0.2">
      <c r="A68" s="1466" t="str">
        <f t="shared" ref="A68:A121" si="1">$B$65</f>
        <v>5.2</v>
      </c>
      <c r="B68" s="1437" t="s">
        <v>1232</v>
      </c>
      <c r="C68" s="1437" t="s">
        <v>1305</v>
      </c>
      <c r="D68" s="1447" t="s">
        <v>58</v>
      </c>
      <c r="E68" s="1448">
        <v>1</v>
      </c>
      <c r="F68" s="1982"/>
      <c r="G68" s="1449">
        <f>ROUND(E68*F68,2)</f>
        <v>0</v>
      </c>
      <c r="H68" s="1450"/>
      <c r="I68" s="1451"/>
      <c r="J68" s="1452"/>
      <c r="K68" s="1485"/>
    </row>
    <row r="69" spans="1:11" s="1469" customFormat="1" x14ac:dyDescent="0.2">
      <c r="A69" s="1466"/>
      <c r="B69" s="1437"/>
      <c r="C69" s="1437"/>
      <c r="D69" s="1447"/>
      <c r="E69" s="1448"/>
      <c r="F69" s="1982"/>
      <c r="G69" s="1449"/>
      <c r="H69" s="1450"/>
      <c r="I69" s="1451"/>
      <c r="J69" s="1452"/>
      <c r="K69" s="1485"/>
    </row>
    <row r="70" spans="1:11" s="1477" customFormat="1" ht="96" x14ac:dyDescent="0.2">
      <c r="A70" s="1466" t="str">
        <f t="shared" si="1"/>
        <v>5.2</v>
      </c>
      <c r="B70" s="1437" t="s">
        <v>1234</v>
      </c>
      <c r="C70" s="1437" t="s">
        <v>1304</v>
      </c>
      <c r="D70" s="1447" t="s">
        <v>39</v>
      </c>
      <c r="E70" s="1448">
        <v>1</v>
      </c>
      <c r="F70" s="1982"/>
      <c r="G70" s="1449">
        <f>ROUND(E70*F70,2)</f>
        <v>0</v>
      </c>
      <c r="H70" s="1450"/>
      <c r="I70" s="1451"/>
      <c r="J70" s="1452"/>
    </row>
    <row r="71" spans="1:11" s="1477" customFormat="1" x14ac:dyDescent="0.2">
      <c r="A71" s="1466"/>
      <c r="B71" s="1437"/>
      <c r="C71" s="1437"/>
      <c r="D71" s="1447"/>
      <c r="E71" s="1448"/>
      <c r="F71" s="1982"/>
      <c r="G71" s="1449"/>
      <c r="H71" s="1450"/>
      <c r="I71" s="1451"/>
      <c r="J71" s="1452"/>
    </row>
    <row r="72" spans="1:11" s="1469" customFormat="1" ht="24" x14ac:dyDescent="0.2">
      <c r="A72" s="1466" t="str">
        <f t="shared" si="1"/>
        <v>5.2</v>
      </c>
      <c r="B72" s="1437" t="s">
        <v>1236</v>
      </c>
      <c r="C72" s="1437" t="s">
        <v>1144</v>
      </c>
      <c r="D72" s="1447" t="s">
        <v>58</v>
      </c>
      <c r="E72" s="1448">
        <v>1</v>
      </c>
      <c r="F72" s="1982"/>
      <c r="G72" s="1449">
        <f>ROUND(E72*F72,2)</f>
        <v>0</v>
      </c>
      <c r="H72" s="1450"/>
      <c r="I72" s="1451"/>
      <c r="J72" s="1452"/>
    </row>
    <row r="73" spans="1:11" s="1469" customFormat="1" x14ac:dyDescent="0.2">
      <c r="A73" s="1466"/>
      <c r="B73" s="1437"/>
      <c r="C73" s="1437"/>
      <c r="D73" s="1447"/>
      <c r="E73" s="1448"/>
      <c r="F73" s="1982"/>
      <c r="G73" s="1449"/>
      <c r="H73" s="1450"/>
      <c r="I73" s="1451"/>
      <c r="J73" s="1452"/>
    </row>
    <row r="74" spans="1:11" s="1422" customFormat="1" ht="24" x14ac:dyDescent="0.2">
      <c r="A74" s="1466" t="str">
        <f t="shared" si="1"/>
        <v>5.2</v>
      </c>
      <c r="B74" s="1437" t="s">
        <v>4</v>
      </c>
      <c r="C74" s="1437" t="s">
        <v>1145</v>
      </c>
      <c r="D74" s="1447" t="s">
        <v>39</v>
      </c>
      <c r="E74" s="1448">
        <v>1</v>
      </c>
      <c r="F74" s="1982"/>
      <c r="G74" s="1449">
        <f>ROUND(E74*F74,2)</f>
        <v>0</v>
      </c>
      <c r="H74" s="1450"/>
      <c r="I74" s="1451"/>
      <c r="J74" s="1452"/>
    </row>
    <row r="75" spans="1:11" s="1422" customFormat="1" x14ac:dyDescent="0.2">
      <c r="A75" s="1466"/>
      <c r="B75" s="1437"/>
      <c r="C75" s="1437"/>
      <c r="D75" s="1447"/>
      <c r="E75" s="1448"/>
      <c r="F75" s="1982"/>
      <c r="G75" s="1449"/>
      <c r="H75" s="1450"/>
      <c r="I75" s="1451"/>
      <c r="J75" s="1452"/>
    </row>
    <row r="76" spans="1:11" s="1422" customFormat="1" ht="36" x14ac:dyDescent="0.25">
      <c r="A76" s="1466" t="str">
        <f t="shared" si="1"/>
        <v>5.2</v>
      </c>
      <c r="B76" s="1437" t="s">
        <v>5</v>
      </c>
      <c r="C76" s="1437" t="s">
        <v>1146</v>
      </c>
      <c r="D76" s="1447" t="s">
        <v>39</v>
      </c>
      <c r="E76" s="1448">
        <v>1</v>
      </c>
      <c r="F76" s="1982"/>
      <c r="G76" s="1449">
        <f>ROUND(E76*F76,2)</f>
        <v>0</v>
      </c>
    </row>
    <row r="77" spans="1:11" s="1422" customFormat="1" x14ac:dyDescent="0.25">
      <c r="A77" s="1466"/>
      <c r="B77" s="1437"/>
      <c r="C77" s="1437"/>
      <c r="D77" s="1447"/>
      <c r="E77" s="1448"/>
      <c r="F77" s="1982"/>
      <c r="G77" s="1449"/>
    </row>
    <row r="78" spans="1:11" s="1422" customFormat="1" ht="36" x14ac:dyDescent="0.25">
      <c r="A78" s="1466" t="str">
        <f t="shared" si="1"/>
        <v>5.2</v>
      </c>
      <c r="B78" s="1437" t="s">
        <v>6</v>
      </c>
      <c r="C78" s="1437" t="s">
        <v>1147</v>
      </c>
      <c r="D78" s="1447" t="s">
        <v>39</v>
      </c>
      <c r="E78" s="1448">
        <v>1</v>
      </c>
      <c r="F78" s="1982"/>
      <c r="G78" s="1449">
        <f>ROUND(E78*F78,2)</f>
        <v>0</v>
      </c>
    </row>
    <row r="79" spans="1:11" s="1422" customFormat="1" x14ac:dyDescent="0.25">
      <c r="A79" s="1466"/>
      <c r="B79" s="1437"/>
      <c r="C79" s="1437"/>
      <c r="D79" s="1447"/>
      <c r="E79" s="1448"/>
      <c r="F79" s="1982"/>
      <c r="G79" s="1449"/>
    </row>
    <row r="80" spans="1:11" s="1422" customFormat="1" ht="60" x14ac:dyDescent="0.25">
      <c r="A80" s="1466" t="str">
        <f t="shared" si="1"/>
        <v>5.2</v>
      </c>
      <c r="B80" s="1437" t="s">
        <v>7</v>
      </c>
      <c r="C80" s="1437" t="s">
        <v>1148</v>
      </c>
      <c r="D80" s="1447" t="s">
        <v>58</v>
      </c>
      <c r="E80" s="1448">
        <v>1</v>
      </c>
      <c r="F80" s="1982"/>
      <c r="G80" s="1449">
        <f>ROUND(E80*F80,2)</f>
        <v>0</v>
      </c>
    </row>
    <row r="81" spans="1:7" s="1422" customFormat="1" x14ac:dyDescent="0.25">
      <c r="A81" s="1466"/>
      <c r="B81" s="1437"/>
      <c r="C81" s="1437"/>
      <c r="D81" s="1447"/>
      <c r="E81" s="1448"/>
      <c r="F81" s="1982"/>
      <c r="G81" s="1449"/>
    </row>
    <row r="82" spans="1:7" s="1422" customFormat="1" ht="36" x14ac:dyDescent="0.25">
      <c r="A82" s="1466" t="str">
        <f t="shared" si="1"/>
        <v>5.2</v>
      </c>
      <c r="B82" s="1437" t="s">
        <v>1274</v>
      </c>
      <c r="C82" s="1437" t="s">
        <v>1149</v>
      </c>
      <c r="D82" s="1447" t="s">
        <v>39</v>
      </c>
      <c r="E82" s="1448">
        <v>1</v>
      </c>
      <c r="F82" s="1982"/>
      <c r="G82" s="1449">
        <f>ROUND(E82*F82,2)</f>
        <v>0</v>
      </c>
    </row>
    <row r="83" spans="1:7" s="1422" customFormat="1" x14ac:dyDescent="0.25">
      <c r="A83" s="1466"/>
      <c r="B83" s="1437"/>
      <c r="C83" s="1437"/>
      <c r="D83" s="1447"/>
      <c r="E83" s="1448"/>
      <c r="F83" s="1982"/>
      <c r="G83" s="1449"/>
    </row>
    <row r="84" spans="1:7" s="1422" customFormat="1" ht="36" x14ac:dyDescent="0.25">
      <c r="A84" s="1466" t="str">
        <f t="shared" si="1"/>
        <v>5.2</v>
      </c>
      <c r="B84" s="1437" t="s">
        <v>1272</v>
      </c>
      <c r="C84" s="1437" t="s">
        <v>1150</v>
      </c>
      <c r="D84" s="1447" t="s">
        <v>58</v>
      </c>
      <c r="E84" s="1448">
        <v>1</v>
      </c>
      <c r="F84" s="1982"/>
      <c r="G84" s="1449">
        <f>ROUND(E84*F84,2)</f>
        <v>0</v>
      </c>
    </row>
    <row r="85" spans="1:7" s="1422" customFormat="1" x14ac:dyDescent="0.25">
      <c r="A85" s="1466"/>
      <c r="B85" s="1437"/>
      <c r="C85" s="1437"/>
      <c r="D85" s="1447"/>
      <c r="E85" s="1448"/>
      <c r="F85" s="1982"/>
      <c r="G85" s="1449"/>
    </row>
    <row r="86" spans="1:7" s="1422" customFormat="1" ht="36" x14ac:dyDescent="0.25">
      <c r="A86" s="1466" t="str">
        <f t="shared" si="1"/>
        <v>5.2</v>
      </c>
      <c r="B86" s="1437" t="s">
        <v>1288</v>
      </c>
      <c r="C86" s="1437" t="s">
        <v>1303</v>
      </c>
      <c r="D86" s="1447" t="s">
        <v>39</v>
      </c>
      <c r="E86" s="1448">
        <v>1</v>
      </c>
      <c r="F86" s="1982"/>
      <c r="G86" s="1449">
        <f>ROUND(E86*F86,2)</f>
        <v>0</v>
      </c>
    </row>
    <row r="87" spans="1:7" s="1422" customFormat="1" x14ac:dyDescent="0.25">
      <c r="A87" s="1466"/>
      <c r="B87" s="1437"/>
      <c r="C87" s="1437"/>
      <c r="D87" s="1447"/>
      <c r="E87" s="1448"/>
      <c r="F87" s="1982"/>
      <c r="G87" s="1449"/>
    </row>
    <row r="88" spans="1:7" s="1422" customFormat="1" ht="36" x14ac:dyDescent="0.25">
      <c r="A88" s="1466" t="str">
        <f t="shared" si="1"/>
        <v>5.2</v>
      </c>
      <c r="B88" s="1437" t="s">
        <v>1270</v>
      </c>
      <c r="C88" s="1437" t="s">
        <v>1302</v>
      </c>
      <c r="D88" s="1447" t="s">
        <v>39</v>
      </c>
      <c r="E88" s="1448">
        <v>3</v>
      </c>
      <c r="F88" s="1982"/>
      <c r="G88" s="1449">
        <f>ROUND(E88*F88,2)</f>
        <v>0</v>
      </c>
    </row>
    <row r="89" spans="1:7" s="1422" customFormat="1" x14ac:dyDescent="0.25">
      <c r="A89" s="1466"/>
      <c r="B89" s="1437"/>
      <c r="C89" s="1437"/>
      <c r="D89" s="1447"/>
      <c r="E89" s="1448"/>
      <c r="F89" s="1982"/>
      <c r="G89" s="1449"/>
    </row>
    <row r="90" spans="1:7" s="1422" customFormat="1" ht="36" x14ac:dyDescent="0.25">
      <c r="A90" s="1466" t="str">
        <f t="shared" si="1"/>
        <v>5.2</v>
      </c>
      <c r="B90" s="1437" t="s">
        <v>1287</v>
      </c>
      <c r="C90" s="1437" t="s">
        <v>1153</v>
      </c>
      <c r="D90" s="1447" t="s">
        <v>39</v>
      </c>
      <c r="E90" s="1448">
        <v>1</v>
      </c>
      <c r="F90" s="1982"/>
      <c r="G90" s="1449">
        <f>ROUND(E90*F90,2)</f>
        <v>0</v>
      </c>
    </row>
    <row r="91" spans="1:7" s="1422" customFormat="1" x14ac:dyDescent="0.25">
      <c r="A91" s="1466"/>
      <c r="B91" s="1437"/>
      <c r="C91" s="1437"/>
      <c r="D91" s="1447"/>
      <c r="E91" s="1448"/>
      <c r="F91" s="1982"/>
      <c r="G91" s="1449"/>
    </row>
    <row r="92" spans="1:7" s="1422" customFormat="1" ht="36" x14ac:dyDescent="0.25">
      <c r="A92" s="1466" t="str">
        <f t="shared" si="1"/>
        <v>5.2</v>
      </c>
      <c r="B92" s="1437" t="s">
        <v>1286</v>
      </c>
      <c r="C92" s="1437" t="s">
        <v>1154</v>
      </c>
      <c r="D92" s="1447" t="s">
        <v>39</v>
      </c>
      <c r="E92" s="1448">
        <v>2</v>
      </c>
      <c r="F92" s="1982"/>
      <c r="G92" s="1449">
        <f>ROUND(E92*F92,2)</f>
        <v>0</v>
      </c>
    </row>
    <row r="93" spans="1:7" s="1422" customFormat="1" x14ac:dyDescent="0.25">
      <c r="A93" s="1466"/>
      <c r="B93" s="1437"/>
      <c r="C93" s="1437"/>
      <c r="D93" s="1447"/>
      <c r="E93" s="1448"/>
      <c r="F93" s="1982"/>
      <c r="G93" s="1449"/>
    </row>
    <row r="94" spans="1:7" s="1422" customFormat="1" ht="36" x14ac:dyDescent="0.25">
      <c r="A94" s="1466" t="str">
        <f t="shared" si="1"/>
        <v>5.2</v>
      </c>
      <c r="B94" s="1437" t="s">
        <v>1285</v>
      </c>
      <c r="C94" s="1437" t="s">
        <v>1155</v>
      </c>
      <c r="D94" s="1447" t="s">
        <v>39</v>
      </c>
      <c r="E94" s="1448">
        <v>16</v>
      </c>
      <c r="F94" s="1982"/>
      <c r="G94" s="1449">
        <f>ROUND(E94*F94,2)</f>
        <v>0</v>
      </c>
    </row>
    <row r="95" spans="1:7" s="1422" customFormat="1" x14ac:dyDescent="0.25">
      <c r="A95" s="1466"/>
      <c r="B95" s="1437"/>
      <c r="C95" s="1437"/>
      <c r="D95" s="1447"/>
      <c r="E95" s="1448"/>
      <c r="F95" s="1982"/>
      <c r="G95" s="1449"/>
    </row>
    <row r="96" spans="1:7" s="1422" customFormat="1" ht="96" x14ac:dyDescent="0.25">
      <c r="A96" s="1466" t="str">
        <f t="shared" si="1"/>
        <v>5.2</v>
      </c>
      <c r="B96" s="1437" t="s">
        <v>1301</v>
      </c>
      <c r="C96" s="1437" t="s">
        <v>1156</v>
      </c>
      <c r="D96" s="1447" t="s">
        <v>39</v>
      </c>
      <c r="E96" s="1448">
        <v>5</v>
      </c>
      <c r="F96" s="1982"/>
      <c r="G96" s="1449">
        <f>ROUND(E96*F96,2)</f>
        <v>0</v>
      </c>
    </row>
    <row r="97" spans="1:7" s="1422" customFormat="1" x14ac:dyDescent="0.25">
      <c r="A97" s="1466"/>
      <c r="B97" s="1437"/>
      <c r="C97" s="1437"/>
      <c r="D97" s="1447"/>
      <c r="E97" s="1448"/>
      <c r="F97" s="1982"/>
      <c r="G97" s="1449"/>
    </row>
    <row r="98" spans="1:7" s="1422" customFormat="1" ht="24" x14ac:dyDescent="0.25">
      <c r="A98" s="1466" t="str">
        <f t="shared" si="1"/>
        <v>5.2</v>
      </c>
      <c r="B98" s="1437" t="s">
        <v>1284</v>
      </c>
      <c r="C98" s="1437" t="s">
        <v>1157</v>
      </c>
      <c r="D98" s="1447" t="s">
        <v>39</v>
      </c>
      <c r="E98" s="1448">
        <v>1</v>
      </c>
      <c r="F98" s="1982"/>
      <c r="G98" s="1449">
        <f>ROUND(E98*F98,2)</f>
        <v>0</v>
      </c>
    </row>
    <row r="99" spans="1:7" s="1422" customFormat="1" x14ac:dyDescent="0.25">
      <c r="A99" s="1466"/>
      <c r="B99" s="1437"/>
      <c r="C99" s="1437"/>
      <c r="D99" s="1447"/>
      <c r="E99" s="1448"/>
      <c r="F99" s="1982"/>
      <c r="G99" s="1449"/>
    </row>
    <row r="100" spans="1:7" s="1422" customFormat="1" ht="24" x14ac:dyDescent="0.25">
      <c r="A100" s="1466" t="str">
        <f t="shared" si="1"/>
        <v>5.2</v>
      </c>
      <c r="B100" s="1437" t="s">
        <v>1283</v>
      </c>
      <c r="C100" s="1437" t="s">
        <v>1158</v>
      </c>
      <c r="D100" s="1447" t="s">
        <v>39</v>
      </c>
      <c r="E100" s="1448">
        <v>2</v>
      </c>
      <c r="F100" s="1982"/>
      <c r="G100" s="1449">
        <f>ROUND(E100*F100,2)</f>
        <v>0</v>
      </c>
    </row>
    <row r="101" spans="1:7" s="1422" customFormat="1" x14ac:dyDescent="0.25">
      <c r="A101" s="1466"/>
      <c r="B101" s="1437"/>
      <c r="C101" s="1437"/>
      <c r="D101" s="1447"/>
      <c r="E101" s="1448"/>
      <c r="F101" s="1982"/>
      <c r="G101" s="1449"/>
    </row>
    <row r="102" spans="1:7" s="1422" customFormat="1" ht="48" x14ac:dyDescent="0.25">
      <c r="A102" s="1466" t="str">
        <f t="shared" si="1"/>
        <v>5.2</v>
      </c>
      <c r="B102" s="1437" t="s">
        <v>1282</v>
      </c>
      <c r="C102" s="1437" t="s">
        <v>1159</v>
      </c>
      <c r="D102" s="1447" t="s">
        <v>39</v>
      </c>
      <c r="E102" s="1448">
        <v>8</v>
      </c>
      <c r="F102" s="1982"/>
      <c r="G102" s="1449">
        <f>ROUND(E102*F102,2)</f>
        <v>0</v>
      </c>
    </row>
    <row r="103" spans="1:7" s="1422" customFormat="1" x14ac:dyDescent="0.25">
      <c r="A103" s="1466"/>
      <c r="B103" s="1437"/>
      <c r="C103" s="1437"/>
      <c r="D103" s="1447"/>
      <c r="E103" s="1448"/>
      <c r="F103" s="1982"/>
      <c r="G103" s="1449"/>
    </row>
    <row r="104" spans="1:7" s="1422" customFormat="1" ht="48" x14ac:dyDescent="0.25">
      <c r="A104" s="1466" t="str">
        <f t="shared" si="1"/>
        <v>5.2</v>
      </c>
      <c r="B104" s="1437" t="s">
        <v>1281</v>
      </c>
      <c r="C104" s="1437" t="s">
        <v>1160</v>
      </c>
      <c r="D104" s="1447" t="s">
        <v>39</v>
      </c>
      <c r="E104" s="1448">
        <v>12</v>
      </c>
      <c r="F104" s="1982"/>
      <c r="G104" s="1449">
        <f>ROUND(E104*F104,2)</f>
        <v>0</v>
      </c>
    </row>
    <row r="105" spans="1:7" s="1422" customFormat="1" x14ac:dyDescent="0.25">
      <c r="A105" s="1466"/>
      <c r="B105" s="1437"/>
      <c r="C105" s="1437"/>
      <c r="D105" s="1447"/>
      <c r="E105" s="1448"/>
      <c r="F105" s="1982"/>
      <c r="G105" s="1449">
        <f>ROUND(E105*F105,2)</f>
        <v>0</v>
      </c>
    </row>
    <row r="106" spans="1:7" s="1422" customFormat="1" ht="24" x14ac:dyDescent="0.25">
      <c r="A106" s="1466" t="str">
        <f t="shared" si="1"/>
        <v>5.2</v>
      </c>
      <c r="B106" s="1437" t="s">
        <v>1300</v>
      </c>
      <c r="C106" s="1437" t="s">
        <v>1161</v>
      </c>
      <c r="D106" s="1447" t="s">
        <v>39</v>
      </c>
      <c r="E106" s="1448">
        <v>10</v>
      </c>
      <c r="F106" s="1982"/>
      <c r="G106" s="1449">
        <f>ROUND(E106*F106,2)</f>
        <v>0</v>
      </c>
    </row>
    <row r="107" spans="1:7" s="1422" customFormat="1" x14ac:dyDescent="0.25">
      <c r="A107" s="1466"/>
      <c r="B107" s="1437"/>
      <c r="C107" s="1437"/>
      <c r="D107" s="1447"/>
      <c r="E107" s="1448"/>
      <c r="F107" s="1982"/>
      <c r="G107" s="1449"/>
    </row>
    <row r="108" spans="1:7" s="1422" customFormat="1" ht="24" x14ac:dyDescent="0.25">
      <c r="A108" s="1466" t="str">
        <f t="shared" si="1"/>
        <v>5.2</v>
      </c>
      <c r="B108" s="1437" t="s">
        <v>1299</v>
      </c>
      <c r="C108" s="1437" t="s">
        <v>1162</v>
      </c>
      <c r="D108" s="1447" t="s">
        <v>39</v>
      </c>
      <c r="E108" s="1448">
        <v>35</v>
      </c>
      <c r="F108" s="1982"/>
      <c r="G108" s="1449">
        <f>ROUND(E108*F108,2)</f>
        <v>0</v>
      </c>
    </row>
    <row r="109" spans="1:7" s="1422" customFormat="1" x14ac:dyDescent="0.25">
      <c r="A109" s="1466"/>
      <c r="B109" s="1437"/>
      <c r="C109" s="1437"/>
      <c r="D109" s="1447"/>
      <c r="E109" s="1448"/>
      <c r="F109" s="1982"/>
      <c r="G109" s="1449"/>
    </row>
    <row r="110" spans="1:7" s="1422" customFormat="1" ht="36" x14ac:dyDescent="0.25">
      <c r="A110" s="1466" t="str">
        <f t="shared" si="1"/>
        <v>5.2</v>
      </c>
      <c r="B110" s="1437" t="s">
        <v>1298</v>
      </c>
      <c r="C110" s="1437" t="s">
        <v>1163</v>
      </c>
      <c r="D110" s="1447" t="s">
        <v>39</v>
      </c>
      <c r="E110" s="1448">
        <v>5</v>
      </c>
      <c r="F110" s="1982"/>
      <c r="G110" s="1449">
        <f>ROUND(E110*F110,2)</f>
        <v>0</v>
      </c>
    </row>
    <row r="111" spans="1:7" s="1422" customFormat="1" x14ac:dyDescent="0.25">
      <c r="A111" s="1466"/>
      <c r="B111" s="1437"/>
      <c r="C111" s="1437"/>
      <c r="D111" s="1447"/>
      <c r="E111" s="1448"/>
      <c r="F111" s="1982"/>
      <c r="G111" s="1449"/>
    </row>
    <row r="112" spans="1:7" s="1422" customFormat="1" ht="36" x14ac:dyDescent="0.25">
      <c r="A112" s="1466" t="str">
        <f t="shared" si="1"/>
        <v>5.2</v>
      </c>
      <c r="B112" s="1437" t="s">
        <v>1297</v>
      </c>
      <c r="C112" s="1437" t="s">
        <v>1164</v>
      </c>
      <c r="D112" s="1447" t="s">
        <v>39</v>
      </c>
      <c r="E112" s="1448">
        <v>15</v>
      </c>
      <c r="F112" s="1982"/>
      <c r="G112" s="1449">
        <f>ROUND(E112*F112,2)</f>
        <v>0</v>
      </c>
    </row>
    <row r="113" spans="1:7" s="1422" customFormat="1" x14ac:dyDescent="0.25">
      <c r="A113" s="1466"/>
      <c r="B113" s="1437"/>
      <c r="C113" s="1437"/>
      <c r="D113" s="1447"/>
      <c r="E113" s="1448"/>
      <c r="F113" s="1982"/>
      <c r="G113" s="1449"/>
    </row>
    <row r="114" spans="1:7" s="1422" customFormat="1" x14ac:dyDescent="0.25">
      <c r="A114" s="1466" t="str">
        <f t="shared" si="1"/>
        <v>5.2</v>
      </c>
      <c r="B114" s="1437" t="s">
        <v>1296</v>
      </c>
      <c r="C114" s="1437" t="s">
        <v>1165</v>
      </c>
      <c r="D114" s="1447" t="s">
        <v>39</v>
      </c>
      <c r="E114" s="1448">
        <v>10</v>
      </c>
      <c r="F114" s="1982"/>
      <c r="G114" s="1449">
        <f>ROUND(E114*F114,2)</f>
        <v>0</v>
      </c>
    </row>
    <row r="115" spans="1:7" s="1422" customFormat="1" x14ac:dyDescent="0.25">
      <c r="A115" s="1466"/>
      <c r="B115" s="1437"/>
      <c r="C115" s="1437"/>
      <c r="D115" s="1447"/>
      <c r="E115" s="1448"/>
      <c r="F115" s="1982"/>
      <c r="G115" s="1449"/>
    </row>
    <row r="116" spans="1:7" s="1422" customFormat="1" ht="36" x14ac:dyDescent="0.25">
      <c r="A116" s="1466" t="str">
        <f t="shared" si="1"/>
        <v>5.2</v>
      </c>
      <c r="B116" s="1437" t="s">
        <v>1295</v>
      </c>
      <c r="C116" s="1437" t="s">
        <v>1166</v>
      </c>
      <c r="D116" s="1447" t="s">
        <v>58</v>
      </c>
      <c r="E116" s="1448">
        <v>1</v>
      </c>
      <c r="F116" s="1982"/>
      <c r="G116" s="1449">
        <f>ROUND(E116*F116,2)</f>
        <v>0</v>
      </c>
    </row>
    <row r="117" spans="1:7" s="1422" customFormat="1" x14ac:dyDescent="0.25">
      <c r="A117" s="1466"/>
      <c r="B117" s="1437"/>
      <c r="C117" s="1437"/>
      <c r="D117" s="1447"/>
      <c r="E117" s="1448"/>
      <c r="F117" s="1982"/>
      <c r="G117" s="1449"/>
    </row>
    <row r="118" spans="1:7" s="1422" customFormat="1" ht="36" x14ac:dyDescent="0.25">
      <c r="A118" s="1466" t="str">
        <f t="shared" si="1"/>
        <v>5.2</v>
      </c>
      <c r="B118" s="1437" t="s">
        <v>1294</v>
      </c>
      <c r="C118" s="1437" t="s">
        <v>1167</v>
      </c>
      <c r="D118" s="1447" t="s">
        <v>39</v>
      </c>
      <c r="E118" s="1448">
        <v>300</v>
      </c>
      <c r="F118" s="1982"/>
      <c r="G118" s="1449">
        <f>ROUND(E118*F118,2)</f>
        <v>0</v>
      </c>
    </row>
    <row r="119" spans="1:7" s="1422" customFormat="1" x14ac:dyDescent="0.25">
      <c r="A119" s="1466"/>
      <c r="B119" s="1437"/>
      <c r="C119" s="1437"/>
      <c r="D119" s="1447"/>
      <c r="E119" s="1448"/>
      <c r="F119" s="1982"/>
      <c r="G119" s="1449"/>
    </row>
    <row r="120" spans="1:7" s="1422" customFormat="1" ht="60" x14ac:dyDescent="0.25">
      <c r="A120" s="1466" t="str">
        <f t="shared" si="1"/>
        <v>5.2</v>
      </c>
      <c r="B120" s="1437" t="s">
        <v>1293</v>
      </c>
      <c r="C120" s="1437" t="s">
        <v>1168</v>
      </c>
      <c r="D120" s="1447" t="s">
        <v>58</v>
      </c>
      <c r="E120" s="1448">
        <v>1</v>
      </c>
      <c r="F120" s="1982"/>
      <c r="G120" s="1449">
        <f>ROUND(E120*F120,2)</f>
        <v>0</v>
      </c>
    </row>
    <row r="121" spans="1:7" s="1422" customFormat="1" ht="24" x14ac:dyDescent="0.25">
      <c r="A121" s="1466" t="str">
        <f t="shared" si="1"/>
        <v>5.2</v>
      </c>
      <c r="B121" s="1437" t="s">
        <v>1292</v>
      </c>
      <c r="C121" s="1437" t="s">
        <v>1169</v>
      </c>
      <c r="D121" s="1447" t="s">
        <v>58</v>
      </c>
      <c r="E121" s="1448">
        <v>1</v>
      </c>
      <c r="F121" s="1982"/>
      <c r="G121" s="1449">
        <f>ROUND(E121*F121,2)</f>
        <v>0</v>
      </c>
    </row>
    <row r="122" spans="1:7" s="1422" customFormat="1" ht="15" x14ac:dyDescent="0.25">
      <c r="B122" s="861"/>
      <c r="C122" s="1486" t="s">
        <v>1170</v>
      </c>
      <c r="D122" s="863"/>
      <c r="E122" s="863"/>
      <c r="F122" s="853"/>
      <c r="G122" s="1710">
        <f>ROUND(SUM(G68:G121),2)</f>
        <v>0</v>
      </c>
    </row>
    <row r="123" spans="1:7" s="1422" customFormat="1" ht="15" x14ac:dyDescent="0.25">
      <c r="B123" s="861"/>
      <c r="C123" s="1486"/>
      <c r="D123" s="863"/>
      <c r="E123" s="863"/>
      <c r="F123" s="853"/>
      <c r="G123" s="1710"/>
    </row>
    <row r="124" spans="1:7" s="1422" customFormat="1" ht="15" x14ac:dyDescent="0.25">
      <c r="B124" s="1487" t="s">
        <v>1264</v>
      </c>
      <c r="C124" s="1486" t="s">
        <v>1172</v>
      </c>
      <c r="D124" s="1488"/>
      <c r="E124" s="1489"/>
      <c r="F124" s="1484"/>
      <c r="G124" s="1717"/>
    </row>
    <row r="125" spans="1:7" s="1422" customFormat="1" ht="57" x14ac:dyDescent="0.25">
      <c r="A125" s="1490" t="str">
        <f>$B$124</f>
        <v>5.3</v>
      </c>
      <c r="B125" s="1437" t="s">
        <v>1232</v>
      </c>
      <c r="C125" s="1437" t="s">
        <v>1173</v>
      </c>
      <c r="D125" s="1488"/>
      <c r="E125" s="1489"/>
      <c r="F125" s="1484"/>
      <c r="G125" s="1717"/>
    </row>
    <row r="126" spans="1:7" s="1422" customFormat="1" ht="24" x14ac:dyDescent="0.25">
      <c r="B126" s="1491"/>
      <c r="C126" s="1437" t="s">
        <v>1174</v>
      </c>
      <c r="D126" s="1488"/>
      <c r="E126" s="1489"/>
      <c r="F126" s="1484"/>
      <c r="G126" s="1717"/>
    </row>
    <row r="127" spans="1:7" s="1422" customFormat="1" ht="24" x14ac:dyDescent="0.25">
      <c r="B127" s="1491"/>
      <c r="C127" s="1437" t="s">
        <v>1175</v>
      </c>
      <c r="D127" s="1488"/>
      <c r="E127" s="1489"/>
      <c r="F127" s="1484"/>
      <c r="G127" s="1717"/>
    </row>
    <row r="128" spans="1:7" s="1422" customFormat="1" ht="60" x14ac:dyDescent="0.25">
      <c r="B128" s="1491"/>
      <c r="C128" s="1437" t="s">
        <v>1176</v>
      </c>
      <c r="D128" s="1488"/>
      <c r="E128" s="1489"/>
      <c r="F128" s="1484"/>
      <c r="G128" s="1717"/>
    </row>
    <row r="129" spans="2:7" s="1422" customFormat="1" ht="14.25" x14ac:dyDescent="0.25">
      <c r="B129" s="1491"/>
      <c r="C129" s="1437" t="s">
        <v>1177</v>
      </c>
      <c r="D129" s="1488"/>
      <c r="E129" s="1489"/>
      <c r="F129" s="1484"/>
      <c r="G129" s="1717"/>
    </row>
    <row r="130" spans="2:7" s="1422" customFormat="1" ht="48" x14ac:dyDescent="0.25">
      <c r="B130" s="1491"/>
      <c r="C130" s="1437" t="s">
        <v>1178</v>
      </c>
      <c r="D130" s="1488"/>
      <c r="E130" s="1489"/>
      <c r="F130" s="1484"/>
      <c r="G130" s="1717"/>
    </row>
    <row r="131" spans="2:7" s="1422" customFormat="1" ht="36" x14ac:dyDescent="0.25">
      <c r="B131" s="1491"/>
      <c r="C131" s="1437" t="s">
        <v>1179</v>
      </c>
      <c r="D131" s="1488"/>
      <c r="E131" s="1489"/>
      <c r="F131" s="1484"/>
      <c r="G131" s="1717"/>
    </row>
    <row r="132" spans="2:7" s="1422" customFormat="1" ht="24" x14ac:dyDescent="0.25">
      <c r="B132" s="1491"/>
      <c r="C132" s="1437" t="s">
        <v>1180</v>
      </c>
      <c r="D132" s="1488"/>
      <c r="E132" s="1489"/>
      <c r="F132" s="1484"/>
      <c r="G132" s="1717"/>
    </row>
    <row r="133" spans="2:7" s="1422" customFormat="1" ht="26.25" x14ac:dyDescent="0.25">
      <c r="B133" s="1491"/>
      <c r="C133" s="1437" t="s">
        <v>1181</v>
      </c>
      <c r="D133" s="1488"/>
      <c r="E133" s="1489"/>
      <c r="F133" s="1484"/>
      <c r="G133" s="1717"/>
    </row>
    <row r="134" spans="2:7" s="1422" customFormat="1" ht="14.25" x14ac:dyDescent="0.25">
      <c r="B134" s="1491"/>
      <c r="C134" s="1437" t="s">
        <v>1182</v>
      </c>
      <c r="D134" s="1488"/>
      <c r="E134" s="1489"/>
      <c r="F134" s="1484"/>
      <c r="G134" s="1717"/>
    </row>
    <row r="135" spans="2:7" s="1422" customFormat="1" ht="14.25" x14ac:dyDescent="0.25">
      <c r="B135" s="1491"/>
      <c r="C135" s="1437" t="s">
        <v>1183</v>
      </c>
      <c r="D135" s="1488"/>
      <c r="E135" s="1489"/>
      <c r="F135" s="1484"/>
      <c r="G135" s="1717"/>
    </row>
    <row r="136" spans="2:7" s="1422" customFormat="1" ht="24" x14ac:dyDescent="0.25">
      <c r="B136" s="1491"/>
      <c r="C136" s="1437" t="s">
        <v>1184</v>
      </c>
      <c r="D136" s="1488"/>
      <c r="E136" s="1489"/>
      <c r="F136" s="1484"/>
      <c r="G136" s="1717"/>
    </row>
    <row r="137" spans="2:7" s="1422" customFormat="1" ht="14.25" x14ac:dyDescent="0.25">
      <c r="B137" s="1491"/>
      <c r="C137" s="1437" t="s">
        <v>1185</v>
      </c>
      <c r="D137" s="1488"/>
      <c r="E137" s="1489"/>
      <c r="F137" s="1484"/>
      <c r="G137" s="1717"/>
    </row>
    <row r="138" spans="2:7" s="1422" customFormat="1" ht="14.25" x14ac:dyDescent="0.25">
      <c r="B138" s="1491"/>
      <c r="C138" s="1437" t="s">
        <v>1186</v>
      </c>
      <c r="D138" s="1488"/>
      <c r="E138" s="1489"/>
      <c r="F138" s="1484"/>
      <c r="G138" s="1717"/>
    </row>
    <row r="139" spans="2:7" s="1422" customFormat="1" ht="14.25" x14ac:dyDescent="0.25">
      <c r="B139" s="1491"/>
      <c r="C139" s="1437" t="s">
        <v>1187</v>
      </c>
      <c r="D139" s="1488"/>
      <c r="E139" s="1489"/>
      <c r="F139" s="1484"/>
      <c r="G139" s="1717"/>
    </row>
    <row r="140" spans="2:7" s="1422" customFormat="1" ht="14.25" x14ac:dyDescent="0.25">
      <c r="B140" s="1491"/>
      <c r="C140" s="1437" t="s">
        <v>1188</v>
      </c>
      <c r="D140" s="1488"/>
      <c r="E140" s="1489"/>
      <c r="F140" s="1484"/>
      <c r="G140" s="1717"/>
    </row>
    <row r="141" spans="2:7" s="1422" customFormat="1" ht="14.25" x14ac:dyDescent="0.25">
      <c r="B141" s="1491"/>
      <c r="C141" s="1437" t="s">
        <v>1189</v>
      </c>
      <c r="D141" s="1488"/>
      <c r="E141" s="1489"/>
      <c r="F141" s="1484"/>
      <c r="G141" s="1717"/>
    </row>
    <row r="142" spans="2:7" s="1422" customFormat="1" ht="14.25" x14ac:dyDescent="0.25">
      <c r="B142" s="1491"/>
      <c r="C142" s="1437" t="s">
        <v>1190</v>
      </c>
      <c r="D142" s="1488"/>
      <c r="E142" s="1489"/>
      <c r="F142" s="1484"/>
      <c r="G142" s="1717"/>
    </row>
    <row r="143" spans="2:7" s="1422" customFormat="1" ht="14.25" x14ac:dyDescent="0.25">
      <c r="B143" s="1491"/>
      <c r="C143" s="1492"/>
      <c r="D143" s="1488"/>
      <c r="E143" s="1489"/>
      <c r="F143" s="1484"/>
      <c r="G143" s="1717"/>
    </row>
    <row r="144" spans="2:7" s="1422" customFormat="1" ht="30" x14ac:dyDescent="0.25">
      <c r="B144" s="1491"/>
      <c r="C144" s="869" t="s">
        <v>1191</v>
      </c>
      <c r="D144" s="1488"/>
      <c r="E144" s="1489"/>
      <c r="F144" s="1484"/>
      <c r="G144" s="1717"/>
    </row>
    <row r="145" spans="1:7" s="1422" customFormat="1" ht="24" x14ac:dyDescent="0.25">
      <c r="A145" s="1490" t="str">
        <f>$B$124</f>
        <v>5.3</v>
      </c>
      <c r="B145" s="1437" t="s">
        <v>1234</v>
      </c>
      <c r="C145" s="1437" t="s">
        <v>1291</v>
      </c>
      <c r="D145" s="1447" t="s">
        <v>39</v>
      </c>
      <c r="E145" s="1448">
        <v>1</v>
      </c>
      <c r="F145" s="1982"/>
      <c r="G145" s="1449">
        <f>ROUND(E145*F145,2)</f>
        <v>0</v>
      </c>
    </row>
    <row r="146" spans="1:7" s="1422" customFormat="1" ht="12" x14ac:dyDescent="0.25">
      <c r="A146" s="1490"/>
      <c r="B146" s="1437"/>
      <c r="C146" s="1437"/>
      <c r="D146" s="1447"/>
      <c r="E146" s="1448"/>
      <c r="F146" s="1982"/>
      <c r="G146" s="1449"/>
    </row>
    <row r="147" spans="1:7" s="1422" customFormat="1" ht="36" x14ac:dyDescent="0.25">
      <c r="A147" s="1490" t="str">
        <f>$B$124</f>
        <v>5.3</v>
      </c>
      <c r="B147" s="1437" t="s">
        <v>1236</v>
      </c>
      <c r="C147" s="1437" t="s">
        <v>1193</v>
      </c>
      <c r="D147" s="1447" t="s">
        <v>39</v>
      </c>
      <c r="E147" s="1448">
        <v>1</v>
      </c>
      <c r="F147" s="1982"/>
      <c r="G147" s="1449">
        <f>ROUND(E147*F147,2)</f>
        <v>0</v>
      </c>
    </row>
    <row r="148" spans="1:7" s="1422" customFormat="1" ht="12" x14ac:dyDescent="0.25">
      <c r="A148" s="1490"/>
      <c r="B148" s="1437"/>
      <c r="C148" s="1437"/>
      <c r="D148" s="1447"/>
      <c r="E148" s="1448"/>
      <c r="F148" s="1982"/>
      <c r="G148" s="1449"/>
    </row>
    <row r="149" spans="1:7" s="1422" customFormat="1" ht="36" x14ac:dyDescent="0.25">
      <c r="A149" s="1490" t="str">
        <f>$B$124</f>
        <v>5.3</v>
      </c>
      <c r="B149" s="1437" t="s">
        <v>4</v>
      </c>
      <c r="C149" s="1437" t="s">
        <v>1194</v>
      </c>
      <c r="D149" s="1447" t="s">
        <v>39</v>
      </c>
      <c r="E149" s="1448">
        <v>1</v>
      </c>
      <c r="F149" s="1982"/>
      <c r="G149" s="1449">
        <f>ROUND(E149*F149,2)</f>
        <v>0</v>
      </c>
    </row>
    <row r="150" spans="1:7" s="1422" customFormat="1" ht="12" x14ac:dyDescent="0.25">
      <c r="A150" s="1490"/>
      <c r="B150" s="1437"/>
      <c r="C150" s="1437"/>
      <c r="D150" s="1447"/>
      <c r="E150" s="1448"/>
      <c r="F150" s="1982"/>
      <c r="G150" s="1449"/>
    </row>
    <row r="151" spans="1:7" s="1422" customFormat="1" ht="36" x14ac:dyDescent="0.25">
      <c r="A151" s="1490" t="str">
        <f>$B$124</f>
        <v>5.3</v>
      </c>
      <c r="B151" s="1437" t="s">
        <v>5</v>
      </c>
      <c r="C151" s="1437" t="s">
        <v>1195</v>
      </c>
      <c r="D151" s="1447" t="s">
        <v>39</v>
      </c>
      <c r="E151" s="1448">
        <v>2</v>
      </c>
      <c r="F151" s="1982"/>
      <c r="G151" s="1449">
        <f>ROUND(E151*F151,2)</f>
        <v>0</v>
      </c>
    </row>
    <row r="152" spans="1:7" s="1422" customFormat="1" ht="12" x14ac:dyDescent="0.25">
      <c r="A152" s="1490"/>
      <c r="B152" s="1437"/>
      <c r="C152" s="1437"/>
      <c r="D152" s="1447"/>
      <c r="E152" s="1448"/>
      <c r="F152" s="1982"/>
      <c r="G152" s="1449"/>
    </row>
    <row r="153" spans="1:7" s="1422" customFormat="1" ht="36" x14ac:dyDescent="0.25">
      <c r="A153" s="1490" t="str">
        <f>$B$124</f>
        <v>5.3</v>
      </c>
      <c r="B153" s="1437" t="s">
        <v>6</v>
      </c>
      <c r="C153" s="1437" t="s">
        <v>1290</v>
      </c>
      <c r="D153" s="1447" t="s">
        <v>39</v>
      </c>
      <c r="E153" s="1448">
        <v>2</v>
      </c>
      <c r="F153" s="1982"/>
      <c r="G153" s="1449">
        <f>ROUND(E153*F153,2)</f>
        <v>0</v>
      </c>
    </row>
    <row r="154" spans="1:7" s="1422" customFormat="1" ht="12" x14ac:dyDescent="0.25">
      <c r="A154" s="1490"/>
      <c r="B154" s="1437"/>
      <c r="C154" s="1437"/>
      <c r="D154" s="1447"/>
      <c r="E154" s="1448"/>
      <c r="F154" s="1982"/>
      <c r="G154" s="1449"/>
    </row>
    <row r="155" spans="1:7" s="1422" customFormat="1" ht="36" x14ac:dyDescent="0.25">
      <c r="A155" s="1490" t="str">
        <f>$B$124</f>
        <v>5.3</v>
      </c>
      <c r="B155" s="1437" t="s">
        <v>7</v>
      </c>
      <c r="C155" s="1437" t="s">
        <v>1197</v>
      </c>
      <c r="D155" s="1447" t="s">
        <v>39</v>
      </c>
      <c r="E155" s="1448">
        <v>2</v>
      </c>
      <c r="F155" s="1982"/>
      <c r="G155" s="1449">
        <f>ROUND(E155*F155,2)</f>
        <v>0</v>
      </c>
    </row>
    <row r="156" spans="1:7" s="1422" customFormat="1" ht="12" x14ac:dyDescent="0.25">
      <c r="A156" s="1490"/>
      <c r="B156" s="1437"/>
      <c r="C156" s="1437"/>
      <c r="D156" s="1447"/>
      <c r="E156" s="1448"/>
      <c r="F156" s="1982"/>
      <c r="G156" s="1449"/>
    </row>
    <row r="157" spans="1:7" s="1422" customFormat="1" ht="48" x14ac:dyDescent="0.25">
      <c r="A157" s="1490" t="str">
        <f>$B$124</f>
        <v>5.3</v>
      </c>
      <c r="B157" s="1437" t="s">
        <v>1274</v>
      </c>
      <c r="C157" s="1437" t="s">
        <v>1198</v>
      </c>
      <c r="D157" s="1447" t="s">
        <v>39</v>
      </c>
      <c r="E157" s="1448">
        <v>1</v>
      </c>
      <c r="F157" s="1982"/>
      <c r="G157" s="1449">
        <f>ROUND(E157*F157,2)</f>
        <v>0</v>
      </c>
    </row>
    <row r="158" spans="1:7" s="1422" customFormat="1" ht="12" x14ac:dyDescent="0.25">
      <c r="A158" s="1490"/>
      <c r="B158" s="1437"/>
      <c r="C158" s="1437"/>
      <c r="D158" s="1447"/>
      <c r="E158" s="1448"/>
      <c r="F158" s="1982"/>
      <c r="G158" s="1449"/>
    </row>
    <row r="159" spans="1:7" s="1422" customFormat="1" ht="36" x14ac:dyDescent="0.25">
      <c r="A159" s="1490" t="str">
        <f>$B$124</f>
        <v>5.3</v>
      </c>
      <c r="B159" s="1437" t="s">
        <v>1272</v>
      </c>
      <c r="C159" s="1437" t="s">
        <v>1289</v>
      </c>
      <c r="D159" s="1447" t="s">
        <v>58</v>
      </c>
      <c r="E159" s="1448">
        <v>1</v>
      </c>
      <c r="F159" s="1982"/>
      <c r="G159" s="1449">
        <f>ROUND(E159*F159,2)</f>
        <v>0</v>
      </c>
    </row>
    <row r="160" spans="1:7" s="1422" customFormat="1" ht="12" x14ac:dyDescent="0.25">
      <c r="A160" s="1490"/>
      <c r="B160" s="1437"/>
      <c r="C160" s="1437"/>
      <c r="D160" s="1447"/>
      <c r="E160" s="1448"/>
      <c r="F160" s="1982"/>
      <c r="G160" s="1449"/>
    </row>
    <row r="161" spans="1:7" s="1422" customFormat="1" ht="84" x14ac:dyDescent="0.25">
      <c r="A161" s="1490" t="str">
        <f>$B$124</f>
        <v>5.3</v>
      </c>
      <c r="B161" s="1437" t="s">
        <v>1288</v>
      </c>
      <c r="C161" s="1437" t="s">
        <v>1200</v>
      </c>
      <c r="D161" s="1447" t="s">
        <v>58</v>
      </c>
      <c r="E161" s="1448">
        <v>1</v>
      </c>
      <c r="F161" s="1982"/>
      <c r="G161" s="1449">
        <f>ROUND(E161*F161,2)</f>
        <v>0</v>
      </c>
    </row>
    <row r="162" spans="1:7" s="1422" customFormat="1" ht="12" x14ac:dyDescent="0.25">
      <c r="A162" s="1490"/>
      <c r="B162" s="1437"/>
      <c r="C162" s="1437"/>
      <c r="D162" s="1447"/>
      <c r="E162" s="1448"/>
      <c r="F162" s="1982"/>
      <c r="G162" s="1449"/>
    </row>
    <row r="163" spans="1:7" s="1422" customFormat="1" ht="36" x14ac:dyDescent="0.25">
      <c r="A163" s="1490" t="str">
        <f>$B$124</f>
        <v>5.3</v>
      </c>
      <c r="B163" s="1437" t="s">
        <v>1270</v>
      </c>
      <c r="C163" s="1437" t="s">
        <v>1201</v>
      </c>
      <c r="D163" s="1447" t="s">
        <v>58</v>
      </c>
      <c r="E163" s="1448">
        <v>1</v>
      </c>
      <c r="F163" s="1982"/>
      <c r="G163" s="1449">
        <f>ROUND(E163*F163,2)</f>
        <v>0</v>
      </c>
    </row>
    <row r="164" spans="1:7" s="1422" customFormat="1" ht="12" x14ac:dyDescent="0.25">
      <c r="A164" s="1490"/>
      <c r="B164" s="1437"/>
      <c r="C164" s="1437"/>
      <c r="D164" s="1447"/>
      <c r="E164" s="1448"/>
      <c r="F164" s="1982"/>
      <c r="G164" s="1449"/>
    </row>
    <row r="165" spans="1:7" s="1422" customFormat="1" ht="48" x14ac:dyDescent="0.25">
      <c r="A165" s="1490" t="str">
        <f>$B$124</f>
        <v>5.3</v>
      </c>
      <c r="B165" s="1437" t="s">
        <v>1287</v>
      </c>
      <c r="C165" s="1437" t="s">
        <v>1202</v>
      </c>
      <c r="D165" s="1447" t="s">
        <v>58</v>
      </c>
      <c r="E165" s="1448">
        <v>1</v>
      </c>
      <c r="F165" s="1982"/>
      <c r="G165" s="1449">
        <f>ROUND(E165*F165,2)</f>
        <v>0</v>
      </c>
    </row>
    <row r="166" spans="1:7" s="1422" customFormat="1" ht="12" x14ac:dyDescent="0.25">
      <c r="A166" s="1490"/>
      <c r="B166" s="1437"/>
      <c r="C166" s="1437"/>
      <c r="D166" s="1447"/>
      <c r="E166" s="1448"/>
      <c r="F166" s="1982"/>
      <c r="G166" s="1449"/>
    </row>
    <row r="167" spans="1:7" s="1422" customFormat="1" ht="24" x14ac:dyDescent="0.25">
      <c r="A167" s="1490" t="str">
        <f>$B$124</f>
        <v>5.3</v>
      </c>
      <c r="B167" s="1437" t="s">
        <v>1286</v>
      </c>
      <c r="C167" s="1437" t="s">
        <v>1203</v>
      </c>
      <c r="D167" s="1447" t="s">
        <v>58</v>
      </c>
      <c r="E167" s="1448">
        <v>1</v>
      </c>
      <c r="F167" s="1982"/>
      <c r="G167" s="1449">
        <f>ROUND(E167*F167,2)</f>
        <v>0</v>
      </c>
    </row>
    <row r="168" spans="1:7" s="1422" customFormat="1" ht="12" x14ac:dyDescent="0.25">
      <c r="A168" s="1490"/>
      <c r="B168" s="1437"/>
      <c r="C168" s="1437"/>
      <c r="D168" s="1447"/>
      <c r="E168" s="1448"/>
      <c r="F168" s="1982"/>
      <c r="G168" s="1449"/>
    </row>
    <row r="169" spans="1:7" s="1422" customFormat="1" ht="24" x14ac:dyDescent="0.25">
      <c r="A169" s="1490" t="str">
        <f>$B$124</f>
        <v>5.3</v>
      </c>
      <c r="B169" s="1437" t="s">
        <v>1285</v>
      </c>
      <c r="C169" s="1437" t="s">
        <v>1204</v>
      </c>
      <c r="D169" s="1447" t="s">
        <v>58</v>
      </c>
      <c r="E169" s="1448">
        <v>1</v>
      </c>
      <c r="F169" s="1982"/>
      <c r="G169" s="1449">
        <f>ROUND(E169*F169,2)</f>
        <v>0</v>
      </c>
    </row>
    <row r="170" spans="1:7" s="1422" customFormat="1" ht="14.25" x14ac:dyDescent="0.25">
      <c r="B170" s="1437"/>
      <c r="C170" s="1493"/>
      <c r="D170" s="1447"/>
      <c r="E170" s="1448"/>
      <c r="F170" s="1982"/>
      <c r="G170" s="1449"/>
    </row>
    <row r="171" spans="1:7" s="1422" customFormat="1" ht="15" x14ac:dyDescent="0.25">
      <c r="A171" s="1490" t="str">
        <f>$B$124</f>
        <v>5.3</v>
      </c>
      <c r="B171" s="1437" t="s">
        <v>1284</v>
      </c>
      <c r="C171" s="1494" t="s">
        <v>1205</v>
      </c>
      <c r="D171" s="1447"/>
      <c r="E171" s="1448"/>
      <c r="F171" s="1982"/>
      <c r="G171" s="1449"/>
    </row>
    <row r="172" spans="1:7" s="1422" customFormat="1" ht="12" x14ac:dyDescent="0.25">
      <c r="A172" s="1490" t="str">
        <f>$B$124</f>
        <v>5.3</v>
      </c>
      <c r="B172" s="1437" t="s">
        <v>1283</v>
      </c>
      <c r="C172" s="1437" t="s">
        <v>1226</v>
      </c>
      <c r="D172" s="1447" t="s">
        <v>39</v>
      </c>
      <c r="E172" s="1448">
        <v>1</v>
      </c>
      <c r="F172" s="1982"/>
      <c r="G172" s="1449">
        <f>ROUND(E172*F172,2)</f>
        <v>0</v>
      </c>
    </row>
    <row r="173" spans="1:7" s="1422" customFormat="1" ht="12" x14ac:dyDescent="0.25">
      <c r="A173" s="1490"/>
      <c r="B173" s="1437"/>
      <c r="C173" s="1437"/>
      <c r="D173" s="1447"/>
      <c r="E173" s="1448"/>
      <c r="F173" s="1982"/>
      <c r="G173" s="1449"/>
    </row>
    <row r="174" spans="1:7" s="1422" customFormat="1" ht="24" x14ac:dyDescent="0.25">
      <c r="A174" s="1490" t="str">
        <f>$B$124</f>
        <v>5.3</v>
      </c>
      <c r="B174" s="1437" t="s">
        <v>1282</v>
      </c>
      <c r="C174" s="1437" t="s">
        <v>1227</v>
      </c>
      <c r="D174" s="1447" t="s">
        <v>39</v>
      </c>
      <c r="E174" s="1448">
        <v>1</v>
      </c>
      <c r="F174" s="1982"/>
      <c r="G174" s="1449">
        <f>ROUND(E174*F174,2)</f>
        <v>0</v>
      </c>
    </row>
    <row r="175" spans="1:7" s="1422" customFormat="1" ht="12" x14ac:dyDescent="0.25">
      <c r="A175" s="1490"/>
      <c r="B175" s="1437"/>
      <c r="C175" s="1437"/>
      <c r="D175" s="1447"/>
      <c r="E175" s="1448"/>
      <c r="F175" s="1982"/>
      <c r="G175" s="1449"/>
    </row>
    <row r="176" spans="1:7" s="1422" customFormat="1" ht="12" x14ac:dyDescent="0.25">
      <c r="A176" s="1490" t="str">
        <f>$B$124</f>
        <v>5.3</v>
      </c>
      <c r="B176" s="1437" t="s">
        <v>1281</v>
      </c>
      <c r="C176" s="1437" t="s">
        <v>1228</v>
      </c>
      <c r="D176" s="1447" t="s">
        <v>58</v>
      </c>
      <c r="E176" s="1448">
        <v>1</v>
      </c>
      <c r="F176" s="1982"/>
      <c r="G176" s="1449">
        <f>ROUND(E176*F176,2)</f>
        <v>0</v>
      </c>
    </row>
    <row r="177" spans="1:7" s="1422" customFormat="1" ht="15" x14ac:dyDescent="0.25">
      <c r="B177" s="1437"/>
      <c r="C177" s="1495" t="s">
        <v>1229</v>
      </c>
      <c r="D177" s="863"/>
      <c r="E177" s="863"/>
      <c r="F177" s="853"/>
      <c r="G177" s="1710">
        <f>ROUND(SUM(G145:G176),2)</f>
        <v>0</v>
      </c>
    </row>
    <row r="178" spans="1:7" s="1422" customFormat="1" ht="15" x14ac:dyDescent="0.25">
      <c r="B178" s="861"/>
      <c r="C178" s="1486"/>
      <c r="D178" s="863"/>
      <c r="E178" s="863"/>
      <c r="F178" s="853"/>
      <c r="G178" s="1715" t="str">
        <f>IF(F178="","",F178*E178)</f>
        <v/>
      </c>
    </row>
    <row r="179" spans="1:7" s="1422" customFormat="1" ht="15" x14ac:dyDescent="0.25">
      <c r="B179" s="1487" t="s">
        <v>1263</v>
      </c>
      <c r="C179" s="1486" t="s">
        <v>1280</v>
      </c>
      <c r="D179" s="1488"/>
      <c r="E179" s="1489"/>
      <c r="F179" s="1484"/>
      <c r="G179" s="1715" t="str">
        <f>IF(F179="","",F179*E179)</f>
        <v/>
      </c>
    </row>
    <row r="180" spans="1:7" s="1422" customFormat="1" ht="36" x14ac:dyDescent="0.25">
      <c r="A180" s="1490" t="str">
        <f>$B$179</f>
        <v>5.4</v>
      </c>
      <c r="B180" s="1437" t="s">
        <v>1232</v>
      </c>
      <c r="C180" s="1437" t="s">
        <v>1279</v>
      </c>
      <c r="D180" s="1447" t="s">
        <v>39</v>
      </c>
      <c r="E180" s="1448">
        <v>1</v>
      </c>
      <c r="F180" s="1982"/>
      <c r="G180" s="1449">
        <f>ROUND(E180*F180,2)</f>
        <v>0</v>
      </c>
    </row>
    <row r="181" spans="1:7" s="1422" customFormat="1" ht="12" x14ac:dyDescent="0.25">
      <c r="A181" s="1490"/>
      <c r="B181" s="1437"/>
      <c r="C181" s="1437"/>
      <c r="D181" s="1447"/>
      <c r="E181" s="1448"/>
      <c r="F181" s="1982"/>
      <c r="G181" s="1449"/>
    </row>
    <row r="182" spans="1:7" s="1422" customFormat="1" ht="60" x14ac:dyDescent="0.25">
      <c r="A182" s="1490" t="str">
        <f>$B$179</f>
        <v>5.4</v>
      </c>
      <c r="B182" s="1437" t="s">
        <v>1234</v>
      </c>
      <c r="C182" s="1437" t="s">
        <v>1278</v>
      </c>
      <c r="D182" s="1447" t="s">
        <v>39</v>
      </c>
      <c r="E182" s="1448">
        <v>2</v>
      </c>
      <c r="F182" s="1982"/>
      <c r="G182" s="1449">
        <f>ROUND(E182*F182,2)</f>
        <v>0</v>
      </c>
    </row>
    <row r="183" spans="1:7" s="1422" customFormat="1" ht="12" x14ac:dyDescent="0.25">
      <c r="A183" s="1490"/>
      <c r="B183" s="1437"/>
      <c r="C183" s="1437"/>
      <c r="D183" s="1447"/>
      <c r="E183" s="1448"/>
      <c r="F183" s="1982"/>
      <c r="G183" s="1449"/>
    </row>
    <row r="184" spans="1:7" s="1422" customFormat="1" ht="36" x14ac:dyDescent="0.25">
      <c r="A184" s="1490" t="str">
        <f>$B$179</f>
        <v>5.4</v>
      </c>
      <c r="B184" s="1437" t="s">
        <v>1236</v>
      </c>
      <c r="C184" s="1437" t="s">
        <v>1233</v>
      </c>
      <c r="D184" s="1447" t="s">
        <v>39</v>
      </c>
      <c r="E184" s="1448">
        <v>1</v>
      </c>
      <c r="F184" s="1982"/>
      <c r="G184" s="1449">
        <f>ROUND(E184*F184,2)</f>
        <v>0</v>
      </c>
    </row>
    <row r="185" spans="1:7" s="1422" customFormat="1" ht="12" x14ac:dyDescent="0.25">
      <c r="A185" s="1490"/>
      <c r="B185" s="1437"/>
      <c r="C185" s="1437"/>
      <c r="D185" s="1447"/>
      <c r="E185" s="1448"/>
      <c r="F185" s="1982"/>
      <c r="G185" s="1449"/>
    </row>
    <row r="186" spans="1:7" s="1422" customFormat="1" ht="12" x14ac:dyDescent="0.25">
      <c r="A186" s="1490" t="str">
        <f>$B$179</f>
        <v>5.4</v>
      </c>
      <c r="B186" s="1437" t="s">
        <v>4</v>
      </c>
      <c r="C186" s="1437" t="s">
        <v>1235</v>
      </c>
      <c r="D186" s="1447" t="s">
        <v>39</v>
      </c>
      <c r="E186" s="1448">
        <v>10</v>
      </c>
      <c r="F186" s="1982"/>
      <c r="G186" s="1449">
        <f>ROUND(E186*F186,2)</f>
        <v>0</v>
      </c>
    </row>
    <row r="187" spans="1:7" s="1422" customFormat="1" ht="12" x14ac:dyDescent="0.25">
      <c r="A187" s="1490"/>
      <c r="B187" s="1437"/>
      <c r="C187" s="1437"/>
      <c r="D187" s="1447"/>
      <c r="E187" s="1448"/>
      <c r="F187" s="1982"/>
      <c r="G187" s="1449"/>
    </row>
    <row r="188" spans="1:7" s="1422" customFormat="1" ht="12" x14ac:dyDescent="0.25">
      <c r="A188" s="1490" t="str">
        <f>$B$179</f>
        <v>5.4</v>
      </c>
      <c r="B188" s="1437" t="s">
        <v>5</v>
      </c>
      <c r="C188" s="1437" t="s">
        <v>1277</v>
      </c>
      <c r="D188" s="1447"/>
      <c r="E188" s="1448"/>
      <c r="F188" s="1982"/>
      <c r="G188" s="1449"/>
    </row>
    <row r="189" spans="1:7" s="1422" customFormat="1" ht="12" x14ac:dyDescent="0.25">
      <c r="A189" s="1490"/>
      <c r="B189" s="1437"/>
      <c r="C189" s="1437"/>
      <c r="D189" s="1447"/>
      <c r="E189" s="1448"/>
      <c r="F189" s="1982"/>
      <c r="G189" s="1449"/>
    </row>
    <row r="190" spans="1:7" s="1422" customFormat="1" ht="96" x14ac:dyDescent="0.25">
      <c r="A190" s="1490" t="str">
        <f>$B$179</f>
        <v>5.4</v>
      </c>
      <c r="B190" s="1437" t="s">
        <v>6</v>
      </c>
      <c r="C190" s="1437" t="s">
        <v>1276</v>
      </c>
      <c r="D190" s="1447" t="s">
        <v>58</v>
      </c>
      <c r="E190" s="1448">
        <v>1</v>
      </c>
      <c r="F190" s="1982"/>
      <c r="G190" s="1449">
        <f>ROUND(E190*F190,2)</f>
        <v>0</v>
      </c>
    </row>
    <row r="191" spans="1:7" s="1422" customFormat="1" ht="12" x14ac:dyDescent="0.25">
      <c r="A191" s="1490"/>
      <c r="B191" s="1437"/>
      <c r="C191" s="1437"/>
      <c r="D191" s="1447"/>
      <c r="E191" s="1448"/>
      <c r="F191" s="1982"/>
      <c r="G191" s="1449"/>
    </row>
    <row r="192" spans="1:7" s="1422" customFormat="1" ht="12" x14ac:dyDescent="0.25">
      <c r="A192" s="1490" t="str">
        <f>$B$179</f>
        <v>5.4</v>
      </c>
      <c r="B192" s="1437" t="s">
        <v>7</v>
      </c>
      <c r="C192" s="1437" t="s">
        <v>1275</v>
      </c>
      <c r="D192" s="1447" t="s">
        <v>65</v>
      </c>
      <c r="E192" s="1448">
        <v>15</v>
      </c>
      <c r="F192" s="1982"/>
      <c r="G192" s="1449">
        <f>ROUND(E192*F192,2)</f>
        <v>0</v>
      </c>
    </row>
    <row r="193" spans="1:7" s="1422" customFormat="1" ht="12" x14ac:dyDescent="0.25">
      <c r="A193" s="1490"/>
      <c r="B193" s="1437"/>
      <c r="C193" s="1437"/>
      <c r="D193" s="1447"/>
      <c r="E193" s="1448"/>
      <c r="F193" s="1982"/>
      <c r="G193" s="1449"/>
    </row>
    <row r="194" spans="1:7" s="1422" customFormat="1" ht="12" x14ac:dyDescent="0.25">
      <c r="A194" s="1490" t="str">
        <f>$B$179</f>
        <v>5.4</v>
      </c>
      <c r="B194" s="1437" t="s">
        <v>1274</v>
      </c>
      <c r="C194" s="1437" t="s">
        <v>1273</v>
      </c>
      <c r="D194" s="1447" t="s">
        <v>65</v>
      </c>
      <c r="E194" s="1448">
        <v>15</v>
      </c>
      <c r="F194" s="1982"/>
      <c r="G194" s="1449">
        <f>ROUND(E194*F194,2)</f>
        <v>0</v>
      </c>
    </row>
    <row r="195" spans="1:7" s="1422" customFormat="1" ht="12" x14ac:dyDescent="0.25">
      <c r="A195" s="1490"/>
      <c r="B195" s="1437"/>
      <c r="C195" s="1437"/>
      <c r="D195" s="1447"/>
      <c r="E195" s="1448"/>
      <c r="F195" s="1982"/>
      <c r="G195" s="1449"/>
    </row>
    <row r="196" spans="1:7" s="1422" customFormat="1" ht="48" x14ac:dyDescent="0.25">
      <c r="A196" s="1490" t="str">
        <f>$B$179</f>
        <v>5.4</v>
      </c>
      <c r="B196" s="1437" t="s">
        <v>1272</v>
      </c>
      <c r="C196" s="1437" t="s">
        <v>1271</v>
      </c>
      <c r="D196" s="1447" t="s">
        <v>58</v>
      </c>
      <c r="E196" s="1448">
        <v>1</v>
      </c>
      <c r="F196" s="1982"/>
      <c r="G196" s="1449">
        <f>ROUND(E196*F196,2)</f>
        <v>0</v>
      </c>
    </row>
    <row r="197" spans="1:7" s="1422" customFormat="1" ht="12" x14ac:dyDescent="0.25">
      <c r="A197" s="1490"/>
      <c r="B197" s="1437"/>
      <c r="C197" s="1437"/>
      <c r="D197" s="1447"/>
      <c r="E197" s="1448"/>
      <c r="F197" s="1982"/>
      <c r="G197" s="1449"/>
    </row>
    <row r="198" spans="1:7" s="1422" customFormat="1" ht="12" x14ac:dyDescent="0.25">
      <c r="A198" s="1490" t="str">
        <f>$B$179</f>
        <v>5.4</v>
      </c>
      <c r="B198" s="1437" t="s">
        <v>1270</v>
      </c>
      <c r="C198" s="1437" t="s">
        <v>1228</v>
      </c>
      <c r="D198" s="1447" t="s">
        <v>58</v>
      </c>
      <c r="E198" s="1448">
        <v>1</v>
      </c>
      <c r="F198" s="1982"/>
      <c r="G198" s="1449">
        <f>ROUND(E198*F198,2)</f>
        <v>0</v>
      </c>
    </row>
    <row r="199" spans="1:7" s="1422" customFormat="1" ht="15" x14ac:dyDescent="0.25">
      <c r="B199" s="1437"/>
      <c r="C199" s="1486" t="s">
        <v>1237</v>
      </c>
      <c r="D199" s="863"/>
      <c r="E199" s="863"/>
      <c r="F199" s="853"/>
      <c r="G199" s="1710">
        <f>ROUND(SUM(G180:G198),2)</f>
        <v>0</v>
      </c>
    </row>
    <row r="200" spans="1:7" s="1422" customFormat="1" ht="14.25" x14ac:dyDescent="0.25">
      <c r="B200" s="1437"/>
      <c r="C200" s="1492"/>
      <c r="D200" s="1488"/>
      <c r="E200" s="1489"/>
      <c r="F200" s="1484"/>
      <c r="G200" s="1715" t="str">
        <f>IF(F200="","",F200*E200)</f>
        <v/>
      </c>
    </row>
    <row r="201" spans="1:7" s="1422" customFormat="1" ht="14.25" x14ac:dyDescent="0.25">
      <c r="B201" s="1491"/>
      <c r="C201" s="1492"/>
      <c r="D201" s="1488"/>
      <c r="E201" s="1489"/>
      <c r="F201" s="1484"/>
      <c r="G201" s="1715" t="str">
        <f>IF(F201="","",F201*E201)</f>
        <v/>
      </c>
    </row>
    <row r="202" spans="1:7" s="1422" customFormat="1" ht="15" x14ac:dyDescent="0.25">
      <c r="B202" s="1487" t="s">
        <v>1262</v>
      </c>
      <c r="C202" s="1486" t="s">
        <v>1239</v>
      </c>
      <c r="D202" s="1488"/>
      <c r="E202" s="1489"/>
      <c r="F202" s="1484"/>
      <c r="G202" s="1715" t="str">
        <f>IF(F202="","",F202*E202)</f>
        <v/>
      </c>
    </row>
    <row r="203" spans="1:7" s="1422" customFormat="1" ht="12" x14ac:dyDescent="0.25">
      <c r="A203" s="1490" t="str">
        <f>$B$202</f>
        <v>5.5</v>
      </c>
      <c r="B203" s="1437">
        <v>1</v>
      </c>
      <c r="C203" s="1437" t="s">
        <v>1240</v>
      </c>
      <c r="D203" s="1447" t="s">
        <v>65</v>
      </c>
      <c r="E203" s="1448">
        <v>200</v>
      </c>
      <c r="F203" s="1982"/>
      <c r="G203" s="1449">
        <f>ROUND(E203*F203,2)</f>
        <v>0</v>
      </c>
    </row>
    <row r="204" spans="1:7" s="1422" customFormat="1" ht="12" x14ac:dyDescent="0.25">
      <c r="A204" s="1490"/>
      <c r="B204" s="1437"/>
      <c r="C204" s="1437"/>
      <c r="D204" s="1447"/>
      <c r="E204" s="1448"/>
      <c r="F204" s="1982"/>
      <c r="G204" s="1449"/>
    </row>
    <row r="205" spans="1:7" s="1422" customFormat="1" ht="48" x14ac:dyDescent="0.25">
      <c r="A205" s="1490" t="str">
        <f>$B$202</f>
        <v>5.5</v>
      </c>
      <c r="B205" s="1437">
        <v>2</v>
      </c>
      <c r="C205" s="1437" t="s">
        <v>1241</v>
      </c>
      <c r="D205" s="1447" t="s">
        <v>58</v>
      </c>
      <c r="E205" s="1448">
        <v>1</v>
      </c>
      <c r="F205" s="1982"/>
      <c r="G205" s="1449">
        <f>ROUND(E205*F205,2)</f>
        <v>0</v>
      </c>
    </row>
    <row r="206" spans="1:7" s="1422" customFormat="1" ht="12" x14ac:dyDescent="0.25">
      <c r="A206" s="1490"/>
      <c r="B206" s="1437"/>
      <c r="C206" s="1437"/>
      <c r="D206" s="1447"/>
      <c r="E206" s="1448"/>
      <c r="F206" s="1982"/>
      <c r="G206" s="1449"/>
    </row>
    <row r="207" spans="1:7" s="1422" customFormat="1" ht="36" x14ac:dyDescent="0.25">
      <c r="A207" s="1490" t="str">
        <f>$B$202</f>
        <v>5.5</v>
      </c>
      <c r="B207" s="1437">
        <v>3</v>
      </c>
      <c r="C207" s="1437" t="s">
        <v>1242</v>
      </c>
      <c r="D207" s="1447" t="s">
        <v>58</v>
      </c>
      <c r="E207" s="1448">
        <v>1</v>
      </c>
      <c r="F207" s="1982"/>
      <c r="G207" s="1449">
        <f>ROUND(E207*F207,2)</f>
        <v>0</v>
      </c>
    </row>
    <row r="208" spans="1:7" s="1422" customFormat="1" ht="12" x14ac:dyDescent="0.25">
      <c r="A208" s="1490"/>
      <c r="B208" s="1437"/>
      <c r="C208" s="1437"/>
      <c r="D208" s="1447"/>
      <c r="E208" s="1448"/>
      <c r="F208" s="1982"/>
      <c r="G208" s="1449"/>
    </row>
    <row r="209" spans="1:7" s="1422" customFormat="1" ht="12" x14ac:dyDescent="0.25">
      <c r="A209" s="1490" t="str">
        <f>$B$202</f>
        <v>5.5</v>
      </c>
      <c r="B209" s="1437">
        <v>4</v>
      </c>
      <c r="C209" s="1437" t="s">
        <v>1243</v>
      </c>
      <c r="D209" s="1447" t="s">
        <v>58</v>
      </c>
      <c r="E209" s="1448">
        <v>1</v>
      </c>
      <c r="F209" s="1982"/>
      <c r="G209" s="1449">
        <f>ROUND(E209*F209,2)</f>
        <v>0</v>
      </c>
    </row>
    <row r="210" spans="1:7" s="1422" customFormat="1" ht="15" x14ac:dyDescent="0.25">
      <c r="B210" s="861"/>
      <c r="C210" s="1486" t="s">
        <v>1269</v>
      </c>
      <c r="D210" s="863"/>
      <c r="E210" s="863"/>
      <c r="F210" s="853"/>
      <c r="G210" s="1710">
        <f>ROUND(SUM(G203:G209),2)</f>
        <v>0</v>
      </c>
    </row>
    <row r="211" spans="1:7" s="1422" customFormat="1" ht="14.25" x14ac:dyDescent="0.25">
      <c r="B211" s="1491"/>
      <c r="C211" s="1492"/>
      <c r="D211" s="1488"/>
      <c r="E211" s="1489"/>
      <c r="F211" s="1484"/>
      <c r="G211" s="1715" t="str">
        <f>IF(F211="","",F211*E211)</f>
        <v/>
      </c>
    </row>
    <row r="212" spans="1:7" s="1422" customFormat="1" ht="14.25" x14ac:dyDescent="0.25">
      <c r="B212" s="1491"/>
      <c r="C212" s="1492"/>
      <c r="D212" s="1488"/>
      <c r="E212" s="1489"/>
      <c r="F212" s="1484"/>
      <c r="G212" s="1715" t="str">
        <f>IF(F212="","",F212*E212)</f>
        <v/>
      </c>
    </row>
    <row r="213" spans="1:7" s="1422" customFormat="1" ht="15" x14ac:dyDescent="0.25">
      <c r="B213" s="1487" t="s">
        <v>1261</v>
      </c>
      <c r="C213" s="1486" t="s">
        <v>1246</v>
      </c>
      <c r="D213" s="1488"/>
      <c r="E213" s="1489"/>
      <c r="F213" s="1484"/>
      <c r="G213" s="1715" t="str">
        <f>IF(F213="","",F213*E213)</f>
        <v/>
      </c>
    </row>
    <row r="214" spans="1:7" s="1422" customFormat="1" ht="24" x14ac:dyDescent="0.25">
      <c r="A214" s="1490" t="str">
        <f>$B$213</f>
        <v>5.6</v>
      </c>
      <c r="B214" s="1437" t="s">
        <v>1232</v>
      </c>
      <c r="C214" s="1437" t="s">
        <v>1247</v>
      </c>
      <c r="D214" s="1447" t="s">
        <v>58</v>
      </c>
      <c r="E214" s="1448">
        <v>1</v>
      </c>
      <c r="F214" s="1982"/>
      <c r="G214" s="1449">
        <f>ROUND(E214*F214,2)</f>
        <v>0</v>
      </c>
    </row>
    <row r="215" spans="1:7" s="1422" customFormat="1" ht="12" x14ac:dyDescent="0.25">
      <c r="A215" s="1490"/>
      <c r="B215" s="1437"/>
      <c r="C215" s="1437"/>
      <c r="D215" s="1447"/>
      <c r="E215" s="1448"/>
      <c r="F215" s="1982"/>
      <c r="G215" s="1449"/>
    </row>
    <row r="216" spans="1:7" s="1422" customFormat="1" ht="36" x14ac:dyDescent="0.25">
      <c r="A216" s="1490" t="str">
        <f>$B$213</f>
        <v>5.6</v>
      </c>
      <c r="B216" s="1437" t="s">
        <v>1234</v>
      </c>
      <c r="C216" s="1437" t="s">
        <v>1248</v>
      </c>
      <c r="D216" s="1447" t="s">
        <v>58</v>
      </c>
      <c r="E216" s="1448">
        <v>1</v>
      </c>
      <c r="F216" s="1982"/>
      <c r="G216" s="1449">
        <f>ROUND(E216*F216,2)</f>
        <v>0</v>
      </c>
    </row>
    <row r="217" spans="1:7" s="1422" customFormat="1" ht="12" x14ac:dyDescent="0.25">
      <c r="A217" s="1490"/>
      <c r="B217" s="1437"/>
      <c r="C217" s="1437"/>
      <c r="D217" s="1447"/>
      <c r="E217" s="1448"/>
      <c r="F217" s="1982"/>
      <c r="G217" s="1449"/>
    </row>
    <row r="218" spans="1:7" s="1422" customFormat="1" ht="24" x14ac:dyDescent="0.25">
      <c r="A218" s="1490" t="str">
        <f>$B$213</f>
        <v>5.6</v>
      </c>
      <c r="B218" s="1437" t="s">
        <v>1236</v>
      </c>
      <c r="C218" s="1437" t="s">
        <v>1249</v>
      </c>
      <c r="D218" s="1447" t="s">
        <v>58</v>
      </c>
      <c r="E218" s="1448">
        <v>1</v>
      </c>
      <c r="F218" s="1982"/>
      <c r="G218" s="1449">
        <f>ROUND(E218*F218,2)</f>
        <v>0</v>
      </c>
    </row>
    <row r="219" spans="1:7" s="1422" customFormat="1" ht="12" x14ac:dyDescent="0.25">
      <c r="A219" s="1490"/>
      <c r="B219" s="1437"/>
      <c r="C219" s="1437"/>
      <c r="D219" s="1447"/>
      <c r="E219" s="1448"/>
      <c r="F219" s="1982"/>
      <c r="G219" s="1449"/>
    </row>
    <row r="220" spans="1:7" s="1422" customFormat="1" ht="24" x14ac:dyDescent="0.25">
      <c r="A220" s="1490" t="str">
        <f>$B$213</f>
        <v>5.6</v>
      </c>
      <c r="B220" s="1437" t="s">
        <v>4</v>
      </c>
      <c r="C220" s="1437" t="s">
        <v>1250</v>
      </c>
      <c r="D220" s="1447" t="s">
        <v>58</v>
      </c>
      <c r="E220" s="1448">
        <v>1</v>
      </c>
      <c r="F220" s="1982"/>
      <c r="G220" s="1449">
        <f>ROUND(E220*F220,2)</f>
        <v>0</v>
      </c>
    </row>
    <row r="221" spans="1:7" s="1422" customFormat="1" ht="12" x14ac:dyDescent="0.25">
      <c r="A221" s="1490"/>
      <c r="B221" s="1437"/>
      <c r="C221" s="1437"/>
      <c r="D221" s="1447"/>
      <c r="E221" s="1448"/>
      <c r="F221" s="1982"/>
      <c r="G221" s="1449"/>
    </row>
    <row r="222" spans="1:7" s="1422" customFormat="1" ht="36" x14ac:dyDescent="0.25">
      <c r="A222" s="1490" t="str">
        <f>$B$213</f>
        <v>5.6</v>
      </c>
      <c r="B222" s="1437" t="s">
        <v>5</v>
      </c>
      <c r="C222" s="1437" t="s">
        <v>1268</v>
      </c>
      <c r="D222" s="1447" t="s">
        <v>58</v>
      </c>
      <c r="E222" s="1448">
        <v>1</v>
      </c>
      <c r="F222" s="1982"/>
      <c r="G222" s="1449">
        <f>ROUND(E222*F222,2)</f>
        <v>0</v>
      </c>
    </row>
    <row r="223" spans="1:7" s="1422" customFormat="1" ht="12" x14ac:dyDescent="0.25">
      <c r="A223" s="1490"/>
      <c r="B223" s="1437"/>
      <c r="C223" s="1437"/>
      <c r="D223" s="1447"/>
      <c r="E223" s="1448"/>
      <c r="F223" s="1982"/>
      <c r="G223" s="1449"/>
    </row>
    <row r="224" spans="1:7" s="1422" customFormat="1" ht="72" x14ac:dyDescent="0.25">
      <c r="A224" s="1490" t="str">
        <f>$B$213</f>
        <v>5.6</v>
      </c>
      <c r="B224" s="1437" t="s">
        <v>6</v>
      </c>
      <c r="C224" s="1437" t="s">
        <v>1252</v>
      </c>
      <c r="D224" s="1447" t="s">
        <v>58</v>
      </c>
      <c r="E224" s="1448">
        <v>1</v>
      </c>
      <c r="F224" s="1982"/>
      <c r="G224" s="1449">
        <f>ROUND(E224*F224,2)</f>
        <v>0</v>
      </c>
    </row>
    <row r="225" spans="1:7" s="1422" customFormat="1" ht="12" x14ac:dyDescent="0.25">
      <c r="A225" s="1490"/>
      <c r="B225" s="1437"/>
      <c r="C225" s="1437"/>
      <c r="D225" s="1447"/>
      <c r="E225" s="1448"/>
      <c r="F225" s="1982"/>
      <c r="G225" s="1449"/>
    </row>
    <row r="226" spans="1:7" s="1422" customFormat="1" ht="88.5" customHeight="1" x14ac:dyDescent="0.25">
      <c r="A226" s="1490" t="str">
        <f>$B$213</f>
        <v>5.6</v>
      </c>
      <c r="B226" s="1437" t="s">
        <v>7</v>
      </c>
      <c r="C226" s="1437" t="s">
        <v>1253</v>
      </c>
      <c r="D226" s="1447" t="s">
        <v>58</v>
      </c>
      <c r="E226" s="1448">
        <v>1</v>
      </c>
      <c r="F226" s="1982"/>
      <c r="G226" s="1449">
        <f>ROUND(E226*F226,2)</f>
        <v>0</v>
      </c>
    </row>
    <row r="227" spans="1:7" s="1422" customFormat="1" ht="15" x14ac:dyDescent="0.25">
      <c r="B227" s="861"/>
      <c r="C227" s="1486" t="s">
        <v>1254</v>
      </c>
      <c r="D227" s="863"/>
      <c r="E227" s="863"/>
      <c r="F227" s="853"/>
      <c r="G227" s="1710">
        <f>ROUND(SUM(G214:G226),2)</f>
        <v>0</v>
      </c>
    </row>
    <row r="228" spans="1:7" s="1422" customFormat="1" ht="12" x14ac:dyDescent="0.25">
      <c r="C228" s="1496"/>
      <c r="E228" s="1423"/>
      <c r="F228" s="1976"/>
      <c r="G228" s="1406"/>
    </row>
    <row r="229" spans="1:7" s="1422" customFormat="1" ht="12" x14ac:dyDescent="0.25">
      <c r="C229" s="1497" t="s">
        <v>1267</v>
      </c>
      <c r="E229" s="1423"/>
      <c r="F229" s="1976"/>
      <c r="G229" s="1406"/>
    </row>
    <row r="230" spans="1:7" s="1422" customFormat="1" ht="30" x14ac:dyDescent="0.25">
      <c r="B230" s="1460" t="s">
        <v>1266</v>
      </c>
      <c r="C230" s="1478" t="s">
        <v>1256</v>
      </c>
      <c r="D230" s="1498"/>
      <c r="E230" s="1479"/>
      <c r="F230" s="1499"/>
      <c r="G230" s="1718">
        <f>G63</f>
        <v>0</v>
      </c>
    </row>
    <row r="231" spans="1:7" ht="15" x14ac:dyDescent="0.25">
      <c r="B231" s="1460" t="s">
        <v>1265</v>
      </c>
      <c r="C231" s="1478" t="s">
        <v>1140</v>
      </c>
      <c r="D231" s="1498"/>
      <c r="E231" s="1479"/>
      <c r="F231" s="1499"/>
      <c r="G231" s="1718">
        <f>G122</f>
        <v>0</v>
      </c>
    </row>
    <row r="232" spans="1:7" ht="15" x14ac:dyDescent="0.25">
      <c r="B232" s="1460" t="s">
        <v>1264</v>
      </c>
      <c r="C232" s="1478" t="s">
        <v>1172</v>
      </c>
      <c r="D232" s="1498"/>
      <c r="E232" s="1479"/>
      <c r="F232" s="1499"/>
      <c r="G232" s="1718">
        <f>G177</f>
        <v>0</v>
      </c>
    </row>
    <row r="233" spans="1:7" ht="15" x14ac:dyDescent="0.25">
      <c r="B233" s="1460" t="s">
        <v>1263</v>
      </c>
      <c r="C233" s="1478" t="s">
        <v>1231</v>
      </c>
      <c r="D233" s="1498"/>
      <c r="E233" s="1479"/>
      <c r="F233" s="1499"/>
      <c r="G233" s="1718">
        <f>G199</f>
        <v>0</v>
      </c>
    </row>
    <row r="234" spans="1:7" ht="15" x14ac:dyDescent="0.25">
      <c r="B234" s="1460" t="s">
        <v>1262</v>
      </c>
      <c r="C234" s="1478" t="s">
        <v>1239</v>
      </c>
      <c r="D234" s="1498"/>
      <c r="E234" s="1479"/>
      <c r="F234" s="1499"/>
      <c r="G234" s="1718">
        <f>G210</f>
        <v>0</v>
      </c>
    </row>
    <row r="235" spans="1:7" ht="15" x14ac:dyDescent="0.25">
      <c r="B235" s="1611" t="s">
        <v>1261</v>
      </c>
      <c r="C235" s="1612" t="s">
        <v>1258</v>
      </c>
      <c r="D235" s="1613"/>
      <c r="E235" s="1614"/>
      <c r="F235" s="1615"/>
      <c r="G235" s="1719">
        <f>G227</f>
        <v>0</v>
      </c>
    </row>
    <row r="236" spans="1:7" ht="15" x14ac:dyDescent="0.25">
      <c r="C236" s="1478" t="s">
        <v>1259</v>
      </c>
      <c r="D236" s="1498"/>
      <c r="E236" s="1479"/>
      <c r="F236" s="1499"/>
      <c r="G236" s="1718">
        <f>ROUND(SUM(G230:G235),2)</f>
        <v>0</v>
      </c>
    </row>
  </sheetData>
  <sheetProtection algorithmName="SHA-512" hashValue="Hbhaul/9ZXwmiS4ABwGLBbiENEjbDHFMLpyzdxYeIu+j2XRWyFfsGeqC6BtRPajrKwyI4K0Ev/CxU7wvCRcyIw==" saltValue="qG3awzLU37OUA9i1M17YHA==" spinCount="100000" sheet="1" objects="1" scenarios="1"/>
  <mergeCells count="1">
    <mergeCell ref="H3:H4"/>
  </mergeCells>
  <pageMargins left="0.98425196850393704" right="0.39370078740157483" top="0.98425196850393704" bottom="0.74803149606299213" header="0" footer="0.39370078740157483"/>
  <pageSetup paperSize="9" firstPageNumber="0" orientation="portrait" r:id="rId1"/>
  <headerFooter alignWithMargins="0">
    <oddHeader>&amp;R&amp;"Projekt,Običajno"&amp;72p&amp;L_x000D__x000D_&amp;9</oddHeader>
    <oddFooter>&amp;C&amp;6 &amp; List: &amp;A&amp;L&amp;9&amp;R&amp;R &amp; &amp;9 &amp; List: &amp;A_x000D_&amp;R &amp; &amp;9 &amp; Stran: &amp;P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5">
    <tabColor theme="6" tint="-0.249977111117893"/>
  </sheetPr>
  <dimension ref="A1:K209"/>
  <sheetViews>
    <sheetView view="pageBreakPreview" zoomScaleNormal="85" zoomScaleSheetLayoutView="100" workbookViewId="0"/>
  </sheetViews>
  <sheetFormatPr defaultRowHeight="12.75" x14ac:dyDescent="0.25"/>
  <cols>
    <col min="1" max="1" width="4.140625" style="224" customWidth="1"/>
    <col min="2" max="2" width="4.42578125" style="224" customWidth="1"/>
    <col min="3" max="3" width="43.140625" style="818" customWidth="1"/>
    <col min="4" max="4" width="6.28515625" style="224" customWidth="1"/>
    <col min="5" max="5" width="7.5703125" style="764" customWidth="1"/>
    <col min="6" max="6" width="10.28515625" style="1956" customWidth="1"/>
    <col min="7" max="7" width="13.28515625" style="765" customWidth="1"/>
    <col min="8" max="8" width="9.85546875" style="224" customWidth="1"/>
    <col min="9" max="9" width="2.5703125" style="224" bestFit="1" customWidth="1"/>
    <col min="10" max="10" width="9.140625" style="224"/>
    <col min="11" max="11" width="9" style="224" customWidth="1"/>
    <col min="12" max="256" width="9.140625" style="224"/>
    <col min="257" max="257" width="4.140625" style="224" customWidth="1"/>
    <col min="258" max="258" width="4.42578125" style="224" customWidth="1"/>
    <col min="259" max="259" width="44.140625" style="224" customWidth="1"/>
    <col min="260" max="260" width="6.28515625" style="224" customWidth="1"/>
    <col min="261" max="261" width="7.5703125" style="224" customWidth="1"/>
    <col min="262" max="262" width="9.5703125" style="224" customWidth="1"/>
    <col min="263" max="263" width="13.28515625" style="224" customWidth="1"/>
    <col min="264" max="264" width="9.85546875" style="224" customWidth="1"/>
    <col min="265" max="265" width="2.5703125" style="224" bestFit="1" customWidth="1"/>
    <col min="266" max="266" width="9.140625" style="224"/>
    <col min="267" max="267" width="9" style="224" customWidth="1"/>
    <col min="268" max="512" width="9.140625" style="224"/>
    <col min="513" max="513" width="4.140625" style="224" customWidth="1"/>
    <col min="514" max="514" width="4.42578125" style="224" customWidth="1"/>
    <col min="515" max="515" width="44.140625" style="224" customWidth="1"/>
    <col min="516" max="516" width="6.28515625" style="224" customWidth="1"/>
    <col min="517" max="517" width="7.5703125" style="224" customWidth="1"/>
    <col min="518" max="518" width="9.5703125" style="224" customWidth="1"/>
    <col min="519" max="519" width="13.28515625" style="224" customWidth="1"/>
    <col min="520" max="520" width="9.85546875" style="224" customWidth="1"/>
    <col min="521" max="521" width="2.5703125" style="224" bestFit="1" customWidth="1"/>
    <col min="522" max="522" width="9.140625" style="224"/>
    <col min="523" max="523" width="9" style="224" customWidth="1"/>
    <col min="524" max="768" width="9.140625" style="224"/>
    <col min="769" max="769" width="4.140625" style="224" customWidth="1"/>
    <col min="770" max="770" width="4.42578125" style="224" customWidth="1"/>
    <col min="771" max="771" width="44.140625" style="224" customWidth="1"/>
    <col min="772" max="772" width="6.28515625" style="224" customWidth="1"/>
    <col min="773" max="773" width="7.5703125" style="224" customWidth="1"/>
    <col min="774" max="774" width="9.5703125" style="224" customWidth="1"/>
    <col min="775" max="775" width="13.28515625" style="224" customWidth="1"/>
    <col min="776" max="776" width="9.85546875" style="224" customWidth="1"/>
    <col min="777" max="777" width="2.5703125" style="224" bestFit="1" customWidth="1"/>
    <col min="778" max="778" width="9.140625" style="224"/>
    <col min="779" max="779" width="9" style="224" customWidth="1"/>
    <col min="780" max="1024" width="9.140625" style="224"/>
    <col min="1025" max="1025" width="4.140625" style="224" customWidth="1"/>
    <col min="1026" max="1026" width="4.42578125" style="224" customWidth="1"/>
    <col min="1027" max="1027" width="44.140625" style="224" customWidth="1"/>
    <col min="1028" max="1028" width="6.28515625" style="224" customWidth="1"/>
    <col min="1029" max="1029" width="7.5703125" style="224" customWidth="1"/>
    <col min="1030" max="1030" width="9.5703125" style="224" customWidth="1"/>
    <col min="1031" max="1031" width="13.28515625" style="224" customWidth="1"/>
    <col min="1032" max="1032" width="9.85546875" style="224" customWidth="1"/>
    <col min="1033" max="1033" width="2.5703125" style="224" bestFit="1" customWidth="1"/>
    <col min="1034" max="1034" width="9.140625" style="224"/>
    <col min="1035" max="1035" width="9" style="224" customWidth="1"/>
    <col min="1036" max="1280" width="9.140625" style="224"/>
    <col min="1281" max="1281" width="4.140625" style="224" customWidth="1"/>
    <col min="1282" max="1282" width="4.42578125" style="224" customWidth="1"/>
    <col min="1283" max="1283" width="44.140625" style="224" customWidth="1"/>
    <col min="1284" max="1284" width="6.28515625" style="224" customWidth="1"/>
    <col min="1285" max="1285" width="7.5703125" style="224" customWidth="1"/>
    <col min="1286" max="1286" width="9.5703125" style="224" customWidth="1"/>
    <col min="1287" max="1287" width="13.28515625" style="224" customWidth="1"/>
    <col min="1288" max="1288" width="9.85546875" style="224" customWidth="1"/>
    <col min="1289" max="1289" width="2.5703125" style="224" bestFit="1" customWidth="1"/>
    <col min="1290" max="1290" width="9.140625" style="224"/>
    <col min="1291" max="1291" width="9" style="224" customWidth="1"/>
    <col min="1292" max="1536" width="9.140625" style="224"/>
    <col min="1537" max="1537" width="4.140625" style="224" customWidth="1"/>
    <col min="1538" max="1538" width="4.42578125" style="224" customWidth="1"/>
    <col min="1539" max="1539" width="44.140625" style="224" customWidth="1"/>
    <col min="1540" max="1540" width="6.28515625" style="224" customWidth="1"/>
    <col min="1541" max="1541" width="7.5703125" style="224" customWidth="1"/>
    <col min="1542" max="1542" width="9.5703125" style="224" customWidth="1"/>
    <col min="1543" max="1543" width="13.28515625" style="224" customWidth="1"/>
    <col min="1544" max="1544" width="9.85546875" style="224" customWidth="1"/>
    <col min="1545" max="1545" width="2.5703125" style="224" bestFit="1" customWidth="1"/>
    <col min="1546" max="1546" width="9.140625" style="224"/>
    <col min="1547" max="1547" width="9" style="224" customWidth="1"/>
    <col min="1548" max="1792" width="9.140625" style="224"/>
    <col min="1793" max="1793" width="4.140625" style="224" customWidth="1"/>
    <col min="1794" max="1794" width="4.42578125" style="224" customWidth="1"/>
    <col min="1795" max="1795" width="44.140625" style="224" customWidth="1"/>
    <col min="1796" max="1796" width="6.28515625" style="224" customWidth="1"/>
    <col min="1797" max="1797" width="7.5703125" style="224" customWidth="1"/>
    <col min="1798" max="1798" width="9.5703125" style="224" customWidth="1"/>
    <col min="1799" max="1799" width="13.28515625" style="224" customWidth="1"/>
    <col min="1800" max="1800" width="9.85546875" style="224" customWidth="1"/>
    <col min="1801" max="1801" width="2.5703125" style="224" bestFit="1" customWidth="1"/>
    <col min="1802" max="1802" width="9.140625" style="224"/>
    <col min="1803" max="1803" width="9" style="224" customWidth="1"/>
    <col min="1804" max="2048" width="9.140625" style="224"/>
    <col min="2049" max="2049" width="4.140625" style="224" customWidth="1"/>
    <col min="2050" max="2050" width="4.42578125" style="224" customWidth="1"/>
    <col min="2051" max="2051" width="44.140625" style="224" customWidth="1"/>
    <col min="2052" max="2052" width="6.28515625" style="224" customWidth="1"/>
    <col min="2053" max="2053" width="7.5703125" style="224" customWidth="1"/>
    <col min="2054" max="2054" width="9.5703125" style="224" customWidth="1"/>
    <col min="2055" max="2055" width="13.28515625" style="224" customWidth="1"/>
    <col min="2056" max="2056" width="9.85546875" style="224" customWidth="1"/>
    <col min="2057" max="2057" width="2.5703125" style="224" bestFit="1" customWidth="1"/>
    <col min="2058" max="2058" width="9.140625" style="224"/>
    <col min="2059" max="2059" width="9" style="224" customWidth="1"/>
    <col min="2060" max="2304" width="9.140625" style="224"/>
    <col min="2305" max="2305" width="4.140625" style="224" customWidth="1"/>
    <col min="2306" max="2306" width="4.42578125" style="224" customWidth="1"/>
    <col min="2307" max="2307" width="44.140625" style="224" customWidth="1"/>
    <col min="2308" max="2308" width="6.28515625" style="224" customWidth="1"/>
    <col min="2309" max="2309" width="7.5703125" style="224" customWidth="1"/>
    <col min="2310" max="2310" width="9.5703125" style="224" customWidth="1"/>
    <col min="2311" max="2311" width="13.28515625" style="224" customWidth="1"/>
    <col min="2312" max="2312" width="9.85546875" style="224" customWidth="1"/>
    <col min="2313" max="2313" width="2.5703125" style="224" bestFit="1" customWidth="1"/>
    <col min="2314" max="2314" width="9.140625" style="224"/>
    <col min="2315" max="2315" width="9" style="224" customWidth="1"/>
    <col min="2316" max="2560" width="9.140625" style="224"/>
    <col min="2561" max="2561" width="4.140625" style="224" customWidth="1"/>
    <col min="2562" max="2562" width="4.42578125" style="224" customWidth="1"/>
    <col min="2563" max="2563" width="44.140625" style="224" customWidth="1"/>
    <col min="2564" max="2564" width="6.28515625" style="224" customWidth="1"/>
    <col min="2565" max="2565" width="7.5703125" style="224" customWidth="1"/>
    <col min="2566" max="2566" width="9.5703125" style="224" customWidth="1"/>
    <col min="2567" max="2567" width="13.28515625" style="224" customWidth="1"/>
    <col min="2568" max="2568" width="9.85546875" style="224" customWidth="1"/>
    <col min="2569" max="2569" width="2.5703125" style="224" bestFit="1" customWidth="1"/>
    <col min="2570" max="2570" width="9.140625" style="224"/>
    <col min="2571" max="2571" width="9" style="224" customWidth="1"/>
    <col min="2572" max="2816" width="9.140625" style="224"/>
    <col min="2817" max="2817" width="4.140625" style="224" customWidth="1"/>
    <col min="2818" max="2818" width="4.42578125" style="224" customWidth="1"/>
    <col min="2819" max="2819" width="44.140625" style="224" customWidth="1"/>
    <col min="2820" max="2820" width="6.28515625" style="224" customWidth="1"/>
    <col min="2821" max="2821" width="7.5703125" style="224" customWidth="1"/>
    <col min="2822" max="2822" width="9.5703125" style="224" customWidth="1"/>
    <col min="2823" max="2823" width="13.28515625" style="224" customWidth="1"/>
    <col min="2824" max="2824" width="9.85546875" style="224" customWidth="1"/>
    <col min="2825" max="2825" width="2.5703125" style="224" bestFit="1" customWidth="1"/>
    <col min="2826" max="2826" width="9.140625" style="224"/>
    <col min="2827" max="2827" width="9" style="224" customWidth="1"/>
    <col min="2828" max="3072" width="9.140625" style="224"/>
    <col min="3073" max="3073" width="4.140625" style="224" customWidth="1"/>
    <col min="3074" max="3074" width="4.42578125" style="224" customWidth="1"/>
    <col min="3075" max="3075" width="44.140625" style="224" customWidth="1"/>
    <col min="3076" max="3076" width="6.28515625" style="224" customWidth="1"/>
    <col min="3077" max="3077" width="7.5703125" style="224" customWidth="1"/>
    <col min="3078" max="3078" width="9.5703125" style="224" customWidth="1"/>
    <col min="3079" max="3079" width="13.28515625" style="224" customWidth="1"/>
    <col min="3080" max="3080" width="9.85546875" style="224" customWidth="1"/>
    <col min="3081" max="3081" width="2.5703125" style="224" bestFit="1" customWidth="1"/>
    <col min="3082" max="3082" width="9.140625" style="224"/>
    <col min="3083" max="3083" width="9" style="224" customWidth="1"/>
    <col min="3084" max="3328" width="9.140625" style="224"/>
    <col min="3329" max="3329" width="4.140625" style="224" customWidth="1"/>
    <col min="3330" max="3330" width="4.42578125" style="224" customWidth="1"/>
    <col min="3331" max="3331" width="44.140625" style="224" customWidth="1"/>
    <col min="3332" max="3332" width="6.28515625" style="224" customWidth="1"/>
    <col min="3333" max="3333" width="7.5703125" style="224" customWidth="1"/>
    <col min="3334" max="3334" width="9.5703125" style="224" customWidth="1"/>
    <col min="3335" max="3335" width="13.28515625" style="224" customWidth="1"/>
    <col min="3336" max="3336" width="9.85546875" style="224" customWidth="1"/>
    <col min="3337" max="3337" width="2.5703125" style="224" bestFit="1" customWidth="1"/>
    <col min="3338" max="3338" width="9.140625" style="224"/>
    <col min="3339" max="3339" width="9" style="224" customWidth="1"/>
    <col min="3340" max="3584" width="9.140625" style="224"/>
    <col min="3585" max="3585" width="4.140625" style="224" customWidth="1"/>
    <col min="3586" max="3586" width="4.42578125" style="224" customWidth="1"/>
    <col min="3587" max="3587" width="44.140625" style="224" customWidth="1"/>
    <col min="3588" max="3588" width="6.28515625" style="224" customWidth="1"/>
    <col min="3589" max="3589" width="7.5703125" style="224" customWidth="1"/>
    <col min="3590" max="3590" width="9.5703125" style="224" customWidth="1"/>
    <col min="3591" max="3591" width="13.28515625" style="224" customWidth="1"/>
    <col min="3592" max="3592" width="9.85546875" style="224" customWidth="1"/>
    <col min="3593" max="3593" width="2.5703125" style="224" bestFit="1" customWidth="1"/>
    <col min="3594" max="3594" width="9.140625" style="224"/>
    <col min="3595" max="3595" width="9" style="224" customWidth="1"/>
    <col min="3596" max="3840" width="9.140625" style="224"/>
    <col min="3841" max="3841" width="4.140625" style="224" customWidth="1"/>
    <col min="3842" max="3842" width="4.42578125" style="224" customWidth="1"/>
    <col min="3843" max="3843" width="44.140625" style="224" customWidth="1"/>
    <col min="3844" max="3844" width="6.28515625" style="224" customWidth="1"/>
    <col min="3845" max="3845" width="7.5703125" style="224" customWidth="1"/>
    <col min="3846" max="3846" width="9.5703125" style="224" customWidth="1"/>
    <col min="3847" max="3847" width="13.28515625" style="224" customWidth="1"/>
    <col min="3848" max="3848" width="9.85546875" style="224" customWidth="1"/>
    <col min="3849" max="3849" width="2.5703125" style="224" bestFit="1" customWidth="1"/>
    <col min="3850" max="3850" width="9.140625" style="224"/>
    <col min="3851" max="3851" width="9" style="224" customWidth="1"/>
    <col min="3852" max="4096" width="9.140625" style="224"/>
    <col min="4097" max="4097" width="4.140625" style="224" customWidth="1"/>
    <col min="4098" max="4098" width="4.42578125" style="224" customWidth="1"/>
    <col min="4099" max="4099" width="44.140625" style="224" customWidth="1"/>
    <col min="4100" max="4100" width="6.28515625" style="224" customWidth="1"/>
    <col min="4101" max="4101" width="7.5703125" style="224" customWidth="1"/>
    <col min="4102" max="4102" width="9.5703125" style="224" customWidth="1"/>
    <col min="4103" max="4103" width="13.28515625" style="224" customWidth="1"/>
    <col min="4104" max="4104" width="9.85546875" style="224" customWidth="1"/>
    <col min="4105" max="4105" width="2.5703125" style="224" bestFit="1" customWidth="1"/>
    <col min="4106" max="4106" width="9.140625" style="224"/>
    <col min="4107" max="4107" width="9" style="224" customWidth="1"/>
    <col min="4108" max="4352" width="9.140625" style="224"/>
    <col min="4353" max="4353" width="4.140625" style="224" customWidth="1"/>
    <col min="4354" max="4354" width="4.42578125" style="224" customWidth="1"/>
    <col min="4355" max="4355" width="44.140625" style="224" customWidth="1"/>
    <col min="4356" max="4356" width="6.28515625" style="224" customWidth="1"/>
    <col min="4357" max="4357" width="7.5703125" style="224" customWidth="1"/>
    <col min="4358" max="4358" width="9.5703125" style="224" customWidth="1"/>
    <col min="4359" max="4359" width="13.28515625" style="224" customWidth="1"/>
    <col min="4360" max="4360" width="9.85546875" style="224" customWidth="1"/>
    <col min="4361" max="4361" width="2.5703125" style="224" bestFit="1" customWidth="1"/>
    <col min="4362" max="4362" width="9.140625" style="224"/>
    <col min="4363" max="4363" width="9" style="224" customWidth="1"/>
    <col min="4364" max="4608" width="9.140625" style="224"/>
    <col min="4609" max="4609" width="4.140625" style="224" customWidth="1"/>
    <col min="4610" max="4610" width="4.42578125" style="224" customWidth="1"/>
    <col min="4611" max="4611" width="44.140625" style="224" customWidth="1"/>
    <col min="4612" max="4612" width="6.28515625" style="224" customWidth="1"/>
    <col min="4613" max="4613" width="7.5703125" style="224" customWidth="1"/>
    <col min="4614" max="4614" width="9.5703125" style="224" customWidth="1"/>
    <col min="4615" max="4615" width="13.28515625" style="224" customWidth="1"/>
    <col min="4616" max="4616" width="9.85546875" style="224" customWidth="1"/>
    <col min="4617" max="4617" width="2.5703125" style="224" bestFit="1" customWidth="1"/>
    <col min="4618" max="4618" width="9.140625" style="224"/>
    <col min="4619" max="4619" width="9" style="224" customWidth="1"/>
    <col min="4620" max="4864" width="9.140625" style="224"/>
    <col min="4865" max="4865" width="4.140625" style="224" customWidth="1"/>
    <col min="4866" max="4866" width="4.42578125" style="224" customWidth="1"/>
    <col min="4867" max="4867" width="44.140625" style="224" customWidth="1"/>
    <col min="4868" max="4868" width="6.28515625" style="224" customWidth="1"/>
    <col min="4869" max="4869" width="7.5703125" style="224" customWidth="1"/>
    <col min="4870" max="4870" width="9.5703125" style="224" customWidth="1"/>
    <col min="4871" max="4871" width="13.28515625" style="224" customWidth="1"/>
    <col min="4872" max="4872" width="9.85546875" style="224" customWidth="1"/>
    <col min="4873" max="4873" width="2.5703125" style="224" bestFit="1" customWidth="1"/>
    <col min="4874" max="4874" width="9.140625" style="224"/>
    <col min="4875" max="4875" width="9" style="224" customWidth="1"/>
    <col min="4876" max="5120" width="9.140625" style="224"/>
    <col min="5121" max="5121" width="4.140625" style="224" customWidth="1"/>
    <col min="5122" max="5122" width="4.42578125" style="224" customWidth="1"/>
    <col min="5123" max="5123" width="44.140625" style="224" customWidth="1"/>
    <col min="5124" max="5124" width="6.28515625" style="224" customWidth="1"/>
    <col min="5125" max="5125" width="7.5703125" style="224" customWidth="1"/>
    <col min="5126" max="5126" width="9.5703125" style="224" customWidth="1"/>
    <col min="5127" max="5127" width="13.28515625" style="224" customWidth="1"/>
    <col min="5128" max="5128" width="9.85546875" style="224" customWidth="1"/>
    <col min="5129" max="5129" width="2.5703125" style="224" bestFit="1" customWidth="1"/>
    <col min="5130" max="5130" width="9.140625" style="224"/>
    <col min="5131" max="5131" width="9" style="224" customWidth="1"/>
    <col min="5132" max="5376" width="9.140625" style="224"/>
    <col min="5377" max="5377" width="4.140625" style="224" customWidth="1"/>
    <col min="5378" max="5378" width="4.42578125" style="224" customWidth="1"/>
    <col min="5379" max="5379" width="44.140625" style="224" customWidth="1"/>
    <col min="5380" max="5380" width="6.28515625" style="224" customWidth="1"/>
    <col min="5381" max="5381" width="7.5703125" style="224" customWidth="1"/>
    <col min="5382" max="5382" width="9.5703125" style="224" customWidth="1"/>
    <col min="5383" max="5383" width="13.28515625" style="224" customWidth="1"/>
    <col min="5384" max="5384" width="9.85546875" style="224" customWidth="1"/>
    <col min="5385" max="5385" width="2.5703125" style="224" bestFit="1" customWidth="1"/>
    <col min="5386" max="5386" width="9.140625" style="224"/>
    <col min="5387" max="5387" width="9" style="224" customWidth="1"/>
    <col min="5388" max="5632" width="9.140625" style="224"/>
    <col min="5633" max="5633" width="4.140625" style="224" customWidth="1"/>
    <col min="5634" max="5634" width="4.42578125" style="224" customWidth="1"/>
    <col min="5635" max="5635" width="44.140625" style="224" customWidth="1"/>
    <col min="5636" max="5636" width="6.28515625" style="224" customWidth="1"/>
    <col min="5637" max="5637" width="7.5703125" style="224" customWidth="1"/>
    <col min="5638" max="5638" width="9.5703125" style="224" customWidth="1"/>
    <col min="5639" max="5639" width="13.28515625" style="224" customWidth="1"/>
    <col min="5640" max="5640" width="9.85546875" style="224" customWidth="1"/>
    <col min="5641" max="5641" width="2.5703125" style="224" bestFit="1" customWidth="1"/>
    <col min="5642" max="5642" width="9.140625" style="224"/>
    <col min="5643" max="5643" width="9" style="224" customWidth="1"/>
    <col min="5644" max="5888" width="9.140625" style="224"/>
    <col min="5889" max="5889" width="4.140625" style="224" customWidth="1"/>
    <col min="5890" max="5890" width="4.42578125" style="224" customWidth="1"/>
    <col min="5891" max="5891" width="44.140625" style="224" customWidth="1"/>
    <col min="5892" max="5892" width="6.28515625" style="224" customWidth="1"/>
    <col min="5893" max="5893" width="7.5703125" style="224" customWidth="1"/>
    <col min="5894" max="5894" width="9.5703125" style="224" customWidth="1"/>
    <col min="5895" max="5895" width="13.28515625" style="224" customWidth="1"/>
    <col min="5896" max="5896" width="9.85546875" style="224" customWidth="1"/>
    <col min="5897" max="5897" width="2.5703125" style="224" bestFit="1" customWidth="1"/>
    <col min="5898" max="5898" width="9.140625" style="224"/>
    <col min="5899" max="5899" width="9" style="224" customWidth="1"/>
    <col min="5900" max="6144" width="9.140625" style="224"/>
    <col min="6145" max="6145" width="4.140625" style="224" customWidth="1"/>
    <col min="6146" max="6146" width="4.42578125" style="224" customWidth="1"/>
    <col min="6147" max="6147" width="44.140625" style="224" customWidth="1"/>
    <col min="6148" max="6148" width="6.28515625" style="224" customWidth="1"/>
    <col min="6149" max="6149" width="7.5703125" style="224" customWidth="1"/>
    <col min="6150" max="6150" width="9.5703125" style="224" customWidth="1"/>
    <col min="6151" max="6151" width="13.28515625" style="224" customWidth="1"/>
    <col min="6152" max="6152" width="9.85546875" style="224" customWidth="1"/>
    <col min="6153" max="6153" width="2.5703125" style="224" bestFit="1" customWidth="1"/>
    <col min="6154" max="6154" width="9.140625" style="224"/>
    <col min="6155" max="6155" width="9" style="224" customWidth="1"/>
    <col min="6156" max="6400" width="9.140625" style="224"/>
    <col min="6401" max="6401" width="4.140625" style="224" customWidth="1"/>
    <col min="6402" max="6402" width="4.42578125" style="224" customWidth="1"/>
    <col min="6403" max="6403" width="44.140625" style="224" customWidth="1"/>
    <col min="6404" max="6404" width="6.28515625" style="224" customWidth="1"/>
    <col min="6405" max="6405" width="7.5703125" style="224" customWidth="1"/>
    <col min="6406" max="6406" width="9.5703125" style="224" customWidth="1"/>
    <col min="6407" max="6407" width="13.28515625" style="224" customWidth="1"/>
    <col min="6408" max="6408" width="9.85546875" style="224" customWidth="1"/>
    <col min="6409" max="6409" width="2.5703125" style="224" bestFit="1" customWidth="1"/>
    <col min="6410" max="6410" width="9.140625" style="224"/>
    <col min="6411" max="6411" width="9" style="224" customWidth="1"/>
    <col min="6412" max="6656" width="9.140625" style="224"/>
    <col min="6657" max="6657" width="4.140625" style="224" customWidth="1"/>
    <col min="6658" max="6658" width="4.42578125" style="224" customWidth="1"/>
    <col min="6659" max="6659" width="44.140625" style="224" customWidth="1"/>
    <col min="6660" max="6660" width="6.28515625" style="224" customWidth="1"/>
    <col min="6661" max="6661" width="7.5703125" style="224" customWidth="1"/>
    <col min="6662" max="6662" width="9.5703125" style="224" customWidth="1"/>
    <col min="6663" max="6663" width="13.28515625" style="224" customWidth="1"/>
    <col min="6664" max="6664" width="9.85546875" style="224" customWidth="1"/>
    <col min="6665" max="6665" width="2.5703125" style="224" bestFit="1" customWidth="1"/>
    <col min="6666" max="6666" width="9.140625" style="224"/>
    <col min="6667" max="6667" width="9" style="224" customWidth="1"/>
    <col min="6668" max="6912" width="9.140625" style="224"/>
    <col min="6913" max="6913" width="4.140625" style="224" customWidth="1"/>
    <col min="6914" max="6914" width="4.42578125" style="224" customWidth="1"/>
    <col min="6915" max="6915" width="44.140625" style="224" customWidth="1"/>
    <col min="6916" max="6916" width="6.28515625" style="224" customWidth="1"/>
    <col min="6917" max="6917" width="7.5703125" style="224" customWidth="1"/>
    <col min="6918" max="6918" width="9.5703125" style="224" customWidth="1"/>
    <col min="6919" max="6919" width="13.28515625" style="224" customWidth="1"/>
    <col min="6920" max="6920" width="9.85546875" style="224" customWidth="1"/>
    <col min="6921" max="6921" width="2.5703125" style="224" bestFit="1" customWidth="1"/>
    <col min="6922" max="6922" width="9.140625" style="224"/>
    <col min="6923" max="6923" width="9" style="224" customWidth="1"/>
    <col min="6924" max="7168" width="9.140625" style="224"/>
    <col min="7169" max="7169" width="4.140625" style="224" customWidth="1"/>
    <col min="7170" max="7170" width="4.42578125" style="224" customWidth="1"/>
    <col min="7171" max="7171" width="44.140625" style="224" customWidth="1"/>
    <col min="7172" max="7172" width="6.28515625" style="224" customWidth="1"/>
    <col min="7173" max="7173" width="7.5703125" style="224" customWidth="1"/>
    <col min="7174" max="7174" width="9.5703125" style="224" customWidth="1"/>
    <col min="7175" max="7175" width="13.28515625" style="224" customWidth="1"/>
    <col min="7176" max="7176" width="9.85546875" style="224" customWidth="1"/>
    <col min="7177" max="7177" width="2.5703125" style="224" bestFit="1" customWidth="1"/>
    <col min="7178" max="7178" width="9.140625" style="224"/>
    <col min="7179" max="7179" width="9" style="224" customWidth="1"/>
    <col min="7180" max="7424" width="9.140625" style="224"/>
    <col min="7425" max="7425" width="4.140625" style="224" customWidth="1"/>
    <col min="7426" max="7426" width="4.42578125" style="224" customWidth="1"/>
    <col min="7427" max="7427" width="44.140625" style="224" customWidth="1"/>
    <col min="7428" max="7428" width="6.28515625" style="224" customWidth="1"/>
    <col min="7429" max="7429" width="7.5703125" style="224" customWidth="1"/>
    <col min="7430" max="7430" width="9.5703125" style="224" customWidth="1"/>
    <col min="7431" max="7431" width="13.28515625" style="224" customWidth="1"/>
    <col min="7432" max="7432" width="9.85546875" style="224" customWidth="1"/>
    <col min="7433" max="7433" width="2.5703125" style="224" bestFit="1" customWidth="1"/>
    <col min="7434" max="7434" width="9.140625" style="224"/>
    <col min="7435" max="7435" width="9" style="224" customWidth="1"/>
    <col min="7436" max="7680" width="9.140625" style="224"/>
    <col min="7681" max="7681" width="4.140625" style="224" customWidth="1"/>
    <col min="7682" max="7682" width="4.42578125" style="224" customWidth="1"/>
    <col min="7683" max="7683" width="44.140625" style="224" customWidth="1"/>
    <col min="7684" max="7684" width="6.28515625" style="224" customWidth="1"/>
    <col min="7685" max="7685" width="7.5703125" style="224" customWidth="1"/>
    <col min="7686" max="7686" width="9.5703125" style="224" customWidth="1"/>
    <col min="7687" max="7687" width="13.28515625" style="224" customWidth="1"/>
    <col min="7688" max="7688" width="9.85546875" style="224" customWidth="1"/>
    <col min="7689" max="7689" width="2.5703125" style="224" bestFit="1" customWidth="1"/>
    <col min="7690" max="7690" width="9.140625" style="224"/>
    <col min="7691" max="7691" width="9" style="224" customWidth="1"/>
    <col min="7692" max="7936" width="9.140625" style="224"/>
    <col min="7937" max="7937" width="4.140625" style="224" customWidth="1"/>
    <col min="7938" max="7938" width="4.42578125" style="224" customWidth="1"/>
    <col min="7939" max="7939" width="44.140625" style="224" customWidth="1"/>
    <col min="7940" max="7940" width="6.28515625" style="224" customWidth="1"/>
    <col min="7941" max="7941" width="7.5703125" style="224" customWidth="1"/>
    <col min="7942" max="7942" width="9.5703125" style="224" customWidth="1"/>
    <col min="7943" max="7943" width="13.28515625" style="224" customWidth="1"/>
    <col min="7944" max="7944" width="9.85546875" style="224" customWidth="1"/>
    <col min="7945" max="7945" width="2.5703125" style="224" bestFit="1" customWidth="1"/>
    <col min="7946" max="7946" width="9.140625" style="224"/>
    <col min="7947" max="7947" width="9" style="224" customWidth="1"/>
    <col min="7948" max="8192" width="9.140625" style="224"/>
    <col min="8193" max="8193" width="4.140625" style="224" customWidth="1"/>
    <col min="8194" max="8194" width="4.42578125" style="224" customWidth="1"/>
    <col min="8195" max="8195" width="44.140625" style="224" customWidth="1"/>
    <col min="8196" max="8196" width="6.28515625" style="224" customWidth="1"/>
    <col min="8197" max="8197" width="7.5703125" style="224" customWidth="1"/>
    <col min="8198" max="8198" width="9.5703125" style="224" customWidth="1"/>
    <col min="8199" max="8199" width="13.28515625" style="224" customWidth="1"/>
    <col min="8200" max="8200" width="9.85546875" style="224" customWidth="1"/>
    <col min="8201" max="8201" width="2.5703125" style="224" bestFit="1" customWidth="1"/>
    <col min="8202" max="8202" width="9.140625" style="224"/>
    <col min="8203" max="8203" width="9" style="224" customWidth="1"/>
    <col min="8204" max="8448" width="9.140625" style="224"/>
    <col min="8449" max="8449" width="4.140625" style="224" customWidth="1"/>
    <col min="8450" max="8450" width="4.42578125" style="224" customWidth="1"/>
    <col min="8451" max="8451" width="44.140625" style="224" customWidth="1"/>
    <col min="8452" max="8452" width="6.28515625" style="224" customWidth="1"/>
    <col min="8453" max="8453" width="7.5703125" style="224" customWidth="1"/>
    <col min="8454" max="8454" width="9.5703125" style="224" customWidth="1"/>
    <col min="8455" max="8455" width="13.28515625" style="224" customWidth="1"/>
    <col min="8456" max="8456" width="9.85546875" style="224" customWidth="1"/>
    <col min="8457" max="8457" width="2.5703125" style="224" bestFit="1" customWidth="1"/>
    <col min="8458" max="8458" width="9.140625" style="224"/>
    <col min="8459" max="8459" width="9" style="224" customWidth="1"/>
    <col min="8460" max="8704" width="9.140625" style="224"/>
    <col min="8705" max="8705" width="4.140625" style="224" customWidth="1"/>
    <col min="8706" max="8706" width="4.42578125" style="224" customWidth="1"/>
    <col min="8707" max="8707" width="44.140625" style="224" customWidth="1"/>
    <col min="8708" max="8708" width="6.28515625" style="224" customWidth="1"/>
    <col min="8709" max="8709" width="7.5703125" style="224" customWidth="1"/>
    <col min="8710" max="8710" width="9.5703125" style="224" customWidth="1"/>
    <col min="8711" max="8711" width="13.28515625" style="224" customWidth="1"/>
    <col min="8712" max="8712" width="9.85546875" style="224" customWidth="1"/>
    <col min="8713" max="8713" width="2.5703125" style="224" bestFit="1" customWidth="1"/>
    <col min="8714" max="8714" width="9.140625" style="224"/>
    <col min="8715" max="8715" width="9" style="224" customWidth="1"/>
    <col min="8716" max="8960" width="9.140625" style="224"/>
    <col min="8961" max="8961" width="4.140625" style="224" customWidth="1"/>
    <col min="8962" max="8962" width="4.42578125" style="224" customWidth="1"/>
    <col min="8963" max="8963" width="44.140625" style="224" customWidth="1"/>
    <col min="8964" max="8964" width="6.28515625" style="224" customWidth="1"/>
    <col min="8965" max="8965" width="7.5703125" style="224" customWidth="1"/>
    <col min="8966" max="8966" width="9.5703125" style="224" customWidth="1"/>
    <col min="8967" max="8967" width="13.28515625" style="224" customWidth="1"/>
    <col min="8968" max="8968" width="9.85546875" style="224" customWidth="1"/>
    <col min="8969" max="8969" width="2.5703125" style="224" bestFit="1" customWidth="1"/>
    <col min="8970" max="8970" width="9.140625" style="224"/>
    <col min="8971" max="8971" width="9" style="224" customWidth="1"/>
    <col min="8972" max="9216" width="9.140625" style="224"/>
    <col min="9217" max="9217" width="4.140625" style="224" customWidth="1"/>
    <col min="9218" max="9218" width="4.42578125" style="224" customWidth="1"/>
    <col min="9219" max="9219" width="44.140625" style="224" customWidth="1"/>
    <col min="9220" max="9220" width="6.28515625" style="224" customWidth="1"/>
    <col min="9221" max="9221" width="7.5703125" style="224" customWidth="1"/>
    <col min="9222" max="9222" width="9.5703125" style="224" customWidth="1"/>
    <col min="9223" max="9223" width="13.28515625" style="224" customWidth="1"/>
    <col min="9224" max="9224" width="9.85546875" style="224" customWidth="1"/>
    <col min="9225" max="9225" width="2.5703125" style="224" bestFit="1" customWidth="1"/>
    <col min="9226" max="9226" width="9.140625" style="224"/>
    <col min="9227" max="9227" width="9" style="224" customWidth="1"/>
    <col min="9228" max="9472" width="9.140625" style="224"/>
    <col min="9473" max="9473" width="4.140625" style="224" customWidth="1"/>
    <col min="9474" max="9474" width="4.42578125" style="224" customWidth="1"/>
    <col min="9475" max="9475" width="44.140625" style="224" customWidth="1"/>
    <col min="9476" max="9476" width="6.28515625" style="224" customWidth="1"/>
    <col min="9477" max="9477" width="7.5703125" style="224" customWidth="1"/>
    <col min="9478" max="9478" width="9.5703125" style="224" customWidth="1"/>
    <col min="9479" max="9479" width="13.28515625" style="224" customWidth="1"/>
    <col min="9480" max="9480" width="9.85546875" style="224" customWidth="1"/>
    <col min="9481" max="9481" width="2.5703125" style="224" bestFit="1" customWidth="1"/>
    <col min="9482" max="9482" width="9.140625" style="224"/>
    <col min="9483" max="9483" width="9" style="224" customWidth="1"/>
    <col min="9484" max="9728" width="9.140625" style="224"/>
    <col min="9729" max="9729" width="4.140625" style="224" customWidth="1"/>
    <col min="9730" max="9730" width="4.42578125" style="224" customWidth="1"/>
    <col min="9731" max="9731" width="44.140625" style="224" customWidth="1"/>
    <col min="9732" max="9732" width="6.28515625" style="224" customWidth="1"/>
    <col min="9733" max="9733" width="7.5703125" style="224" customWidth="1"/>
    <col min="9734" max="9734" width="9.5703125" style="224" customWidth="1"/>
    <col min="9735" max="9735" width="13.28515625" style="224" customWidth="1"/>
    <col min="9736" max="9736" width="9.85546875" style="224" customWidth="1"/>
    <col min="9737" max="9737" width="2.5703125" style="224" bestFit="1" customWidth="1"/>
    <col min="9738" max="9738" width="9.140625" style="224"/>
    <col min="9739" max="9739" width="9" style="224" customWidth="1"/>
    <col min="9740" max="9984" width="9.140625" style="224"/>
    <col min="9985" max="9985" width="4.140625" style="224" customWidth="1"/>
    <col min="9986" max="9986" width="4.42578125" style="224" customWidth="1"/>
    <col min="9987" max="9987" width="44.140625" style="224" customWidth="1"/>
    <col min="9988" max="9988" width="6.28515625" style="224" customWidth="1"/>
    <col min="9989" max="9989" width="7.5703125" style="224" customWidth="1"/>
    <col min="9990" max="9990" width="9.5703125" style="224" customWidth="1"/>
    <col min="9991" max="9991" width="13.28515625" style="224" customWidth="1"/>
    <col min="9992" max="9992" width="9.85546875" style="224" customWidth="1"/>
    <col min="9993" max="9993" width="2.5703125" style="224" bestFit="1" customWidth="1"/>
    <col min="9994" max="9994" width="9.140625" style="224"/>
    <col min="9995" max="9995" width="9" style="224" customWidth="1"/>
    <col min="9996" max="10240" width="9.140625" style="224"/>
    <col min="10241" max="10241" width="4.140625" style="224" customWidth="1"/>
    <col min="10242" max="10242" width="4.42578125" style="224" customWidth="1"/>
    <col min="10243" max="10243" width="44.140625" style="224" customWidth="1"/>
    <col min="10244" max="10244" width="6.28515625" style="224" customWidth="1"/>
    <col min="10245" max="10245" width="7.5703125" style="224" customWidth="1"/>
    <col min="10246" max="10246" width="9.5703125" style="224" customWidth="1"/>
    <col min="10247" max="10247" width="13.28515625" style="224" customWidth="1"/>
    <col min="10248" max="10248" width="9.85546875" style="224" customWidth="1"/>
    <col min="10249" max="10249" width="2.5703125" style="224" bestFit="1" customWidth="1"/>
    <col min="10250" max="10250" width="9.140625" style="224"/>
    <col min="10251" max="10251" width="9" style="224" customWidth="1"/>
    <col min="10252" max="10496" width="9.140625" style="224"/>
    <col min="10497" max="10497" width="4.140625" style="224" customWidth="1"/>
    <col min="10498" max="10498" width="4.42578125" style="224" customWidth="1"/>
    <col min="10499" max="10499" width="44.140625" style="224" customWidth="1"/>
    <col min="10500" max="10500" width="6.28515625" style="224" customWidth="1"/>
    <col min="10501" max="10501" width="7.5703125" style="224" customWidth="1"/>
    <col min="10502" max="10502" width="9.5703125" style="224" customWidth="1"/>
    <col min="10503" max="10503" width="13.28515625" style="224" customWidth="1"/>
    <col min="10504" max="10504" width="9.85546875" style="224" customWidth="1"/>
    <col min="10505" max="10505" width="2.5703125" style="224" bestFit="1" customWidth="1"/>
    <col min="10506" max="10506" width="9.140625" style="224"/>
    <col min="10507" max="10507" width="9" style="224" customWidth="1"/>
    <col min="10508" max="10752" width="9.140625" style="224"/>
    <col min="10753" max="10753" width="4.140625" style="224" customWidth="1"/>
    <col min="10754" max="10754" width="4.42578125" style="224" customWidth="1"/>
    <col min="10755" max="10755" width="44.140625" style="224" customWidth="1"/>
    <col min="10756" max="10756" width="6.28515625" style="224" customWidth="1"/>
    <col min="10757" max="10757" width="7.5703125" style="224" customWidth="1"/>
    <col min="10758" max="10758" width="9.5703125" style="224" customWidth="1"/>
    <col min="10759" max="10759" width="13.28515625" style="224" customWidth="1"/>
    <col min="10760" max="10760" width="9.85546875" style="224" customWidth="1"/>
    <col min="10761" max="10761" width="2.5703125" style="224" bestFit="1" customWidth="1"/>
    <col min="10762" max="10762" width="9.140625" style="224"/>
    <col min="10763" max="10763" width="9" style="224" customWidth="1"/>
    <col min="10764" max="11008" width="9.140625" style="224"/>
    <col min="11009" max="11009" width="4.140625" style="224" customWidth="1"/>
    <col min="11010" max="11010" width="4.42578125" style="224" customWidth="1"/>
    <col min="11011" max="11011" width="44.140625" style="224" customWidth="1"/>
    <col min="11012" max="11012" width="6.28515625" style="224" customWidth="1"/>
    <col min="11013" max="11013" width="7.5703125" style="224" customWidth="1"/>
    <col min="11014" max="11014" width="9.5703125" style="224" customWidth="1"/>
    <col min="11015" max="11015" width="13.28515625" style="224" customWidth="1"/>
    <col min="11016" max="11016" width="9.85546875" style="224" customWidth="1"/>
    <col min="11017" max="11017" width="2.5703125" style="224" bestFit="1" customWidth="1"/>
    <col min="11018" max="11018" width="9.140625" style="224"/>
    <col min="11019" max="11019" width="9" style="224" customWidth="1"/>
    <col min="11020" max="11264" width="9.140625" style="224"/>
    <col min="11265" max="11265" width="4.140625" style="224" customWidth="1"/>
    <col min="11266" max="11266" width="4.42578125" style="224" customWidth="1"/>
    <col min="11267" max="11267" width="44.140625" style="224" customWidth="1"/>
    <col min="11268" max="11268" width="6.28515625" style="224" customWidth="1"/>
    <col min="11269" max="11269" width="7.5703125" style="224" customWidth="1"/>
    <col min="11270" max="11270" width="9.5703125" style="224" customWidth="1"/>
    <col min="11271" max="11271" width="13.28515625" style="224" customWidth="1"/>
    <col min="11272" max="11272" width="9.85546875" style="224" customWidth="1"/>
    <col min="11273" max="11273" width="2.5703125" style="224" bestFit="1" customWidth="1"/>
    <col min="11274" max="11274" width="9.140625" style="224"/>
    <col min="11275" max="11275" width="9" style="224" customWidth="1"/>
    <col min="11276" max="11520" width="9.140625" style="224"/>
    <col min="11521" max="11521" width="4.140625" style="224" customWidth="1"/>
    <col min="11522" max="11522" width="4.42578125" style="224" customWidth="1"/>
    <col min="11523" max="11523" width="44.140625" style="224" customWidth="1"/>
    <col min="11524" max="11524" width="6.28515625" style="224" customWidth="1"/>
    <col min="11525" max="11525" width="7.5703125" style="224" customWidth="1"/>
    <col min="11526" max="11526" width="9.5703125" style="224" customWidth="1"/>
    <col min="11527" max="11527" width="13.28515625" style="224" customWidth="1"/>
    <col min="11528" max="11528" width="9.85546875" style="224" customWidth="1"/>
    <col min="11529" max="11529" width="2.5703125" style="224" bestFit="1" customWidth="1"/>
    <col min="11530" max="11530" width="9.140625" style="224"/>
    <col min="11531" max="11531" width="9" style="224" customWidth="1"/>
    <col min="11532" max="11776" width="9.140625" style="224"/>
    <col min="11777" max="11777" width="4.140625" style="224" customWidth="1"/>
    <col min="11778" max="11778" width="4.42578125" style="224" customWidth="1"/>
    <col min="11779" max="11779" width="44.140625" style="224" customWidth="1"/>
    <col min="11780" max="11780" width="6.28515625" style="224" customWidth="1"/>
    <col min="11781" max="11781" width="7.5703125" style="224" customWidth="1"/>
    <col min="11782" max="11782" width="9.5703125" style="224" customWidth="1"/>
    <col min="11783" max="11783" width="13.28515625" style="224" customWidth="1"/>
    <col min="11784" max="11784" width="9.85546875" style="224" customWidth="1"/>
    <col min="11785" max="11785" width="2.5703125" style="224" bestFit="1" customWidth="1"/>
    <col min="11786" max="11786" width="9.140625" style="224"/>
    <col min="11787" max="11787" width="9" style="224" customWidth="1"/>
    <col min="11788" max="12032" width="9.140625" style="224"/>
    <col min="12033" max="12033" width="4.140625" style="224" customWidth="1"/>
    <col min="12034" max="12034" width="4.42578125" style="224" customWidth="1"/>
    <col min="12035" max="12035" width="44.140625" style="224" customWidth="1"/>
    <col min="12036" max="12036" width="6.28515625" style="224" customWidth="1"/>
    <col min="12037" max="12037" width="7.5703125" style="224" customWidth="1"/>
    <col min="12038" max="12038" width="9.5703125" style="224" customWidth="1"/>
    <col min="12039" max="12039" width="13.28515625" style="224" customWidth="1"/>
    <col min="12040" max="12040" width="9.85546875" style="224" customWidth="1"/>
    <col min="12041" max="12041" width="2.5703125" style="224" bestFit="1" customWidth="1"/>
    <col min="12042" max="12042" width="9.140625" style="224"/>
    <col min="12043" max="12043" width="9" style="224" customWidth="1"/>
    <col min="12044" max="12288" width="9.140625" style="224"/>
    <col min="12289" max="12289" width="4.140625" style="224" customWidth="1"/>
    <col min="12290" max="12290" width="4.42578125" style="224" customWidth="1"/>
    <col min="12291" max="12291" width="44.140625" style="224" customWidth="1"/>
    <col min="12292" max="12292" width="6.28515625" style="224" customWidth="1"/>
    <col min="12293" max="12293" width="7.5703125" style="224" customWidth="1"/>
    <col min="12294" max="12294" width="9.5703125" style="224" customWidth="1"/>
    <col min="12295" max="12295" width="13.28515625" style="224" customWidth="1"/>
    <col min="12296" max="12296" width="9.85546875" style="224" customWidth="1"/>
    <col min="12297" max="12297" width="2.5703125" style="224" bestFit="1" customWidth="1"/>
    <col min="12298" max="12298" width="9.140625" style="224"/>
    <col min="12299" max="12299" width="9" style="224" customWidth="1"/>
    <col min="12300" max="12544" width="9.140625" style="224"/>
    <col min="12545" max="12545" width="4.140625" style="224" customWidth="1"/>
    <col min="12546" max="12546" width="4.42578125" style="224" customWidth="1"/>
    <col min="12547" max="12547" width="44.140625" style="224" customWidth="1"/>
    <col min="12548" max="12548" width="6.28515625" style="224" customWidth="1"/>
    <col min="12549" max="12549" width="7.5703125" style="224" customWidth="1"/>
    <col min="12550" max="12550" width="9.5703125" style="224" customWidth="1"/>
    <col min="12551" max="12551" width="13.28515625" style="224" customWidth="1"/>
    <col min="12552" max="12552" width="9.85546875" style="224" customWidth="1"/>
    <col min="12553" max="12553" width="2.5703125" style="224" bestFit="1" customWidth="1"/>
    <col min="12554" max="12554" width="9.140625" style="224"/>
    <col min="12555" max="12555" width="9" style="224" customWidth="1"/>
    <col min="12556" max="12800" width="9.140625" style="224"/>
    <col min="12801" max="12801" width="4.140625" style="224" customWidth="1"/>
    <col min="12802" max="12802" width="4.42578125" style="224" customWidth="1"/>
    <col min="12803" max="12803" width="44.140625" style="224" customWidth="1"/>
    <col min="12804" max="12804" width="6.28515625" style="224" customWidth="1"/>
    <col min="12805" max="12805" width="7.5703125" style="224" customWidth="1"/>
    <col min="12806" max="12806" width="9.5703125" style="224" customWidth="1"/>
    <col min="12807" max="12807" width="13.28515625" style="224" customWidth="1"/>
    <col min="12808" max="12808" width="9.85546875" style="224" customWidth="1"/>
    <col min="12809" max="12809" width="2.5703125" style="224" bestFit="1" customWidth="1"/>
    <col min="12810" max="12810" width="9.140625" style="224"/>
    <col min="12811" max="12811" width="9" style="224" customWidth="1"/>
    <col min="12812" max="13056" width="9.140625" style="224"/>
    <col min="13057" max="13057" width="4.140625" style="224" customWidth="1"/>
    <col min="13058" max="13058" width="4.42578125" style="224" customWidth="1"/>
    <col min="13059" max="13059" width="44.140625" style="224" customWidth="1"/>
    <col min="13060" max="13060" width="6.28515625" style="224" customWidth="1"/>
    <col min="13061" max="13061" width="7.5703125" style="224" customWidth="1"/>
    <col min="13062" max="13062" width="9.5703125" style="224" customWidth="1"/>
    <col min="13063" max="13063" width="13.28515625" style="224" customWidth="1"/>
    <col min="13064" max="13064" width="9.85546875" style="224" customWidth="1"/>
    <col min="13065" max="13065" width="2.5703125" style="224" bestFit="1" customWidth="1"/>
    <col min="13066" max="13066" width="9.140625" style="224"/>
    <col min="13067" max="13067" width="9" style="224" customWidth="1"/>
    <col min="13068" max="13312" width="9.140625" style="224"/>
    <col min="13313" max="13313" width="4.140625" style="224" customWidth="1"/>
    <col min="13314" max="13314" width="4.42578125" style="224" customWidth="1"/>
    <col min="13315" max="13315" width="44.140625" style="224" customWidth="1"/>
    <col min="13316" max="13316" width="6.28515625" style="224" customWidth="1"/>
    <col min="13317" max="13317" width="7.5703125" style="224" customWidth="1"/>
    <col min="13318" max="13318" width="9.5703125" style="224" customWidth="1"/>
    <col min="13319" max="13319" width="13.28515625" style="224" customWidth="1"/>
    <col min="13320" max="13320" width="9.85546875" style="224" customWidth="1"/>
    <col min="13321" max="13321" width="2.5703125" style="224" bestFit="1" customWidth="1"/>
    <col min="13322" max="13322" width="9.140625" style="224"/>
    <col min="13323" max="13323" width="9" style="224" customWidth="1"/>
    <col min="13324" max="13568" width="9.140625" style="224"/>
    <col min="13569" max="13569" width="4.140625" style="224" customWidth="1"/>
    <col min="13570" max="13570" width="4.42578125" style="224" customWidth="1"/>
    <col min="13571" max="13571" width="44.140625" style="224" customWidth="1"/>
    <col min="13572" max="13572" width="6.28515625" style="224" customWidth="1"/>
    <col min="13573" max="13573" width="7.5703125" style="224" customWidth="1"/>
    <col min="13574" max="13574" width="9.5703125" style="224" customWidth="1"/>
    <col min="13575" max="13575" width="13.28515625" style="224" customWidth="1"/>
    <col min="13576" max="13576" width="9.85546875" style="224" customWidth="1"/>
    <col min="13577" max="13577" width="2.5703125" style="224" bestFit="1" customWidth="1"/>
    <col min="13578" max="13578" width="9.140625" style="224"/>
    <col min="13579" max="13579" width="9" style="224" customWidth="1"/>
    <col min="13580" max="13824" width="9.140625" style="224"/>
    <col min="13825" max="13825" width="4.140625" style="224" customWidth="1"/>
    <col min="13826" max="13826" width="4.42578125" style="224" customWidth="1"/>
    <col min="13827" max="13827" width="44.140625" style="224" customWidth="1"/>
    <col min="13828" max="13828" width="6.28515625" style="224" customWidth="1"/>
    <col min="13829" max="13829" width="7.5703125" style="224" customWidth="1"/>
    <col min="13830" max="13830" width="9.5703125" style="224" customWidth="1"/>
    <col min="13831" max="13831" width="13.28515625" style="224" customWidth="1"/>
    <col min="13832" max="13832" width="9.85546875" style="224" customWidth="1"/>
    <col min="13833" max="13833" width="2.5703125" style="224" bestFit="1" customWidth="1"/>
    <col min="13834" max="13834" width="9.140625" style="224"/>
    <col min="13835" max="13835" width="9" style="224" customWidth="1"/>
    <col min="13836" max="14080" width="9.140625" style="224"/>
    <col min="14081" max="14081" width="4.140625" style="224" customWidth="1"/>
    <col min="14082" max="14082" width="4.42578125" style="224" customWidth="1"/>
    <col min="14083" max="14083" width="44.140625" style="224" customWidth="1"/>
    <col min="14084" max="14084" width="6.28515625" style="224" customWidth="1"/>
    <col min="14085" max="14085" width="7.5703125" style="224" customWidth="1"/>
    <col min="14086" max="14086" width="9.5703125" style="224" customWidth="1"/>
    <col min="14087" max="14087" width="13.28515625" style="224" customWidth="1"/>
    <col min="14088" max="14088" width="9.85546875" style="224" customWidth="1"/>
    <col min="14089" max="14089" width="2.5703125" style="224" bestFit="1" customWidth="1"/>
    <col min="14090" max="14090" width="9.140625" style="224"/>
    <col min="14091" max="14091" width="9" style="224" customWidth="1"/>
    <col min="14092" max="14336" width="9.140625" style="224"/>
    <col min="14337" max="14337" width="4.140625" style="224" customWidth="1"/>
    <col min="14338" max="14338" width="4.42578125" style="224" customWidth="1"/>
    <col min="14339" max="14339" width="44.140625" style="224" customWidth="1"/>
    <col min="14340" max="14340" width="6.28515625" style="224" customWidth="1"/>
    <col min="14341" max="14341" width="7.5703125" style="224" customWidth="1"/>
    <col min="14342" max="14342" width="9.5703125" style="224" customWidth="1"/>
    <col min="14343" max="14343" width="13.28515625" style="224" customWidth="1"/>
    <col min="14344" max="14344" width="9.85546875" style="224" customWidth="1"/>
    <col min="14345" max="14345" width="2.5703125" style="224" bestFit="1" customWidth="1"/>
    <col min="14346" max="14346" width="9.140625" style="224"/>
    <col min="14347" max="14347" width="9" style="224" customWidth="1"/>
    <col min="14348" max="14592" width="9.140625" style="224"/>
    <col min="14593" max="14593" width="4.140625" style="224" customWidth="1"/>
    <col min="14594" max="14594" width="4.42578125" style="224" customWidth="1"/>
    <col min="14595" max="14595" width="44.140625" style="224" customWidth="1"/>
    <col min="14596" max="14596" width="6.28515625" style="224" customWidth="1"/>
    <col min="14597" max="14597" width="7.5703125" style="224" customWidth="1"/>
    <col min="14598" max="14598" width="9.5703125" style="224" customWidth="1"/>
    <col min="14599" max="14599" width="13.28515625" style="224" customWidth="1"/>
    <col min="14600" max="14600" width="9.85546875" style="224" customWidth="1"/>
    <col min="14601" max="14601" width="2.5703125" style="224" bestFit="1" customWidth="1"/>
    <col min="14602" max="14602" width="9.140625" style="224"/>
    <col min="14603" max="14603" width="9" style="224" customWidth="1"/>
    <col min="14604" max="14848" width="9.140625" style="224"/>
    <col min="14849" max="14849" width="4.140625" style="224" customWidth="1"/>
    <col min="14850" max="14850" width="4.42578125" style="224" customWidth="1"/>
    <col min="14851" max="14851" width="44.140625" style="224" customWidth="1"/>
    <col min="14852" max="14852" width="6.28515625" style="224" customWidth="1"/>
    <col min="14853" max="14853" width="7.5703125" style="224" customWidth="1"/>
    <col min="14854" max="14854" width="9.5703125" style="224" customWidth="1"/>
    <col min="14855" max="14855" width="13.28515625" style="224" customWidth="1"/>
    <col min="14856" max="14856" width="9.85546875" style="224" customWidth="1"/>
    <col min="14857" max="14857" width="2.5703125" style="224" bestFit="1" customWidth="1"/>
    <col min="14858" max="14858" width="9.140625" style="224"/>
    <col min="14859" max="14859" width="9" style="224" customWidth="1"/>
    <col min="14860" max="15104" width="9.140625" style="224"/>
    <col min="15105" max="15105" width="4.140625" style="224" customWidth="1"/>
    <col min="15106" max="15106" width="4.42578125" style="224" customWidth="1"/>
    <col min="15107" max="15107" width="44.140625" style="224" customWidth="1"/>
    <col min="15108" max="15108" width="6.28515625" style="224" customWidth="1"/>
    <col min="15109" max="15109" width="7.5703125" style="224" customWidth="1"/>
    <col min="15110" max="15110" width="9.5703125" style="224" customWidth="1"/>
    <col min="15111" max="15111" width="13.28515625" style="224" customWidth="1"/>
    <col min="15112" max="15112" width="9.85546875" style="224" customWidth="1"/>
    <col min="15113" max="15113" width="2.5703125" style="224" bestFit="1" customWidth="1"/>
    <col min="15114" max="15114" width="9.140625" style="224"/>
    <col min="15115" max="15115" width="9" style="224" customWidth="1"/>
    <col min="15116" max="15360" width="9.140625" style="224"/>
    <col min="15361" max="15361" width="4.140625" style="224" customWidth="1"/>
    <col min="15362" max="15362" width="4.42578125" style="224" customWidth="1"/>
    <col min="15363" max="15363" width="44.140625" style="224" customWidth="1"/>
    <col min="15364" max="15364" width="6.28515625" style="224" customWidth="1"/>
    <col min="15365" max="15365" width="7.5703125" style="224" customWidth="1"/>
    <col min="15366" max="15366" width="9.5703125" style="224" customWidth="1"/>
    <col min="15367" max="15367" width="13.28515625" style="224" customWidth="1"/>
    <col min="15368" max="15368" width="9.85546875" style="224" customWidth="1"/>
    <col min="15369" max="15369" width="2.5703125" style="224" bestFit="1" customWidth="1"/>
    <col min="15370" max="15370" width="9.140625" style="224"/>
    <col min="15371" max="15371" width="9" style="224" customWidth="1"/>
    <col min="15372" max="15616" width="9.140625" style="224"/>
    <col min="15617" max="15617" width="4.140625" style="224" customWidth="1"/>
    <col min="15618" max="15618" width="4.42578125" style="224" customWidth="1"/>
    <col min="15619" max="15619" width="44.140625" style="224" customWidth="1"/>
    <col min="15620" max="15620" width="6.28515625" style="224" customWidth="1"/>
    <col min="15621" max="15621" width="7.5703125" style="224" customWidth="1"/>
    <col min="15622" max="15622" width="9.5703125" style="224" customWidth="1"/>
    <col min="15623" max="15623" width="13.28515625" style="224" customWidth="1"/>
    <col min="15624" max="15624" width="9.85546875" style="224" customWidth="1"/>
    <col min="15625" max="15625" width="2.5703125" style="224" bestFit="1" customWidth="1"/>
    <col min="15626" max="15626" width="9.140625" style="224"/>
    <col min="15627" max="15627" width="9" style="224" customWidth="1"/>
    <col min="15628" max="15872" width="9.140625" style="224"/>
    <col min="15873" max="15873" width="4.140625" style="224" customWidth="1"/>
    <col min="15874" max="15874" width="4.42578125" style="224" customWidth="1"/>
    <col min="15875" max="15875" width="44.140625" style="224" customWidth="1"/>
    <col min="15876" max="15876" width="6.28515625" style="224" customWidth="1"/>
    <col min="15877" max="15877" width="7.5703125" style="224" customWidth="1"/>
    <col min="15878" max="15878" width="9.5703125" style="224" customWidth="1"/>
    <col min="15879" max="15879" width="13.28515625" style="224" customWidth="1"/>
    <col min="15880" max="15880" width="9.85546875" style="224" customWidth="1"/>
    <col min="15881" max="15881" width="2.5703125" style="224" bestFit="1" customWidth="1"/>
    <col min="15882" max="15882" width="9.140625" style="224"/>
    <col min="15883" max="15883" width="9" style="224" customWidth="1"/>
    <col min="15884" max="16128" width="9.140625" style="224"/>
    <col min="16129" max="16129" width="4.140625" style="224" customWidth="1"/>
    <col min="16130" max="16130" width="4.42578125" style="224" customWidth="1"/>
    <col min="16131" max="16131" width="44.140625" style="224" customWidth="1"/>
    <col min="16132" max="16132" width="6.28515625" style="224" customWidth="1"/>
    <col min="16133" max="16133" width="7.5703125" style="224" customWidth="1"/>
    <col min="16134" max="16134" width="9.5703125" style="224" customWidth="1"/>
    <col min="16135" max="16135" width="13.28515625" style="224" customWidth="1"/>
    <col min="16136" max="16136" width="9.85546875" style="224" customWidth="1"/>
    <col min="16137" max="16137" width="2.5703125" style="224" bestFit="1" customWidth="1"/>
    <col min="16138" max="16138" width="9.140625" style="224"/>
    <col min="16139" max="16139" width="9" style="224" customWidth="1"/>
    <col min="16140" max="16384" width="9.140625" style="224"/>
  </cols>
  <sheetData>
    <row r="1" spans="1:11" s="213" customFormat="1" ht="18" x14ac:dyDescent="0.25">
      <c r="A1" s="753"/>
      <c r="B1" s="757"/>
      <c r="C1" s="753"/>
      <c r="E1" s="754"/>
      <c r="F1" s="1954"/>
      <c r="G1" s="755"/>
      <c r="H1" s="756"/>
    </row>
    <row r="2" spans="1:11" s="330" customFormat="1" ht="18" x14ac:dyDescent="0.25">
      <c r="A2" s="819" t="s">
        <v>1052</v>
      </c>
      <c r="B2" s="758"/>
      <c r="C2" s="759" t="s">
        <v>1343</v>
      </c>
      <c r="E2" s="760"/>
      <c r="F2" s="1955"/>
      <c r="G2" s="755"/>
      <c r="H2" s="762"/>
    </row>
    <row r="3" spans="1:11" ht="14.25" customHeight="1" x14ac:dyDescent="0.25">
      <c r="A3" s="763" t="s">
        <v>561</v>
      </c>
      <c r="B3" s="763"/>
      <c r="C3" s="818" t="s">
        <v>1324</v>
      </c>
      <c r="H3" s="2049"/>
    </row>
    <row r="4" spans="1:11" x14ac:dyDescent="0.25">
      <c r="C4" s="766"/>
      <c r="D4" s="763"/>
      <c r="E4" s="763"/>
      <c r="F4" s="1957"/>
      <c r="G4" s="763"/>
      <c r="H4" s="2049"/>
    </row>
    <row r="5" spans="1:11" ht="12.75" customHeight="1" x14ac:dyDescent="0.25">
      <c r="A5" s="763" t="s">
        <v>63</v>
      </c>
      <c r="B5" s="763"/>
      <c r="C5" s="766"/>
      <c r="D5" s="763"/>
      <c r="E5" s="763"/>
      <c r="F5" s="1957"/>
      <c r="G5" s="763"/>
      <c r="H5" s="767"/>
    </row>
    <row r="6" spans="1:11" s="230" customFormat="1" x14ac:dyDescent="0.25">
      <c r="A6" s="675" t="s">
        <v>26</v>
      </c>
      <c r="B6" s="675"/>
      <c r="C6" s="676" t="s">
        <v>27</v>
      </c>
      <c r="D6" s="675" t="s">
        <v>28</v>
      </c>
      <c r="E6" s="677" t="s">
        <v>29</v>
      </c>
      <c r="F6" s="1935" t="s">
        <v>30</v>
      </c>
      <c r="G6" s="678" t="s">
        <v>31</v>
      </c>
      <c r="H6" s="224"/>
      <c r="J6" s="231"/>
      <c r="K6" s="231"/>
    </row>
    <row r="7" spans="1:11" s="246" customFormat="1" ht="12" x14ac:dyDescent="0.25">
      <c r="A7" s="768"/>
      <c r="B7" s="769"/>
      <c r="C7" s="770"/>
      <c r="E7" s="771"/>
      <c r="F7" s="1957"/>
      <c r="G7" s="763"/>
    </row>
    <row r="8" spans="1:11" s="239" customFormat="1" ht="16.5" thickBot="1" x14ac:dyDescent="0.3">
      <c r="A8" s="772"/>
      <c r="B8" s="773" t="s">
        <v>20</v>
      </c>
      <c r="C8" s="774" t="s">
        <v>1011</v>
      </c>
      <c r="D8" s="235"/>
      <c r="E8" s="775"/>
      <c r="F8" s="1958"/>
      <c r="G8" s="1706"/>
    </row>
    <row r="9" spans="1:11" s="239" customFormat="1" ht="15.75" x14ac:dyDescent="0.25">
      <c r="A9" s="827"/>
      <c r="B9" s="828"/>
      <c r="C9" s="833"/>
      <c r="E9" s="829"/>
      <c r="F9" s="1969"/>
      <c r="G9" s="780"/>
    </row>
    <row r="10" spans="1:11" s="246" customFormat="1" ht="24" x14ac:dyDescent="0.25">
      <c r="C10" s="789" t="s">
        <v>1323</v>
      </c>
      <c r="E10" s="771"/>
      <c r="F10" s="1957"/>
      <c r="G10" s="763"/>
    </row>
    <row r="11" spans="1:11" s="246" customFormat="1" ht="60" x14ac:dyDescent="0.25">
      <c r="C11" s="789" t="s">
        <v>1124</v>
      </c>
      <c r="E11" s="771"/>
      <c r="F11" s="1957"/>
      <c r="G11" s="763"/>
    </row>
    <row r="12" spans="1:11" s="246" customFormat="1" ht="48" x14ac:dyDescent="0.25">
      <c r="C12" s="789" t="s">
        <v>1125</v>
      </c>
      <c r="E12" s="771"/>
      <c r="F12" s="1957"/>
      <c r="G12" s="763"/>
    </row>
    <row r="13" spans="1:11" s="246" customFormat="1" ht="96" x14ac:dyDescent="0.25">
      <c r="C13" s="789" t="s">
        <v>1126</v>
      </c>
      <c r="E13" s="771"/>
      <c r="F13" s="1957"/>
      <c r="G13" s="763"/>
    </row>
    <row r="14" spans="1:11" s="246" customFormat="1" ht="48" x14ac:dyDescent="0.25">
      <c r="C14" s="789" t="s">
        <v>1127</v>
      </c>
      <c r="E14" s="771"/>
      <c r="F14" s="1957"/>
      <c r="G14" s="763"/>
    </row>
    <row r="15" spans="1:11" s="246" customFormat="1" ht="12" x14ac:dyDescent="0.25">
      <c r="C15" s="817"/>
      <c r="E15" s="771"/>
      <c r="F15" s="1957"/>
      <c r="G15" s="763"/>
    </row>
    <row r="16" spans="1:11" s="246" customFormat="1" ht="15" x14ac:dyDescent="0.25">
      <c r="B16" s="837" t="s">
        <v>1325</v>
      </c>
      <c r="C16" s="838" t="s">
        <v>1129</v>
      </c>
      <c r="D16" s="839"/>
      <c r="E16" s="840"/>
      <c r="F16" s="841"/>
      <c r="G16" s="1707"/>
    </row>
    <row r="17" spans="1:7" s="246" customFormat="1" ht="41.25" x14ac:dyDescent="0.25">
      <c r="A17" s="842" t="str">
        <f>$B$16</f>
        <v>2.1</v>
      </c>
      <c r="B17" s="789" t="s">
        <v>1232</v>
      </c>
      <c r="C17" s="789" t="s">
        <v>1130</v>
      </c>
      <c r="D17" s="695" t="s">
        <v>65</v>
      </c>
      <c r="E17" s="696">
        <v>20</v>
      </c>
      <c r="F17" s="1959"/>
      <c r="G17" s="783">
        <f>ROUND(E17*F17,2)</f>
        <v>0</v>
      </c>
    </row>
    <row r="18" spans="1:7" s="246" customFormat="1" x14ac:dyDescent="0.25">
      <c r="A18" s="842"/>
      <c r="B18" s="789"/>
      <c r="C18" s="789"/>
      <c r="D18" s="695"/>
      <c r="E18" s="696"/>
      <c r="F18" s="1959"/>
      <c r="G18" s="783"/>
    </row>
    <row r="19" spans="1:7" s="246" customFormat="1" ht="41.25" x14ac:dyDescent="0.25">
      <c r="A19" s="842" t="str">
        <f>$B$16</f>
        <v>2.1</v>
      </c>
      <c r="B19" s="789" t="s">
        <v>1234</v>
      </c>
      <c r="C19" s="789" t="s">
        <v>1131</v>
      </c>
      <c r="D19" s="695" t="s">
        <v>65</v>
      </c>
      <c r="E19" s="696">
        <v>20</v>
      </c>
      <c r="F19" s="1959"/>
      <c r="G19" s="783">
        <f>ROUND(E19*F19,2)</f>
        <v>0</v>
      </c>
    </row>
    <row r="20" spans="1:7" s="246" customFormat="1" x14ac:dyDescent="0.25">
      <c r="A20" s="842"/>
      <c r="B20" s="789"/>
      <c r="C20" s="789"/>
      <c r="D20" s="695"/>
      <c r="E20" s="696"/>
      <c r="F20" s="1959"/>
      <c r="G20" s="783"/>
    </row>
    <row r="21" spans="1:7" s="246" customFormat="1" x14ac:dyDescent="0.25">
      <c r="A21" s="842" t="str">
        <f>$B$16</f>
        <v>2.1</v>
      </c>
      <c r="B21" s="789" t="s">
        <v>1236</v>
      </c>
      <c r="C21" s="789" t="s">
        <v>1132</v>
      </c>
      <c r="D21" s="695" t="s">
        <v>65</v>
      </c>
      <c r="E21" s="696">
        <v>50</v>
      </c>
      <c r="F21" s="1959"/>
      <c r="G21" s="783">
        <f>ROUND(E21*F21,2)</f>
        <v>0</v>
      </c>
    </row>
    <row r="22" spans="1:7" s="246" customFormat="1" x14ac:dyDescent="0.25">
      <c r="A22" s="842"/>
      <c r="B22" s="789"/>
      <c r="C22" s="789"/>
      <c r="D22" s="695"/>
      <c r="E22" s="696"/>
      <c r="F22" s="1959"/>
      <c r="G22" s="783"/>
    </row>
    <row r="23" spans="1:7" s="246" customFormat="1" x14ac:dyDescent="0.25">
      <c r="A23" s="842" t="str">
        <f>$B$16</f>
        <v>2.1</v>
      </c>
      <c r="B23" s="789" t="s">
        <v>4</v>
      </c>
      <c r="C23" s="789" t="s">
        <v>1133</v>
      </c>
      <c r="D23" s="695" t="s">
        <v>65</v>
      </c>
      <c r="E23" s="696">
        <v>150</v>
      </c>
      <c r="F23" s="1959"/>
      <c r="G23" s="783">
        <f>ROUND(E23*F23,2)</f>
        <v>0</v>
      </c>
    </row>
    <row r="24" spans="1:7" s="246" customFormat="1" x14ac:dyDescent="0.25">
      <c r="A24" s="842"/>
      <c r="B24" s="789"/>
      <c r="C24" s="789"/>
      <c r="D24" s="695"/>
      <c r="E24" s="696"/>
      <c r="F24" s="1959"/>
      <c r="G24" s="783"/>
    </row>
    <row r="25" spans="1:7" s="246" customFormat="1" x14ac:dyDescent="0.25">
      <c r="A25" s="842" t="str">
        <f>$B$16</f>
        <v>2.1</v>
      </c>
      <c r="B25" s="789" t="s">
        <v>5</v>
      </c>
      <c r="C25" s="789" t="s">
        <v>1319</v>
      </c>
      <c r="D25" s="695" t="s">
        <v>65</v>
      </c>
      <c r="E25" s="696">
        <v>60</v>
      </c>
      <c r="F25" s="1959"/>
      <c r="G25" s="783">
        <f>ROUND(E25*F25,2)</f>
        <v>0</v>
      </c>
    </row>
    <row r="26" spans="1:7" s="246" customFormat="1" x14ac:dyDescent="0.25">
      <c r="A26" s="842"/>
      <c r="B26" s="789"/>
      <c r="C26" s="789"/>
      <c r="D26" s="695"/>
      <c r="E26" s="696"/>
      <c r="F26" s="1959"/>
      <c r="G26" s="783"/>
    </row>
    <row r="27" spans="1:7" s="246" customFormat="1" x14ac:dyDescent="0.25">
      <c r="A27" s="842" t="str">
        <f>$B$16</f>
        <v>2.1</v>
      </c>
      <c r="B27" s="789" t="s">
        <v>6</v>
      </c>
      <c r="C27" s="789" t="s">
        <v>1134</v>
      </c>
      <c r="D27" s="695" t="s">
        <v>65</v>
      </c>
      <c r="E27" s="696">
        <v>150</v>
      </c>
      <c r="F27" s="1959"/>
      <c r="G27" s="783">
        <f>ROUND(E27*F27,2)</f>
        <v>0</v>
      </c>
    </row>
    <row r="28" spans="1:7" s="246" customFormat="1" x14ac:dyDescent="0.25">
      <c r="A28" s="842"/>
      <c r="B28" s="789"/>
      <c r="C28" s="789"/>
      <c r="D28" s="695"/>
      <c r="E28" s="696"/>
      <c r="F28" s="1959"/>
      <c r="G28" s="783"/>
    </row>
    <row r="29" spans="1:7" s="246" customFormat="1" x14ac:dyDescent="0.25">
      <c r="A29" s="842" t="str">
        <f>$B$16</f>
        <v>2.1</v>
      </c>
      <c r="B29" s="789" t="s">
        <v>7</v>
      </c>
      <c r="C29" s="789" t="s">
        <v>1135</v>
      </c>
      <c r="D29" s="695" t="s">
        <v>65</v>
      </c>
      <c r="E29" s="696">
        <v>20</v>
      </c>
      <c r="F29" s="1959"/>
      <c r="G29" s="783">
        <f>ROUND(E29*F29,2)</f>
        <v>0</v>
      </c>
    </row>
    <row r="30" spans="1:7" s="246" customFormat="1" x14ac:dyDescent="0.25">
      <c r="A30" s="842"/>
      <c r="B30" s="789"/>
      <c r="C30" s="789"/>
      <c r="D30" s="695"/>
      <c r="E30" s="696"/>
      <c r="F30" s="1959"/>
      <c r="G30" s="783"/>
    </row>
    <row r="31" spans="1:7" s="246" customFormat="1" ht="24" x14ac:dyDescent="0.25">
      <c r="A31" s="842" t="str">
        <f>$B$16</f>
        <v>2.1</v>
      </c>
      <c r="B31" s="789" t="s">
        <v>1274</v>
      </c>
      <c r="C31" s="789" t="s">
        <v>1318</v>
      </c>
      <c r="D31" s="695" t="s">
        <v>65</v>
      </c>
      <c r="E31" s="696">
        <v>420</v>
      </c>
      <c r="F31" s="1959"/>
      <c r="G31" s="783">
        <f>ROUND(E31*F31,2)</f>
        <v>0</v>
      </c>
    </row>
    <row r="32" spans="1:7" s="246" customFormat="1" x14ac:dyDescent="0.25">
      <c r="A32" s="842"/>
      <c r="B32" s="789"/>
      <c r="C32" s="789"/>
      <c r="D32" s="695"/>
      <c r="E32" s="696"/>
      <c r="F32" s="1959"/>
      <c r="G32" s="783"/>
    </row>
    <row r="33" spans="1:7" s="246" customFormat="1" ht="48" x14ac:dyDescent="0.25">
      <c r="A33" s="842" t="str">
        <f>$B$16</f>
        <v>2.1</v>
      </c>
      <c r="B33" s="789" t="s">
        <v>1272</v>
      </c>
      <c r="C33" s="789" t="s">
        <v>1317</v>
      </c>
      <c r="D33" s="695" t="s">
        <v>58</v>
      </c>
      <c r="E33" s="696">
        <v>1</v>
      </c>
      <c r="F33" s="1959"/>
      <c r="G33" s="783">
        <f>ROUND(E33*F33,2)</f>
        <v>0</v>
      </c>
    </row>
    <row r="34" spans="1:7" s="246" customFormat="1" x14ac:dyDescent="0.25">
      <c r="A34" s="842"/>
      <c r="B34" s="789"/>
      <c r="C34" s="789"/>
      <c r="D34" s="695"/>
      <c r="E34" s="696"/>
      <c r="F34" s="1959"/>
      <c r="G34" s="783"/>
    </row>
    <row r="35" spans="1:7" s="246" customFormat="1" x14ac:dyDescent="0.25">
      <c r="A35" s="842" t="str">
        <f>$B$16</f>
        <v>2.1</v>
      </c>
      <c r="B35" s="789" t="s">
        <v>1288</v>
      </c>
      <c r="C35" s="789" t="s">
        <v>1307</v>
      </c>
      <c r="D35" s="695" t="s">
        <v>58</v>
      </c>
      <c r="E35" s="696">
        <v>1</v>
      </c>
      <c r="F35" s="1959"/>
      <c r="G35" s="783">
        <f>ROUND(E35*F35,2)</f>
        <v>0</v>
      </c>
    </row>
    <row r="36" spans="1:7" s="246" customFormat="1" x14ac:dyDescent="0.25">
      <c r="A36" s="842"/>
      <c r="B36" s="789"/>
      <c r="C36" s="789"/>
      <c r="D36" s="695"/>
      <c r="E36" s="696"/>
      <c r="F36" s="1959"/>
      <c r="G36" s="783"/>
    </row>
    <row r="37" spans="1:7" s="246" customFormat="1" x14ac:dyDescent="0.25">
      <c r="A37" s="842" t="str">
        <f>$B$16</f>
        <v>2.1</v>
      </c>
      <c r="B37" s="789" t="s">
        <v>1270</v>
      </c>
      <c r="C37" s="789" t="s">
        <v>1137</v>
      </c>
      <c r="D37" s="695" t="s">
        <v>58</v>
      </c>
      <c r="E37" s="696">
        <v>1</v>
      </c>
      <c r="F37" s="1959"/>
      <c r="G37" s="783">
        <f>ROUND(E37*F37,2)</f>
        <v>0</v>
      </c>
    </row>
    <row r="38" spans="1:7" s="246" customFormat="1" ht="14.25" x14ac:dyDescent="0.25">
      <c r="B38" s="843"/>
      <c r="C38" s="844"/>
      <c r="D38" s="839"/>
      <c r="E38" s="840"/>
      <c r="F38" s="841"/>
      <c r="G38" s="1708"/>
    </row>
    <row r="39" spans="1:7" s="246" customFormat="1" ht="15" x14ac:dyDescent="0.25">
      <c r="B39" s="837"/>
      <c r="C39" s="838" t="s">
        <v>1138</v>
      </c>
      <c r="D39" s="845"/>
      <c r="E39" s="846"/>
      <c r="F39" s="847"/>
      <c r="G39" s="1709">
        <f>ROUND(SUM(G17:G37),2)</f>
        <v>0</v>
      </c>
    </row>
    <row r="40" spans="1:7" s="246" customFormat="1" ht="15" x14ac:dyDescent="0.25">
      <c r="B40" s="837"/>
      <c r="C40" s="848"/>
      <c r="D40" s="845"/>
      <c r="E40" s="846"/>
      <c r="F40" s="847"/>
      <c r="G40" s="1708" t="str">
        <f>IF(F40="","",F40*E40)</f>
        <v/>
      </c>
    </row>
    <row r="41" spans="1:7" s="246" customFormat="1" ht="15" x14ac:dyDescent="0.25">
      <c r="B41" s="837" t="s">
        <v>1326</v>
      </c>
      <c r="C41" s="848" t="s">
        <v>1140</v>
      </c>
      <c r="D41" s="849"/>
      <c r="E41" s="846"/>
      <c r="F41" s="847"/>
      <c r="G41" s="1708" t="str">
        <f>IF(F41="","",F41*E41)</f>
        <v/>
      </c>
    </row>
    <row r="42" spans="1:7" s="246" customFormat="1" ht="15" x14ac:dyDescent="0.25">
      <c r="B42" s="850"/>
      <c r="C42" s="851"/>
      <c r="D42" s="839"/>
      <c r="E42" s="852"/>
      <c r="F42" s="853"/>
      <c r="G42" s="1708" t="str">
        <f>IF(F42="","",F42*E42)</f>
        <v/>
      </c>
    </row>
    <row r="43" spans="1:7" s="246" customFormat="1" ht="15" x14ac:dyDescent="0.25">
      <c r="B43" s="881"/>
      <c r="C43" s="854" t="s">
        <v>1141</v>
      </c>
      <c r="D43" s="855" t="s">
        <v>159</v>
      </c>
      <c r="E43" s="856" t="s">
        <v>159</v>
      </c>
      <c r="F43" s="857"/>
      <c r="G43" s="1708" t="str">
        <f>IF(F43="","",F43*E43)</f>
        <v/>
      </c>
    </row>
    <row r="44" spans="1:7" s="246" customFormat="1" ht="84" x14ac:dyDescent="0.25">
      <c r="A44" s="842" t="str">
        <f>$B$41</f>
        <v>2.2</v>
      </c>
      <c r="B44" s="789" t="s">
        <v>1232</v>
      </c>
      <c r="C44" s="789" t="s">
        <v>1327</v>
      </c>
      <c r="D44" s="695" t="s">
        <v>58</v>
      </c>
      <c r="E44" s="696">
        <v>1</v>
      </c>
      <c r="F44" s="1959"/>
      <c r="G44" s="783">
        <f>ROUND(E44*F44,2)</f>
        <v>0</v>
      </c>
    </row>
    <row r="45" spans="1:7" s="246" customFormat="1" x14ac:dyDescent="0.25">
      <c r="A45" s="842"/>
      <c r="B45" s="789"/>
      <c r="C45" s="789"/>
      <c r="D45" s="695"/>
      <c r="E45" s="696"/>
      <c r="F45" s="1959"/>
      <c r="G45" s="783"/>
    </row>
    <row r="46" spans="1:7" s="246" customFormat="1" ht="84" x14ac:dyDescent="0.25">
      <c r="A46" s="842" t="str">
        <f>$B$41</f>
        <v>2.2</v>
      </c>
      <c r="B46" s="789" t="s">
        <v>1234</v>
      </c>
      <c r="C46" s="789" t="s">
        <v>1328</v>
      </c>
      <c r="D46" s="695" t="s">
        <v>39</v>
      </c>
      <c r="E46" s="696">
        <v>1</v>
      </c>
      <c r="F46" s="1959"/>
      <c r="G46" s="783">
        <f>ROUND(E46*F46,2)</f>
        <v>0</v>
      </c>
    </row>
    <row r="47" spans="1:7" s="246" customFormat="1" x14ac:dyDescent="0.25">
      <c r="A47" s="842"/>
      <c r="B47" s="789"/>
      <c r="C47" s="789"/>
      <c r="D47" s="695"/>
      <c r="E47" s="696"/>
      <c r="F47" s="1959"/>
      <c r="G47" s="783"/>
    </row>
    <row r="48" spans="1:7" s="246" customFormat="1" ht="24" x14ac:dyDescent="0.25">
      <c r="A48" s="842" t="str">
        <f>$B$41</f>
        <v>2.2</v>
      </c>
      <c r="B48" s="789" t="s">
        <v>1236</v>
      </c>
      <c r="C48" s="789" t="s">
        <v>1144</v>
      </c>
      <c r="D48" s="695" t="s">
        <v>58</v>
      </c>
      <c r="E48" s="696">
        <v>1</v>
      </c>
      <c r="F48" s="1959"/>
      <c r="G48" s="783">
        <f>ROUND(E48*F48,2)</f>
        <v>0</v>
      </c>
    </row>
    <row r="49" spans="1:7" s="246" customFormat="1" x14ac:dyDescent="0.25">
      <c r="A49" s="842"/>
      <c r="B49" s="789"/>
      <c r="C49" s="789"/>
      <c r="D49" s="695"/>
      <c r="E49" s="696"/>
      <c r="F49" s="1959"/>
      <c r="G49" s="783"/>
    </row>
    <row r="50" spans="1:7" s="246" customFormat="1" ht="24" x14ac:dyDescent="0.25">
      <c r="A50" s="842" t="str">
        <f>$B$41</f>
        <v>2.2</v>
      </c>
      <c r="B50" s="789" t="s">
        <v>4</v>
      </c>
      <c r="C50" s="789" t="s">
        <v>1145</v>
      </c>
      <c r="D50" s="695" t="s">
        <v>39</v>
      </c>
      <c r="E50" s="696">
        <v>1</v>
      </c>
      <c r="F50" s="1959"/>
      <c r="G50" s="783">
        <f>ROUND(E50*F50,2)</f>
        <v>0</v>
      </c>
    </row>
    <row r="51" spans="1:7" s="246" customFormat="1" x14ac:dyDescent="0.25">
      <c r="A51" s="842"/>
      <c r="B51" s="789"/>
      <c r="C51" s="789"/>
      <c r="D51" s="695"/>
      <c r="E51" s="696"/>
      <c r="F51" s="1959"/>
      <c r="G51" s="783"/>
    </row>
    <row r="52" spans="1:7" s="246" customFormat="1" ht="36" x14ac:dyDescent="0.25">
      <c r="A52" s="842" t="str">
        <f>$B$41</f>
        <v>2.2</v>
      </c>
      <c r="B52" s="789" t="s">
        <v>5</v>
      </c>
      <c r="C52" s="789" t="s">
        <v>1146</v>
      </c>
      <c r="D52" s="695" t="s">
        <v>39</v>
      </c>
      <c r="E52" s="696">
        <v>1</v>
      </c>
      <c r="F52" s="1959"/>
      <c r="G52" s="783">
        <f>ROUND(E52*F52,2)</f>
        <v>0</v>
      </c>
    </row>
    <row r="53" spans="1:7" s="246" customFormat="1" x14ac:dyDescent="0.25">
      <c r="A53" s="842"/>
      <c r="B53" s="789"/>
      <c r="C53" s="789"/>
      <c r="D53" s="695"/>
      <c r="E53" s="696"/>
      <c r="F53" s="1959"/>
      <c r="G53" s="783"/>
    </row>
    <row r="54" spans="1:7" s="246" customFormat="1" ht="36" x14ac:dyDescent="0.25">
      <c r="A54" s="842" t="str">
        <f>$B$41</f>
        <v>2.2</v>
      </c>
      <c r="B54" s="789" t="s">
        <v>6</v>
      </c>
      <c r="C54" s="789" t="s">
        <v>1147</v>
      </c>
      <c r="D54" s="695" t="s">
        <v>39</v>
      </c>
      <c r="E54" s="696">
        <v>1</v>
      </c>
      <c r="F54" s="1959"/>
      <c r="G54" s="783">
        <f>ROUND(E54*F54,2)</f>
        <v>0</v>
      </c>
    </row>
    <row r="55" spans="1:7" s="246" customFormat="1" x14ac:dyDescent="0.25">
      <c r="A55" s="842"/>
      <c r="B55" s="789"/>
      <c r="C55" s="789"/>
      <c r="D55" s="695"/>
      <c r="E55" s="696"/>
      <c r="F55" s="1959"/>
      <c r="G55" s="783"/>
    </row>
    <row r="56" spans="1:7" s="246" customFormat="1" ht="60" x14ac:dyDescent="0.25">
      <c r="A56" s="842" t="str">
        <f>$B$41</f>
        <v>2.2</v>
      </c>
      <c r="B56" s="789" t="s">
        <v>7</v>
      </c>
      <c r="C56" s="789" t="s">
        <v>1148</v>
      </c>
      <c r="D56" s="695" t="s">
        <v>58</v>
      </c>
      <c r="E56" s="696">
        <v>1</v>
      </c>
      <c r="F56" s="1959"/>
      <c r="G56" s="783">
        <f>ROUND(E56*F56,2)</f>
        <v>0</v>
      </c>
    </row>
    <row r="57" spans="1:7" s="246" customFormat="1" x14ac:dyDescent="0.25">
      <c r="A57" s="842"/>
      <c r="B57" s="789"/>
      <c r="C57" s="789"/>
      <c r="D57" s="695"/>
      <c r="E57" s="696"/>
      <c r="F57" s="1959"/>
      <c r="G57" s="783"/>
    </row>
    <row r="58" spans="1:7" s="246" customFormat="1" ht="36" x14ac:dyDescent="0.25">
      <c r="A58" s="842" t="str">
        <f>$B$41</f>
        <v>2.2</v>
      </c>
      <c r="B58" s="789" t="s">
        <v>1274</v>
      </c>
      <c r="C58" s="789" t="s">
        <v>1149</v>
      </c>
      <c r="D58" s="695" t="s">
        <v>39</v>
      </c>
      <c r="E58" s="696">
        <v>1</v>
      </c>
      <c r="F58" s="1959"/>
      <c r="G58" s="783">
        <f>ROUND(E58*F58,2)</f>
        <v>0</v>
      </c>
    </row>
    <row r="59" spans="1:7" s="246" customFormat="1" x14ac:dyDescent="0.25">
      <c r="A59" s="842"/>
      <c r="B59" s="789"/>
      <c r="C59" s="789"/>
      <c r="D59" s="695"/>
      <c r="E59" s="696"/>
      <c r="F59" s="1959"/>
      <c r="G59" s="783"/>
    </row>
    <row r="60" spans="1:7" s="246" customFormat="1" ht="36" x14ac:dyDescent="0.25">
      <c r="A60" s="842" t="str">
        <f>$B$41</f>
        <v>2.2</v>
      </c>
      <c r="B60" s="789" t="s">
        <v>1272</v>
      </c>
      <c r="C60" s="789" t="s">
        <v>1150</v>
      </c>
      <c r="D60" s="695" t="s">
        <v>58</v>
      </c>
      <c r="E60" s="696">
        <v>1</v>
      </c>
      <c r="F60" s="1959"/>
      <c r="G60" s="783">
        <f>ROUND(E60*F60,2)</f>
        <v>0</v>
      </c>
    </row>
    <row r="61" spans="1:7" s="246" customFormat="1" x14ac:dyDescent="0.25">
      <c r="A61" s="842"/>
      <c r="B61" s="789"/>
      <c r="C61" s="789"/>
      <c r="D61" s="695"/>
      <c r="E61" s="696"/>
      <c r="F61" s="1959"/>
      <c r="G61" s="783"/>
    </row>
    <row r="62" spans="1:7" s="246" customFormat="1" ht="36" x14ac:dyDescent="0.25">
      <c r="A62" s="842" t="str">
        <f>$B$41</f>
        <v>2.2</v>
      </c>
      <c r="B62" s="789" t="s">
        <v>1288</v>
      </c>
      <c r="C62" s="789" t="s">
        <v>1302</v>
      </c>
      <c r="D62" s="695" t="s">
        <v>39</v>
      </c>
      <c r="E62" s="696">
        <v>5</v>
      </c>
      <c r="F62" s="1959"/>
      <c r="G62" s="783">
        <f>ROUND(E62*F62,2)</f>
        <v>0</v>
      </c>
    </row>
    <row r="63" spans="1:7" s="246" customFormat="1" x14ac:dyDescent="0.25">
      <c r="A63" s="842"/>
      <c r="B63" s="789"/>
      <c r="C63" s="789"/>
      <c r="D63" s="695"/>
      <c r="E63" s="696"/>
      <c r="F63" s="1959"/>
      <c r="G63" s="783"/>
    </row>
    <row r="64" spans="1:7" s="246" customFormat="1" ht="36" x14ac:dyDescent="0.25">
      <c r="A64" s="842" t="str">
        <f>$B$41</f>
        <v>2.2</v>
      </c>
      <c r="B64" s="789" t="s">
        <v>1270</v>
      </c>
      <c r="C64" s="789" t="s">
        <v>1153</v>
      </c>
      <c r="D64" s="695" t="s">
        <v>39</v>
      </c>
      <c r="E64" s="696">
        <v>1</v>
      </c>
      <c r="F64" s="1959"/>
      <c r="G64" s="783">
        <f>ROUND(E64*F64,2)</f>
        <v>0</v>
      </c>
    </row>
    <row r="65" spans="1:7" s="246" customFormat="1" x14ac:dyDescent="0.25">
      <c r="A65" s="842"/>
      <c r="B65" s="789"/>
      <c r="C65" s="789"/>
      <c r="D65" s="695"/>
      <c r="E65" s="696"/>
      <c r="F65" s="1959"/>
      <c r="G65" s="783"/>
    </row>
    <row r="66" spans="1:7" s="246" customFormat="1" ht="36" x14ac:dyDescent="0.25">
      <c r="A66" s="842" t="str">
        <f>$B$41</f>
        <v>2.2</v>
      </c>
      <c r="B66" s="789" t="s">
        <v>1287</v>
      </c>
      <c r="C66" s="789" t="s">
        <v>1154</v>
      </c>
      <c r="D66" s="695" t="s">
        <v>39</v>
      </c>
      <c r="E66" s="696">
        <v>1</v>
      </c>
      <c r="F66" s="1959"/>
      <c r="G66" s="783">
        <f>ROUND(E66*F66,2)</f>
        <v>0</v>
      </c>
    </row>
    <row r="67" spans="1:7" s="246" customFormat="1" x14ac:dyDescent="0.25">
      <c r="A67" s="842"/>
      <c r="B67" s="789"/>
      <c r="C67" s="789"/>
      <c r="D67" s="695"/>
      <c r="E67" s="696"/>
      <c r="F67" s="1959"/>
      <c r="G67" s="783"/>
    </row>
    <row r="68" spans="1:7" s="246" customFormat="1" ht="36" x14ac:dyDescent="0.25">
      <c r="A68" s="842" t="str">
        <f>$B$41</f>
        <v>2.2</v>
      </c>
      <c r="B68" s="789" t="s">
        <v>1286</v>
      </c>
      <c r="C68" s="789" t="s">
        <v>1155</v>
      </c>
      <c r="D68" s="695" t="s">
        <v>39</v>
      </c>
      <c r="E68" s="696">
        <v>16</v>
      </c>
      <c r="F68" s="1959"/>
      <c r="G68" s="783">
        <f>ROUND(E68*F68,2)</f>
        <v>0</v>
      </c>
    </row>
    <row r="69" spans="1:7" s="246" customFormat="1" x14ac:dyDescent="0.25">
      <c r="A69" s="842"/>
      <c r="B69" s="789"/>
      <c r="C69" s="789"/>
      <c r="D69" s="695"/>
      <c r="E69" s="696"/>
      <c r="F69" s="1959"/>
      <c r="G69" s="783"/>
    </row>
    <row r="70" spans="1:7" s="246" customFormat="1" ht="96" x14ac:dyDescent="0.25">
      <c r="A70" s="842" t="str">
        <f>$B$41</f>
        <v>2.2</v>
      </c>
      <c r="B70" s="789" t="s">
        <v>1285</v>
      </c>
      <c r="C70" s="789" t="s">
        <v>1156</v>
      </c>
      <c r="D70" s="695" t="s">
        <v>39</v>
      </c>
      <c r="E70" s="696">
        <v>6</v>
      </c>
      <c r="F70" s="1959"/>
      <c r="G70" s="783">
        <f>ROUND(E70*F70,2)</f>
        <v>0</v>
      </c>
    </row>
    <row r="71" spans="1:7" s="246" customFormat="1" x14ac:dyDescent="0.25">
      <c r="A71" s="842"/>
      <c r="B71" s="789"/>
      <c r="C71" s="789"/>
      <c r="D71" s="695"/>
      <c r="E71" s="696"/>
      <c r="F71" s="1959"/>
      <c r="G71" s="783"/>
    </row>
    <row r="72" spans="1:7" s="246" customFormat="1" ht="24" x14ac:dyDescent="0.25">
      <c r="A72" s="842" t="str">
        <f>$B$41</f>
        <v>2.2</v>
      </c>
      <c r="B72" s="789" t="s">
        <v>1301</v>
      </c>
      <c r="C72" s="789" t="s">
        <v>1157</v>
      </c>
      <c r="D72" s="695" t="s">
        <v>39</v>
      </c>
      <c r="E72" s="696">
        <v>1</v>
      </c>
      <c r="F72" s="1959"/>
      <c r="G72" s="783">
        <f>ROUND(E72*F72,2)</f>
        <v>0</v>
      </c>
    </row>
    <row r="73" spans="1:7" s="246" customFormat="1" x14ac:dyDescent="0.25">
      <c r="A73" s="842"/>
      <c r="B73" s="789"/>
      <c r="C73" s="789"/>
      <c r="D73" s="695"/>
      <c r="E73" s="696"/>
      <c r="F73" s="1959"/>
      <c r="G73" s="783"/>
    </row>
    <row r="74" spans="1:7" s="246" customFormat="1" ht="24" x14ac:dyDescent="0.25">
      <c r="A74" s="842" t="str">
        <f>$B$41</f>
        <v>2.2</v>
      </c>
      <c r="B74" s="789" t="s">
        <v>1284</v>
      </c>
      <c r="C74" s="789" t="s">
        <v>1158</v>
      </c>
      <c r="D74" s="695" t="s">
        <v>39</v>
      </c>
      <c r="E74" s="696">
        <v>2</v>
      </c>
      <c r="F74" s="1959"/>
      <c r="G74" s="783">
        <f>ROUND(E74*F74,2)</f>
        <v>0</v>
      </c>
    </row>
    <row r="75" spans="1:7" s="246" customFormat="1" x14ac:dyDescent="0.25">
      <c r="A75" s="842"/>
      <c r="B75" s="789"/>
      <c r="C75" s="789"/>
      <c r="D75" s="695"/>
      <c r="E75" s="696"/>
      <c r="F75" s="1959"/>
      <c r="G75" s="783"/>
    </row>
    <row r="76" spans="1:7" s="246" customFormat="1" ht="48" x14ac:dyDescent="0.25">
      <c r="A76" s="842" t="str">
        <f>$B$41</f>
        <v>2.2</v>
      </c>
      <c r="B76" s="789" t="s">
        <v>1283</v>
      </c>
      <c r="C76" s="789" t="s">
        <v>1159</v>
      </c>
      <c r="D76" s="695" t="s">
        <v>39</v>
      </c>
      <c r="E76" s="696">
        <v>10</v>
      </c>
      <c r="F76" s="1959"/>
      <c r="G76" s="783">
        <f>ROUND(E76*F76,2)</f>
        <v>0</v>
      </c>
    </row>
    <row r="77" spans="1:7" s="246" customFormat="1" x14ac:dyDescent="0.25">
      <c r="A77" s="842"/>
      <c r="B77" s="789"/>
      <c r="C77" s="789"/>
      <c r="D77" s="695"/>
      <c r="E77" s="696"/>
      <c r="F77" s="1959"/>
      <c r="G77" s="783"/>
    </row>
    <row r="78" spans="1:7" s="246" customFormat="1" ht="48" x14ac:dyDescent="0.25">
      <c r="A78" s="842" t="str">
        <f>$B$41</f>
        <v>2.2</v>
      </c>
      <c r="B78" s="789" t="s">
        <v>1282</v>
      </c>
      <c r="C78" s="789" t="s">
        <v>1160</v>
      </c>
      <c r="D78" s="695" t="s">
        <v>39</v>
      </c>
      <c r="E78" s="696">
        <v>22</v>
      </c>
      <c r="F78" s="1959"/>
      <c r="G78" s="783">
        <f>ROUND(E78*F78,2)</f>
        <v>0</v>
      </c>
    </row>
    <row r="79" spans="1:7" s="246" customFormat="1" x14ac:dyDescent="0.25">
      <c r="A79" s="842"/>
      <c r="B79" s="789"/>
      <c r="C79" s="789"/>
      <c r="D79" s="695"/>
      <c r="E79" s="696"/>
      <c r="F79" s="1959"/>
      <c r="G79" s="783"/>
    </row>
    <row r="80" spans="1:7" s="246" customFormat="1" ht="24" x14ac:dyDescent="0.25">
      <c r="A80" s="842" t="str">
        <f>$B$41</f>
        <v>2.2</v>
      </c>
      <c r="B80" s="789" t="s">
        <v>1281</v>
      </c>
      <c r="C80" s="789" t="s">
        <v>1161</v>
      </c>
      <c r="D80" s="695" t="s">
        <v>39</v>
      </c>
      <c r="E80" s="696">
        <v>10</v>
      </c>
      <c r="F80" s="1959"/>
      <c r="G80" s="783">
        <f>ROUND(E80*F80,2)</f>
        <v>0</v>
      </c>
    </row>
    <row r="81" spans="1:7" s="246" customFormat="1" x14ac:dyDescent="0.25">
      <c r="A81" s="842"/>
      <c r="B81" s="789"/>
      <c r="C81" s="789"/>
      <c r="D81" s="695"/>
      <c r="E81" s="696"/>
      <c r="F81" s="1959"/>
      <c r="G81" s="783"/>
    </row>
    <row r="82" spans="1:7" s="246" customFormat="1" ht="24" x14ac:dyDescent="0.25">
      <c r="A82" s="842" t="str">
        <f>$B$41</f>
        <v>2.2</v>
      </c>
      <c r="B82" s="789" t="s">
        <v>1300</v>
      </c>
      <c r="C82" s="789" t="s">
        <v>1162</v>
      </c>
      <c r="D82" s="695" t="s">
        <v>39</v>
      </c>
      <c r="E82" s="696">
        <v>5</v>
      </c>
      <c r="F82" s="1959"/>
      <c r="G82" s="783">
        <f>ROUND(E82*F82,2)</f>
        <v>0</v>
      </c>
    </row>
    <row r="83" spans="1:7" s="246" customFormat="1" x14ac:dyDescent="0.25">
      <c r="A83" s="842"/>
      <c r="B83" s="789"/>
      <c r="C83" s="789"/>
      <c r="D83" s="695"/>
      <c r="E83" s="696"/>
      <c r="F83" s="1959"/>
      <c r="G83" s="783"/>
    </row>
    <row r="84" spans="1:7" s="246" customFormat="1" ht="24" x14ac:dyDescent="0.25">
      <c r="A84" s="842" t="str">
        <f>$B$41</f>
        <v>2.2</v>
      </c>
      <c r="B84" s="789" t="s">
        <v>1299</v>
      </c>
      <c r="C84" s="789" t="s">
        <v>1163</v>
      </c>
      <c r="D84" s="695" t="s">
        <v>39</v>
      </c>
      <c r="E84" s="696">
        <v>2</v>
      </c>
      <c r="F84" s="1959"/>
      <c r="G84" s="783">
        <f>ROUND(E84*F84,2)</f>
        <v>0</v>
      </c>
    </row>
    <row r="85" spans="1:7" s="246" customFormat="1" x14ac:dyDescent="0.25">
      <c r="A85" s="842"/>
      <c r="B85" s="789"/>
      <c r="C85" s="789"/>
      <c r="D85" s="695"/>
      <c r="E85" s="696"/>
      <c r="F85" s="1959"/>
      <c r="G85" s="783"/>
    </row>
    <row r="86" spans="1:7" s="246" customFormat="1" ht="36" x14ac:dyDescent="0.25">
      <c r="A86" s="842" t="str">
        <f>$B$41</f>
        <v>2.2</v>
      </c>
      <c r="B86" s="789" t="s">
        <v>1298</v>
      </c>
      <c r="C86" s="789" t="s">
        <v>1164</v>
      </c>
      <c r="D86" s="695" t="s">
        <v>39</v>
      </c>
      <c r="E86" s="696">
        <v>15</v>
      </c>
      <c r="F86" s="1959"/>
      <c r="G86" s="783">
        <f>ROUND(E86*F86,2)</f>
        <v>0</v>
      </c>
    </row>
    <row r="87" spans="1:7" s="246" customFormat="1" x14ac:dyDescent="0.25">
      <c r="A87" s="842"/>
      <c r="B87" s="789"/>
      <c r="C87" s="789"/>
      <c r="D87" s="695"/>
      <c r="E87" s="696"/>
      <c r="F87" s="1959"/>
      <c r="G87" s="783"/>
    </row>
    <row r="88" spans="1:7" s="246" customFormat="1" x14ac:dyDescent="0.25">
      <c r="A88" s="842" t="str">
        <f>$B$41</f>
        <v>2.2</v>
      </c>
      <c r="B88" s="789" t="s">
        <v>1297</v>
      </c>
      <c r="C88" s="789" t="s">
        <v>1165</v>
      </c>
      <c r="D88" s="695" t="s">
        <v>39</v>
      </c>
      <c r="E88" s="696">
        <v>6</v>
      </c>
      <c r="F88" s="1959"/>
      <c r="G88" s="783">
        <f>ROUND(E88*F88,2)</f>
        <v>0</v>
      </c>
    </row>
    <row r="89" spans="1:7" s="246" customFormat="1" x14ac:dyDescent="0.25">
      <c r="A89" s="842"/>
      <c r="B89" s="789"/>
      <c r="C89" s="789"/>
      <c r="D89" s="695"/>
      <c r="E89" s="696"/>
      <c r="F89" s="1959"/>
      <c r="G89" s="783"/>
    </row>
    <row r="90" spans="1:7" s="246" customFormat="1" ht="36" x14ac:dyDescent="0.25">
      <c r="A90" s="842" t="str">
        <f>$B$41</f>
        <v>2.2</v>
      </c>
      <c r="B90" s="789" t="s">
        <v>1296</v>
      </c>
      <c r="C90" s="789" t="s">
        <v>1166</v>
      </c>
      <c r="D90" s="695" t="s">
        <v>58</v>
      </c>
      <c r="E90" s="696">
        <v>1</v>
      </c>
      <c r="F90" s="1959"/>
      <c r="G90" s="783">
        <f>ROUND(E90*F90,2)</f>
        <v>0</v>
      </c>
    </row>
    <row r="91" spans="1:7" s="246" customFormat="1" x14ac:dyDescent="0.25">
      <c r="A91" s="842"/>
      <c r="B91" s="789"/>
      <c r="C91" s="789"/>
      <c r="D91" s="695"/>
      <c r="E91" s="696"/>
      <c r="F91" s="1959"/>
      <c r="G91" s="783"/>
    </row>
    <row r="92" spans="1:7" s="246" customFormat="1" ht="36" x14ac:dyDescent="0.25">
      <c r="A92" s="842" t="str">
        <f>$B$41</f>
        <v>2.2</v>
      </c>
      <c r="B92" s="789" t="s">
        <v>1295</v>
      </c>
      <c r="C92" s="789" t="s">
        <v>1167</v>
      </c>
      <c r="D92" s="695" t="s">
        <v>39</v>
      </c>
      <c r="E92" s="696">
        <v>200</v>
      </c>
      <c r="F92" s="1959"/>
      <c r="G92" s="783">
        <f>ROUND(E92*F92,2)</f>
        <v>0</v>
      </c>
    </row>
    <row r="93" spans="1:7" s="246" customFormat="1" x14ac:dyDescent="0.25">
      <c r="A93" s="842"/>
      <c r="B93" s="789"/>
      <c r="C93" s="789"/>
      <c r="D93" s="695"/>
      <c r="E93" s="696"/>
      <c r="F93" s="1959"/>
      <c r="G93" s="783"/>
    </row>
    <row r="94" spans="1:7" s="246" customFormat="1" ht="48" x14ac:dyDescent="0.25">
      <c r="A94" s="842" t="str">
        <f>$B$41</f>
        <v>2.2</v>
      </c>
      <c r="B94" s="789" t="s">
        <v>1294</v>
      </c>
      <c r="C94" s="789" t="s">
        <v>1168</v>
      </c>
      <c r="D94" s="695" t="s">
        <v>58</v>
      </c>
      <c r="E94" s="696">
        <v>1</v>
      </c>
      <c r="F94" s="1959"/>
      <c r="G94" s="783">
        <f>ROUND(E94*F94,2)</f>
        <v>0</v>
      </c>
    </row>
    <row r="95" spans="1:7" s="246" customFormat="1" x14ac:dyDescent="0.25">
      <c r="A95" s="842"/>
      <c r="B95" s="789"/>
      <c r="C95" s="789"/>
      <c r="D95" s="695"/>
      <c r="E95" s="696"/>
      <c r="F95" s="1959"/>
      <c r="G95" s="783"/>
    </row>
    <row r="96" spans="1:7" s="246" customFormat="1" ht="24" x14ac:dyDescent="0.25">
      <c r="A96" s="842" t="str">
        <f>$B$41</f>
        <v>2.2</v>
      </c>
      <c r="B96" s="789" t="s">
        <v>1293</v>
      </c>
      <c r="C96" s="789" t="s">
        <v>1169</v>
      </c>
      <c r="D96" s="695" t="s">
        <v>58</v>
      </c>
      <c r="E96" s="696">
        <v>1</v>
      </c>
      <c r="F96" s="1959"/>
      <c r="G96" s="783">
        <f>ROUND(E96*F96,2)</f>
        <v>0</v>
      </c>
    </row>
    <row r="97" spans="1:7" s="246" customFormat="1" ht="15" x14ac:dyDescent="0.25">
      <c r="B97" s="861"/>
      <c r="C97" s="862" t="s">
        <v>1170</v>
      </c>
      <c r="D97" s="863"/>
      <c r="E97" s="863"/>
      <c r="F97" s="853"/>
      <c r="G97" s="1709">
        <f>ROUND(SUM(G44:G96),2)</f>
        <v>0</v>
      </c>
    </row>
    <row r="98" spans="1:7" s="246" customFormat="1" ht="15" x14ac:dyDescent="0.25">
      <c r="B98" s="861"/>
      <c r="C98" s="862"/>
      <c r="D98" s="863"/>
      <c r="E98" s="863"/>
      <c r="F98" s="853"/>
      <c r="G98" s="1710"/>
    </row>
    <row r="99" spans="1:7" s="246" customFormat="1" ht="15" x14ac:dyDescent="0.25">
      <c r="B99" s="865" t="s">
        <v>1329</v>
      </c>
      <c r="C99" s="862" t="s">
        <v>1172</v>
      </c>
      <c r="D99" s="866"/>
      <c r="E99" s="867"/>
      <c r="F99" s="857"/>
      <c r="G99" s="1711"/>
    </row>
    <row r="100" spans="1:7" s="246" customFormat="1" ht="57" x14ac:dyDescent="0.25">
      <c r="A100" s="842" t="str">
        <f>$B$99</f>
        <v>2.3</v>
      </c>
      <c r="B100" s="789" t="s">
        <v>1232</v>
      </c>
      <c r="C100" s="789" t="s">
        <v>1173</v>
      </c>
      <c r="D100" s="866"/>
      <c r="E100" s="867"/>
      <c r="F100" s="857"/>
      <c r="G100" s="1711"/>
    </row>
    <row r="101" spans="1:7" s="246" customFormat="1" ht="24" x14ac:dyDescent="0.25">
      <c r="A101" s="842"/>
      <c r="B101" s="789"/>
      <c r="C101" s="789" t="s">
        <v>1174</v>
      </c>
      <c r="D101" s="866"/>
      <c r="E101" s="867"/>
      <c r="F101" s="857"/>
      <c r="G101" s="1711"/>
    </row>
    <row r="102" spans="1:7" s="246" customFormat="1" ht="24" x14ac:dyDescent="0.25">
      <c r="A102" s="842"/>
      <c r="B102" s="789"/>
      <c r="C102" s="789" t="s">
        <v>1175</v>
      </c>
      <c r="D102" s="866"/>
      <c r="E102" s="867"/>
      <c r="F102" s="857"/>
      <c r="G102" s="1711"/>
    </row>
    <row r="103" spans="1:7" s="246" customFormat="1" ht="60" x14ac:dyDescent="0.25">
      <c r="A103" s="842"/>
      <c r="B103" s="789"/>
      <c r="C103" s="789" t="s">
        <v>1176</v>
      </c>
      <c r="D103" s="866"/>
      <c r="E103" s="867"/>
      <c r="F103" s="857"/>
      <c r="G103" s="1711"/>
    </row>
    <row r="104" spans="1:7" s="246" customFormat="1" ht="14.25" x14ac:dyDescent="0.25">
      <c r="A104" s="842"/>
      <c r="B104" s="789"/>
      <c r="C104" s="789" t="s">
        <v>1177</v>
      </c>
      <c r="D104" s="866"/>
      <c r="E104" s="867"/>
      <c r="F104" s="857"/>
      <c r="G104" s="1711"/>
    </row>
    <row r="105" spans="1:7" s="246" customFormat="1" ht="48" x14ac:dyDescent="0.25">
      <c r="A105" s="842"/>
      <c r="B105" s="789"/>
      <c r="C105" s="789" t="s">
        <v>1178</v>
      </c>
      <c r="D105" s="866"/>
      <c r="E105" s="867"/>
      <c r="F105" s="857"/>
      <c r="G105" s="1711"/>
    </row>
    <row r="106" spans="1:7" s="246" customFormat="1" ht="36" x14ac:dyDescent="0.25">
      <c r="A106" s="842"/>
      <c r="B106" s="789"/>
      <c r="C106" s="789" t="s">
        <v>1179</v>
      </c>
      <c r="D106" s="866"/>
      <c r="E106" s="867"/>
      <c r="F106" s="857"/>
      <c r="G106" s="1711"/>
    </row>
    <row r="107" spans="1:7" s="246" customFormat="1" ht="24" x14ac:dyDescent="0.25">
      <c r="A107" s="842"/>
      <c r="B107" s="789"/>
      <c r="C107" s="789" t="s">
        <v>1180</v>
      </c>
      <c r="D107" s="866"/>
      <c r="E107" s="867"/>
      <c r="F107" s="857"/>
      <c r="G107" s="1711"/>
    </row>
    <row r="108" spans="1:7" s="246" customFormat="1" ht="26.25" x14ac:dyDescent="0.25">
      <c r="A108" s="842"/>
      <c r="B108" s="789"/>
      <c r="C108" s="789" t="s">
        <v>1181</v>
      </c>
      <c r="D108" s="866"/>
      <c r="E108" s="867"/>
      <c r="F108" s="857"/>
      <c r="G108" s="1711"/>
    </row>
    <row r="109" spans="1:7" s="246" customFormat="1" ht="14.25" x14ac:dyDescent="0.25">
      <c r="A109" s="842"/>
      <c r="B109" s="789"/>
      <c r="C109" s="789" t="s">
        <v>1182</v>
      </c>
      <c r="D109" s="866"/>
      <c r="E109" s="867"/>
      <c r="F109" s="857"/>
      <c r="G109" s="1711"/>
    </row>
    <row r="110" spans="1:7" s="246" customFormat="1" ht="14.25" x14ac:dyDescent="0.25">
      <c r="A110" s="842"/>
      <c r="B110" s="789"/>
      <c r="C110" s="789" t="s">
        <v>1183</v>
      </c>
      <c r="D110" s="866"/>
      <c r="E110" s="867"/>
      <c r="F110" s="857"/>
      <c r="G110" s="1711"/>
    </row>
    <row r="111" spans="1:7" s="246" customFormat="1" ht="14.25" x14ac:dyDescent="0.25">
      <c r="A111" s="842"/>
      <c r="B111" s="789"/>
      <c r="C111" s="789" t="s">
        <v>1184</v>
      </c>
      <c r="D111" s="866"/>
      <c r="E111" s="867"/>
      <c r="F111" s="857"/>
      <c r="G111" s="1711"/>
    </row>
    <row r="112" spans="1:7" s="246" customFormat="1" ht="14.25" x14ac:dyDescent="0.25">
      <c r="A112" s="842"/>
      <c r="B112" s="789"/>
      <c r="C112" s="789" t="s">
        <v>1185</v>
      </c>
      <c r="D112" s="866"/>
      <c r="E112" s="867"/>
      <c r="F112" s="857"/>
      <c r="G112" s="1711"/>
    </row>
    <row r="113" spans="1:7" s="246" customFormat="1" ht="14.25" x14ac:dyDescent="0.25">
      <c r="A113" s="842"/>
      <c r="B113" s="789"/>
      <c r="C113" s="789" t="s">
        <v>1186</v>
      </c>
      <c r="D113" s="866"/>
      <c r="E113" s="867"/>
      <c r="F113" s="857"/>
      <c r="G113" s="1711"/>
    </row>
    <row r="114" spans="1:7" s="246" customFormat="1" ht="14.25" x14ac:dyDescent="0.25">
      <c r="A114" s="842"/>
      <c r="B114" s="789"/>
      <c r="C114" s="789" t="s">
        <v>1187</v>
      </c>
      <c r="D114" s="866"/>
      <c r="E114" s="867"/>
      <c r="F114" s="857"/>
      <c r="G114" s="1711"/>
    </row>
    <row r="115" spans="1:7" s="246" customFormat="1" ht="14.25" x14ac:dyDescent="0.25">
      <c r="A115" s="842"/>
      <c r="B115" s="789"/>
      <c r="C115" s="789" t="s">
        <v>1188</v>
      </c>
      <c r="D115" s="866"/>
      <c r="E115" s="867"/>
      <c r="F115" s="857"/>
      <c r="G115" s="1711"/>
    </row>
    <row r="116" spans="1:7" s="246" customFormat="1" ht="14.25" x14ac:dyDescent="0.25">
      <c r="A116" s="842"/>
      <c r="B116" s="789"/>
      <c r="C116" s="789" t="s">
        <v>1189</v>
      </c>
      <c r="D116" s="866"/>
      <c r="E116" s="867"/>
      <c r="F116" s="857"/>
      <c r="G116" s="1711"/>
    </row>
    <row r="117" spans="1:7" s="246" customFormat="1" ht="14.25" x14ac:dyDescent="0.25">
      <c r="A117" s="842"/>
      <c r="B117" s="789"/>
      <c r="C117" s="789" t="s">
        <v>1190</v>
      </c>
      <c r="D117" s="866"/>
      <c r="E117" s="867"/>
      <c r="F117" s="857"/>
      <c r="G117" s="1711"/>
    </row>
    <row r="118" spans="1:7" s="246" customFormat="1" ht="14.25" x14ac:dyDescent="0.25">
      <c r="A118" s="842"/>
      <c r="B118" s="789"/>
      <c r="C118" s="789"/>
      <c r="D118" s="866"/>
      <c r="E118" s="867"/>
      <c r="F118" s="857"/>
      <c r="G118" s="1711"/>
    </row>
    <row r="119" spans="1:7" s="246" customFormat="1" ht="30" x14ac:dyDescent="0.25">
      <c r="B119" s="859"/>
      <c r="C119" s="869" t="s">
        <v>1191</v>
      </c>
      <c r="D119" s="866"/>
      <c r="E119" s="867"/>
      <c r="F119" s="857"/>
      <c r="G119" s="1711"/>
    </row>
    <row r="120" spans="1:7" s="246" customFormat="1" ht="24" x14ac:dyDescent="0.25">
      <c r="A120" s="842" t="str">
        <f>$B$99</f>
        <v>2.3</v>
      </c>
      <c r="B120" s="789" t="s">
        <v>1234</v>
      </c>
      <c r="C120" s="789" t="s">
        <v>1192</v>
      </c>
      <c r="D120" s="695" t="s">
        <v>39</v>
      </c>
      <c r="E120" s="696">
        <v>1</v>
      </c>
      <c r="F120" s="1959"/>
      <c r="G120" s="783">
        <f>ROUND(E120*F120,2)</f>
        <v>0</v>
      </c>
    </row>
    <row r="121" spans="1:7" s="246" customFormat="1" x14ac:dyDescent="0.25">
      <c r="A121" s="842"/>
      <c r="B121" s="789"/>
      <c r="C121" s="789"/>
      <c r="D121" s="695"/>
      <c r="E121" s="696"/>
      <c r="F121" s="1959"/>
      <c r="G121" s="783"/>
    </row>
    <row r="122" spans="1:7" s="246" customFormat="1" ht="36" x14ac:dyDescent="0.25">
      <c r="A122" s="842" t="str">
        <f>$B$99</f>
        <v>2.3</v>
      </c>
      <c r="B122" s="789" t="s">
        <v>1236</v>
      </c>
      <c r="C122" s="789" t="s">
        <v>1193</v>
      </c>
      <c r="D122" s="695" t="s">
        <v>39</v>
      </c>
      <c r="E122" s="696">
        <v>1</v>
      </c>
      <c r="F122" s="1959"/>
      <c r="G122" s="783">
        <f>ROUND(E122*F122,2)</f>
        <v>0</v>
      </c>
    </row>
    <row r="123" spans="1:7" s="246" customFormat="1" x14ac:dyDescent="0.25">
      <c r="A123" s="842"/>
      <c r="B123" s="789"/>
      <c r="C123" s="789"/>
      <c r="D123" s="695"/>
      <c r="E123" s="696"/>
      <c r="F123" s="1959"/>
      <c r="G123" s="783"/>
    </row>
    <row r="124" spans="1:7" s="246" customFormat="1" ht="36" x14ac:dyDescent="0.25">
      <c r="A124" s="842" t="str">
        <f>$B$99</f>
        <v>2.3</v>
      </c>
      <c r="B124" s="789" t="s">
        <v>4</v>
      </c>
      <c r="C124" s="789" t="s">
        <v>1194</v>
      </c>
      <c r="D124" s="695" t="s">
        <v>39</v>
      </c>
      <c r="E124" s="696">
        <v>1</v>
      </c>
      <c r="F124" s="1959"/>
      <c r="G124" s="783">
        <f>ROUND(E124*F124,2)</f>
        <v>0</v>
      </c>
    </row>
    <row r="125" spans="1:7" s="246" customFormat="1" x14ac:dyDescent="0.25">
      <c r="A125" s="842"/>
      <c r="B125" s="789"/>
      <c r="C125" s="789"/>
      <c r="D125" s="695"/>
      <c r="E125" s="696"/>
      <c r="F125" s="1959"/>
      <c r="G125" s="783"/>
    </row>
    <row r="126" spans="1:7" s="246" customFormat="1" ht="36" x14ac:dyDescent="0.25">
      <c r="A126" s="842" t="str">
        <f>$B$99</f>
        <v>2.3</v>
      </c>
      <c r="B126" s="789" t="s">
        <v>5</v>
      </c>
      <c r="C126" s="789" t="s">
        <v>1195</v>
      </c>
      <c r="D126" s="695" t="s">
        <v>39</v>
      </c>
      <c r="E126" s="696">
        <v>2</v>
      </c>
      <c r="F126" s="1959"/>
      <c r="G126" s="783">
        <f>ROUND(E126*F126,2)</f>
        <v>0</v>
      </c>
    </row>
    <row r="127" spans="1:7" s="246" customFormat="1" x14ac:dyDescent="0.25">
      <c r="A127" s="842"/>
      <c r="B127" s="789"/>
      <c r="C127" s="789"/>
      <c r="D127" s="695"/>
      <c r="E127" s="696"/>
      <c r="F127" s="1959"/>
      <c r="G127" s="783"/>
    </row>
    <row r="128" spans="1:7" s="246" customFormat="1" ht="36" x14ac:dyDescent="0.25">
      <c r="A128" s="842" t="str">
        <f>$B$99</f>
        <v>2.3</v>
      </c>
      <c r="B128" s="789" t="s">
        <v>6</v>
      </c>
      <c r="C128" s="789" t="s">
        <v>1196</v>
      </c>
      <c r="D128" s="695" t="s">
        <v>39</v>
      </c>
      <c r="E128" s="696">
        <v>3</v>
      </c>
      <c r="F128" s="1959"/>
      <c r="G128" s="783">
        <f>ROUND(E128*F128,2)</f>
        <v>0</v>
      </c>
    </row>
    <row r="129" spans="1:7" s="246" customFormat="1" x14ac:dyDescent="0.25">
      <c r="A129" s="842"/>
      <c r="B129" s="789"/>
      <c r="C129" s="789"/>
      <c r="D129" s="695"/>
      <c r="E129" s="696"/>
      <c r="F129" s="1959"/>
      <c r="G129" s="783"/>
    </row>
    <row r="130" spans="1:7" s="246" customFormat="1" ht="36" x14ac:dyDescent="0.25">
      <c r="A130" s="842" t="str">
        <f>$B$99</f>
        <v>2.3</v>
      </c>
      <c r="B130" s="789" t="s">
        <v>7</v>
      </c>
      <c r="C130" s="789" t="s">
        <v>1197</v>
      </c>
      <c r="D130" s="695" t="s">
        <v>39</v>
      </c>
      <c r="E130" s="696">
        <v>3</v>
      </c>
      <c r="F130" s="1959"/>
      <c r="G130" s="783">
        <f>ROUND(E130*F130,2)</f>
        <v>0</v>
      </c>
    </row>
    <row r="131" spans="1:7" s="246" customFormat="1" x14ac:dyDescent="0.25">
      <c r="A131" s="842"/>
      <c r="B131" s="789"/>
      <c r="C131" s="789"/>
      <c r="D131" s="695"/>
      <c r="E131" s="696"/>
      <c r="F131" s="1959"/>
      <c r="G131" s="783"/>
    </row>
    <row r="132" spans="1:7" s="246" customFormat="1" ht="48" x14ac:dyDescent="0.25">
      <c r="A132" s="842" t="str">
        <f>$B$99</f>
        <v>2.3</v>
      </c>
      <c r="B132" s="789" t="s">
        <v>1274</v>
      </c>
      <c r="C132" s="789" t="s">
        <v>1198</v>
      </c>
      <c r="D132" s="695" t="s">
        <v>39</v>
      </c>
      <c r="E132" s="696">
        <v>1</v>
      </c>
      <c r="F132" s="1959"/>
      <c r="G132" s="783">
        <f>ROUND(E132*F132,2)</f>
        <v>0</v>
      </c>
    </row>
    <row r="133" spans="1:7" s="246" customFormat="1" x14ac:dyDescent="0.25">
      <c r="A133" s="842"/>
      <c r="B133" s="789"/>
      <c r="C133" s="789"/>
      <c r="D133" s="695"/>
      <c r="E133" s="696"/>
      <c r="F133" s="1959"/>
      <c r="G133" s="783"/>
    </row>
    <row r="134" spans="1:7" s="246" customFormat="1" ht="24" x14ac:dyDescent="0.25">
      <c r="A134" s="842" t="str">
        <f>$B$99</f>
        <v>2.3</v>
      </c>
      <c r="B134" s="789" t="s">
        <v>1272</v>
      </c>
      <c r="C134" s="789" t="s">
        <v>1199</v>
      </c>
      <c r="D134" s="695" t="s">
        <v>58</v>
      </c>
      <c r="E134" s="696">
        <v>1</v>
      </c>
      <c r="F134" s="1959"/>
      <c r="G134" s="783">
        <f>ROUND(E134*F134,2)</f>
        <v>0</v>
      </c>
    </row>
    <row r="135" spans="1:7" s="246" customFormat="1" x14ac:dyDescent="0.25">
      <c r="A135" s="842"/>
      <c r="B135" s="789"/>
      <c r="C135" s="789"/>
      <c r="D135" s="695"/>
      <c r="E135" s="696"/>
      <c r="F135" s="1959"/>
      <c r="G135" s="783"/>
    </row>
    <row r="136" spans="1:7" s="246" customFormat="1" ht="84" x14ac:dyDescent="0.25">
      <c r="A136" s="842" t="str">
        <f>$B$99</f>
        <v>2.3</v>
      </c>
      <c r="B136" s="789" t="s">
        <v>1288</v>
      </c>
      <c r="C136" s="789" t="s">
        <v>1200</v>
      </c>
      <c r="D136" s="695" t="s">
        <v>58</v>
      </c>
      <c r="E136" s="696">
        <v>1</v>
      </c>
      <c r="F136" s="1959"/>
      <c r="G136" s="783">
        <f>ROUND(E136*F136,2)</f>
        <v>0</v>
      </c>
    </row>
    <row r="137" spans="1:7" s="246" customFormat="1" x14ac:dyDescent="0.25">
      <c r="A137" s="842"/>
      <c r="B137" s="789"/>
      <c r="C137" s="789"/>
      <c r="D137" s="695"/>
      <c r="E137" s="696"/>
      <c r="F137" s="1959"/>
      <c r="G137" s="783"/>
    </row>
    <row r="138" spans="1:7" s="246" customFormat="1" ht="48" x14ac:dyDescent="0.25">
      <c r="A138" s="842" t="str">
        <f>$B$99</f>
        <v>2.3</v>
      </c>
      <c r="B138" s="789" t="s">
        <v>1270</v>
      </c>
      <c r="C138" s="789" t="s">
        <v>1330</v>
      </c>
      <c r="D138" s="695" t="s">
        <v>58</v>
      </c>
      <c r="E138" s="696">
        <v>1</v>
      </c>
      <c r="F138" s="1959"/>
      <c r="G138" s="783">
        <f>ROUND(E138*F138,2)</f>
        <v>0</v>
      </c>
    </row>
    <row r="139" spans="1:7" s="246" customFormat="1" x14ac:dyDescent="0.25">
      <c r="A139" s="842"/>
      <c r="B139" s="789"/>
      <c r="C139" s="789"/>
      <c r="D139" s="695"/>
      <c r="E139" s="696"/>
      <c r="F139" s="1959"/>
      <c r="G139" s="783"/>
    </row>
    <row r="140" spans="1:7" s="246" customFormat="1" ht="48" x14ac:dyDescent="0.25">
      <c r="A140" s="842" t="str">
        <f>$B$99</f>
        <v>2.3</v>
      </c>
      <c r="B140" s="789" t="s">
        <v>1287</v>
      </c>
      <c r="C140" s="789" t="s">
        <v>1331</v>
      </c>
      <c r="D140" s="695" t="s">
        <v>58</v>
      </c>
      <c r="E140" s="696">
        <v>1</v>
      </c>
      <c r="F140" s="1959"/>
      <c r="G140" s="783">
        <f>ROUND(E140*F140,2)</f>
        <v>0</v>
      </c>
    </row>
    <row r="141" spans="1:7" s="246" customFormat="1" x14ac:dyDescent="0.25">
      <c r="A141" s="842"/>
      <c r="B141" s="789"/>
      <c r="C141" s="789"/>
      <c r="D141" s="695"/>
      <c r="E141" s="696"/>
      <c r="F141" s="1959"/>
      <c r="G141" s="783"/>
    </row>
    <row r="142" spans="1:7" s="246" customFormat="1" ht="36" x14ac:dyDescent="0.25">
      <c r="A142" s="842" t="str">
        <f>$B$99</f>
        <v>2.3</v>
      </c>
      <c r="B142" s="789" t="s">
        <v>1286</v>
      </c>
      <c r="C142" s="789" t="s">
        <v>1332</v>
      </c>
      <c r="D142" s="695" t="s">
        <v>58</v>
      </c>
      <c r="E142" s="696">
        <v>1</v>
      </c>
      <c r="F142" s="1959"/>
      <c r="G142" s="783">
        <f>ROUND(E142*F142,2)</f>
        <v>0</v>
      </c>
    </row>
    <row r="143" spans="1:7" s="246" customFormat="1" x14ac:dyDescent="0.25">
      <c r="A143" s="842"/>
      <c r="B143" s="789"/>
      <c r="C143" s="789"/>
      <c r="D143" s="695"/>
      <c r="E143" s="696"/>
      <c r="F143" s="1959"/>
      <c r="G143" s="783"/>
    </row>
    <row r="144" spans="1:7" s="246" customFormat="1" ht="36" x14ac:dyDescent="0.25">
      <c r="A144" s="842" t="str">
        <f>$B$99</f>
        <v>2.3</v>
      </c>
      <c r="B144" s="789" t="s">
        <v>1285</v>
      </c>
      <c r="C144" s="789" t="s">
        <v>1333</v>
      </c>
      <c r="D144" s="695" t="s">
        <v>58</v>
      </c>
      <c r="E144" s="696">
        <v>1</v>
      </c>
      <c r="F144" s="1959"/>
      <c r="G144" s="783">
        <f>ROUND(E144*F144,2)</f>
        <v>0</v>
      </c>
    </row>
    <row r="145" spans="1:7" s="246" customFormat="1" x14ac:dyDescent="0.25">
      <c r="A145" s="842"/>
      <c r="B145" s="789"/>
      <c r="C145" s="789"/>
      <c r="D145" s="695"/>
      <c r="E145" s="696"/>
      <c r="F145" s="1959"/>
      <c r="G145" s="783"/>
    </row>
    <row r="146" spans="1:7" s="246" customFormat="1" x14ac:dyDescent="0.25">
      <c r="A146" s="842" t="str">
        <f>$B$99</f>
        <v>2.3</v>
      </c>
      <c r="B146" s="789" t="s">
        <v>1301</v>
      </c>
      <c r="C146" s="789" t="s">
        <v>1228</v>
      </c>
      <c r="D146" s="695" t="s">
        <v>58</v>
      </c>
      <c r="E146" s="696">
        <v>1</v>
      </c>
      <c r="F146" s="1959"/>
      <c r="G146" s="783">
        <f>ROUND(E146*F146,2)</f>
        <v>0</v>
      </c>
    </row>
    <row r="147" spans="1:7" s="246" customFormat="1" x14ac:dyDescent="0.25">
      <c r="A147" s="842"/>
      <c r="B147" s="789"/>
      <c r="C147" s="789"/>
      <c r="D147" s="695"/>
      <c r="E147" s="696"/>
      <c r="F147" s="1959"/>
      <c r="G147" s="783"/>
    </row>
    <row r="148" spans="1:7" s="246" customFormat="1" ht="15" x14ac:dyDescent="0.25">
      <c r="A148" s="880"/>
      <c r="B148" s="859"/>
      <c r="C148" s="871" t="s">
        <v>1205</v>
      </c>
      <c r="D148" s="695"/>
      <c r="E148" s="696"/>
      <c r="F148" s="857"/>
      <c r="G148" s="783"/>
    </row>
    <row r="149" spans="1:7" s="246" customFormat="1" x14ac:dyDescent="0.25">
      <c r="A149" s="842" t="str">
        <f>$B$99</f>
        <v>2.3</v>
      </c>
      <c r="B149" s="789" t="s">
        <v>1284</v>
      </c>
      <c r="C149" s="789" t="s">
        <v>1226</v>
      </c>
      <c r="D149" s="695" t="s">
        <v>39</v>
      </c>
      <c r="E149" s="696">
        <v>1</v>
      </c>
      <c r="F149" s="1959"/>
      <c r="G149" s="783">
        <f>ROUND(E149*F149,2)</f>
        <v>0</v>
      </c>
    </row>
    <row r="150" spans="1:7" s="246" customFormat="1" x14ac:dyDescent="0.25">
      <c r="A150" s="842"/>
      <c r="B150" s="789"/>
      <c r="C150" s="789"/>
      <c r="D150" s="695"/>
      <c r="E150" s="696"/>
      <c r="F150" s="1959"/>
      <c r="G150" s="783"/>
    </row>
    <row r="151" spans="1:7" s="246" customFormat="1" ht="24" x14ac:dyDescent="0.25">
      <c r="A151" s="842" t="str">
        <f>$B$99</f>
        <v>2.3</v>
      </c>
      <c r="B151" s="789" t="s">
        <v>1284</v>
      </c>
      <c r="C151" s="789" t="s">
        <v>1227</v>
      </c>
      <c r="D151" s="695" t="s">
        <v>39</v>
      </c>
      <c r="E151" s="696">
        <v>1</v>
      </c>
      <c r="F151" s="1959"/>
      <c r="G151" s="783">
        <f>ROUND(E151*F151,2)</f>
        <v>0</v>
      </c>
    </row>
    <row r="152" spans="1:7" s="246" customFormat="1" x14ac:dyDescent="0.25">
      <c r="A152" s="842"/>
      <c r="B152" s="789"/>
      <c r="C152" s="789"/>
      <c r="D152" s="695"/>
      <c r="E152" s="696"/>
      <c r="F152" s="1959"/>
      <c r="G152" s="783"/>
    </row>
    <row r="153" spans="1:7" s="246" customFormat="1" x14ac:dyDescent="0.25">
      <c r="A153" s="842" t="str">
        <f>$B$99</f>
        <v>2.3</v>
      </c>
      <c r="B153" s="789" t="s">
        <v>1284</v>
      </c>
      <c r="C153" s="789" t="s">
        <v>1228</v>
      </c>
      <c r="D153" s="695" t="s">
        <v>58</v>
      </c>
      <c r="E153" s="696">
        <v>1</v>
      </c>
      <c r="F153" s="1959"/>
      <c r="G153" s="783">
        <f>ROUND(E153*F153,2)</f>
        <v>0</v>
      </c>
    </row>
    <row r="154" spans="1:7" s="246" customFormat="1" ht="15" x14ac:dyDescent="0.25">
      <c r="B154" s="861"/>
      <c r="C154" s="873" t="s">
        <v>1229</v>
      </c>
      <c r="D154" s="695"/>
      <c r="E154" s="696"/>
      <c r="F154" s="853"/>
      <c r="G154" s="1709">
        <f>ROUND(SUM(G120:G153),2)</f>
        <v>0</v>
      </c>
    </row>
    <row r="155" spans="1:7" s="246" customFormat="1" ht="15" x14ac:dyDescent="0.25">
      <c r="B155" s="861"/>
      <c r="C155" s="862"/>
      <c r="D155" s="695"/>
      <c r="E155" s="696"/>
      <c r="F155" s="853"/>
      <c r="G155" s="1708" t="str">
        <f>IF(F155="","",F155*E155)</f>
        <v/>
      </c>
    </row>
    <row r="156" spans="1:7" s="246" customFormat="1" ht="15" x14ac:dyDescent="0.25">
      <c r="B156" s="865" t="s">
        <v>1334</v>
      </c>
      <c r="C156" s="862" t="s">
        <v>1231</v>
      </c>
      <c r="D156" s="695"/>
      <c r="E156" s="696"/>
      <c r="F156" s="857"/>
      <c r="G156" s="1708" t="str">
        <f>IF(F156="","",F156*E156)</f>
        <v/>
      </c>
    </row>
    <row r="157" spans="1:7" s="246" customFormat="1" ht="15" x14ac:dyDescent="0.25">
      <c r="B157" s="865"/>
      <c r="C157" s="862"/>
      <c r="D157" s="695"/>
      <c r="E157" s="696"/>
      <c r="F157" s="857"/>
      <c r="G157" s="1708"/>
    </row>
    <row r="158" spans="1:7" s="246" customFormat="1" ht="36" x14ac:dyDescent="0.25">
      <c r="B158" s="865"/>
      <c r="C158" s="882" t="s">
        <v>1335</v>
      </c>
      <c r="D158" s="695"/>
      <c r="E158" s="696"/>
      <c r="F158" s="857"/>
      <c r="G158" s="1708"/>
    </row>
    <row r="159" spans="1:7" s="246" customFormat="1" ht="15" x14ac:dyDescent="0.25">
      <c r="B159" s="865"/>
      <c r="C159" s="862"/>
      <c r="D159" s="695"/>
      <c r="E159" s="696"/>
      <c r="F159" s="857"/>
      <c r="G159" s="1708"/>
    </row>
    <row r="160" spans="1:7" s="246" customFormat="1" ht="36" x14ac:dyDescent="0.25">
      <c r="A160" s="842" t="str">
        <f>$B$156</f>
        <v>2.4</v>
      </c>
      <c r="B160" s="789" t="s">
        <v>1232</v>
      </c>
      <c r="C160" s="789" t="s">
        <v>1233</v>
      </c>
      <c r="D160" s="695" t="s">
        <v>39</v>
      </c>
      <c r="E160" s="696">
        <v>5</v>
      </c>
      <c r="F160" s="1959"/>
      <c r="G160" s="783">
        <f>ROUND(E160*F160,2)</f>
        <v>0</v>
      </c>
    </row>
    <row r="161" spans="1:7" s="246" customFormat="1" x14ac:dyDescent="0.25">
      <c r="A161" s="842"/>
      <c r="B161" s="789"/>
      <c r="C161" s="789"/>
      <c r="D161" s="695"/>
      <c r="E161" s="696"/>
      <c r="F161" s="1959"/>
      <c r="G161" s="783"/>
    </row>
    <row r="162" spans="1:7" s="246" customFormat="1" x14ac:dyDescent="0.25">
      <c r="A162" s="842" t="str">
        <f>$B$156</f>
        <v>2.4</v>
      </c>
      <c r="B162" s="789" t="s">
        <v>1234</v>
      </c>
      <c r="C162" s="789" t="s">
        <v>1235</v>
      </c>
      <c r="D162" s="695" t="s">
        <v>39</v>
      </c>
      <c r="E162" s="696">
        <v>12</v>
      </c>
      <c r="F162" s="1959"/>
      <c r="G162" s="783">
        <f>ROUND(E162*F162,2)</f>
        <v>0</v>
      </c>
    </row>
    <row r="163" spans="1:7" s="246" customFormat="1" x14ac:dyDescent="0.25">
      <c r="A163" s="842"/>
      <c r="B163" s="789"/>
      <c r="C163" s="789"/>
      <c r="D163" s="695"/>
      <c r="E163" s="696"/>
      <c r="F163" s="1959"/>
      <c r="G163" s="783"/>
    </row>
    <row r="164" spans="1:7" s="246" customFormat="1" x14ac:dyDescent="0.25">
      <c r="A164" s="842" t="str">
        <f>$B$156</f>
        <v>2.4</v>
      </c>
      <c r="B164" s="789">
        <v>3</v>
      </c>
      <c r="C164" s="789" t="s">
        <v>1228</v>
      </c>
      <c r="D164" s="695" t="s">
        <v>58</v>
      </c>
      <c r="E164" s="696">
        <v>1</v>
      </c>
      <c r="F164" s="1959"/>
      <c r="G164" s="783">
        <f>ROUND(E164*F164,2)</f>
        <v>0</v>
      </c>
    </row>
    <row r="165" spans="1:7" s="246" customFormat="1" x14ac:dyDescent="0.25">
      <c r="A165" s="842"/>
      <c r="B165" s="789"/>
      <c r="C165" s="789"/>
      <c r="D165" s="695"/>
      <c r="E165" s="696"/>
      <c r="F165" s="1959"/>
      <c r="G165" s="783"/>
    </row>
    <row r="166" spans="1:7" s="246" customFormat="1" ht="48" x14ac:dyDescent="0.25">
      <c r="A166" s="842" t="s">
        <v>1334</v>
      </c>
      <c r="B166" s="789">
        <v>4</v>
      </c>
      <c r="C166" s="789" t="s">
        <v>1336</v>
      </c>
      <c r="D166" s="695" t="s">
        <v>58</v>
      </c>
      <c r="E166" s="696">
        <v>22</v>
      </c>
      <c r="F166" s="1959"/>
      <c r="G166" s="783">
        <f>ROUND(E166*F166,2)</f>
        <v>0</v>
      </c>
    </row>
    <row r="167" spans="1:7" s="246" customFormat="1" x14ac:dyDescent="0.25">
      <c r="A167" s="842"/>
      <c r="B167" s="789"/>
      <c r="C167" s="789"/>
      <c r="D167" s="695"/>
      <c r="E167" s="696"/>
      <c r="F167" s="1959"/>
      <c r="G167" s="783"/>
    </row>
    <row r="168" spans="1:7" s="246" customFormat="1" ht="24" x14ac:dyDescent="0.25">
      <c r="A168" s="842" t="s">
        <v>1334</v>
      </c>
      <c r="B168" s="789">
        <v>5</v>
      </c>
      <c r="C168" s="789" t="s">
        <v>1337</v>
      </c>
      <c r="D168" s="695" t="s">
        <v>58</v>
      </c>
      <c r="E168" s="696">
        <v>4</v>
      </c>
      <c r="F168" s="1959"/>
      <c r="G168" s="783">
        <f>ROUND(E168*F168,2)</f>
        <v>0</v>
      </c>
    </row>
    <row r="169" spans="1:7" s="246" customFormat="1" x14ac:dyDescent="0.25">
      <c r="A169" s="842"/>
      <c r="B169" s="789"/>
      <c r="C169" s="789"/>
      <c r="D169" s="695"/>
      <c r="E169" s="696"/>
      <c r="F169" s="1959"/>
      <c r="G169" s="783"/>
    </row>
    <row r="170" spans="1:7" s="246" customFormat="1" x14ac:dyDescent="0.25">
      <c r="A170" s="842"/>
      <c r="B170" s="789"/>
      <c r="C170" s="789"/>
      <c r="D170" s="695"/>
      <c r="E170" s="696"/>
      <c r="F170" s="1959"/>
      <c r="G170" s="783"/>
    </row>
    <row r="171" spans="1:7" s="246" customFormat="1" ht="15" x14ac:dyDescent="0.25">
      <c r="B171" s="861"/>
      <c r="C171" s="862" t="s">
        <v>1237</v>
      </c>
      <c r="D171" s="695"/>
      <c r="E171" s="696"/>
      <c r="F171" s="853"/>
      <c r="G171" s="1709">
        <f>ROUND(SUM(G160:G168),2)</f>
        <v>0</v>
      </c>
    </row>
    <row r="172" spans="1:7" s="246" customFormat="1" ht="14.25" x14ac:dyDescent="0.25">
      <c r="B172" s="859"/>
      <c r="C172" s="868"/>
      <c r="D172" s="695"/>
      <c r="E172" s="696"/>
      <c r="F172" s="857"/>
      <c r="G172" s="1708" t="str">
        <f>IF(F172="","",F172*E172)</f>
        <v/>
      </c>
    </row>
    <row r="173" spans="1:7" s="246" customFormat="1" ht="14.25" x14ac:dyDescent="0.25">
      <c r="B173" s="859"/>
      <c r="C173" s="868"/>
      <c r="D173" s="695"/>
      <c r="E173" s="696"/>
      <c r="F173" s="857"/>
      <c r="G173" s="1708" t="str">
        <f>IF(F173="","",F173*E173)</f>
        <v/>
      </c>
    </row>
    <row r="174" spans="1:7" s="246" customFormat="1" ht="15" x14ac:dyDescent="0.25">
      <c r="B174" s="865" t="s">
        <v>1338</v>
      </c>
      <c r="C174" s="862" t="s">
        <v>1339</v>
      </c>
      <c r="D174" s="695"/>
      <c r="E174" s="696"/>
      <c r="F174" s="857"/>
      <c r="G174" s="1708" t="str">
        <f>IF(F174="","",F174*E174)</f>
        <v/>
      </c>
    </row>
    <row r="175" spans="1:7" x14ac:dyDescent="0.25">
      <c r="A175" s="842" t="str">
        <f>$B$174</f>
        <v>2.5</v>
      </c>
      <c r="B175" s="789" t="s">
        <v>1232</v>
      </c>
      <c r="C175" s="789" t="s">
        <v>1240</v>
      </c>
      <c r="D175" s="695" t="s">
        <v>65</v>
      </c>
      <c r="E175" s="696">
        <v>50</v>
      </c>
      <c r="F175" s="1959"/>
      <c r="G175" s="783">
        <f>ROUND(E175*F175,2)</f>
        <v>0</v>
      </c>
    </row>
    <row r="176" spans="1:7" x14ac:dyDescent="0.25">
      <c r="A176" s="842"/>
      <c r="B176" s="789"/>
      <c r="C176" s="789"/>
      <c r="D176" s="695"/>
      <c r="E176" s="696"/>
      <c r="F176" s="1959"/>
      <c r="G176" s="783"/>
    </row>
    <row r="177" spans="1:7" ht="36" x14ac:dyDescent="0.25">
      <c r="A177" s="842" t="str">
        <f>$B$174</f>
        <v>2.5</v>
      </c>
      <c r="B177" s="789" t="s">
        <v>1234</v>
      </c>
      <c r="C177" s="789" t="s">
        <v>1241</v>
      </c>
      <c r="D177" s="695" t="s">
        <v>58</v>
      </c>
      <c r="E177" s="696">
        <v>1</v>
      </c>
      <c r="F177" s="1959"/>
      <c r="G177" s="783">
        <f>ROUND(E177*F177,2)</f>
        <v>0</v>
      </c>
    </row>
    <row r="178" spans="1:7" x14ac:dyDescent="0.25">
      <c r="A178" s="842"/>
      <c r="B178" s="789"/>
      <c r="C178" s="789"/>
      <c r="D178" s="695"/>
      <c r="E178" s="696"/>
      <c r="F178" s="1959"/>
      <c r="G178" s="783"/>
    </row>
    <row r="179" spans="1:7" ht="36" x14ac:dyDescent="0.25">
      <c r="A179" s="842" t="str">
        <f>$B$174</f>
        <v>2.5</v>
      </c>
      <c r="B179" s="789" t="s">
        <v>1236</v>
      </c>
      <c r="C179" s="789" t="s">
        <v>1242</v>
      </c>
      <c r="D179" s="695" t="s">
        <v>58</v>
      </c>
      <c r="E179" s="696">
        <v>1</v>
      </c>
      <c r="F179" s="1959"/>
      <c r="G179" s="783">
        <f>ROUND(E179*F179,2)</f>
        <v>0</v>
      </c>
    </row>
    <row r="180" spans="1:7" x14ac:dyDescent="0.25">
      <c r="A180" s="842"/>
      <c r="B180" s="789"/>
      <c r="C180" s="789"/>
      <c r="D180" s="695"/>
      <c r="E180" s="696"/>
      <c r="F180" s="1959"/>
      <c r="G180" s="783"/>
    </row>
    <row r="181" spans="1:7" x14ac:dyDescent="0.25">
      <c r="A181" s="842" t="str">
        <f>$B$174</f>
        <v>2.5</v>
      </c>
      <c r="B181" s="789" t="s">
        <v>4</v>
      </c>
      <c r="C181" s="789" t="s">
        <v>1243</v>
      </c>
      <c r="D181" s="695" t="s">
        <v>58</v>
      </c>
      <c r="E181" s="696">
        <v>1</v>
      </c>
      <c r="F181" s="1959"/>
      <c r="G181" s="783">
        <f>ROUND(E181*F181,2)</f>
        <v>0</v>
      </c>
    </row>
    <row r="182" spans="1:7" ht="15" x14ac:dyDescent="0.25">
      <c r="B182" s="861"/>
      <c r="C182" s="862" t="s">
        <v>1269</v>
      </c>
      <c r="D182" s="695"/>
      <c r="E182" s="696"/>
      <c r="F182" s="853"/>
      <c r="G182" s="1709">
        <f>ROUND(SUM(G175:G181),2)</f>
        <v>0</v>
      </c>
    </row>
    <row r="183" spans="1:7" ht="14.25" x14ac:dyDescent="0.25">
      <c r="B183" s="859"/>
      <c r="C183" s="868"/>
      <c r="D183" s="695"/>
      <c r="E183" s="696"/>
      <c r="F183" s="857"/>
      <c r="G183" s="1708" t="str">
        <f>IF(F183="","",F183*E183)</f>
        <v/>
      </c>
    </row>
    <row r="184" spans="1:7" ht="14.25" x14ac:dyDescent="0.25">
      <c r="B184" s="859"/>
      <c r="C184" s="868"/>
      <c r="D184" s="695"/>
      <c r="E184" s="696"/>
      <c r="F184" s="857"/>
      <c r="G184" s="1708" t="str">
        <f>IF(F184="","",F184*E184)</f>
        <v/>
      </c>
    </row>
    <row r="185" spans="1:7" ht="15" x14ac:dyDescent="0.25">
      <c r="B185" s="865" t="s">
        <v>1340</v>
      </c>
      <c r="C185" s="862" t="s">
        <v>1246</v>
      </c>
      <c r="D185" s="695"/>
      <c r="E185" s="696"/>
      <c r="F185" s="857"/>
      <c r="G185" s="1708" t="str">
        <f>IF(F185="","",F185*E185)</f>
        <v/>
      </c>
    </row>
    <row r="186" spans="1:7" ht="24" x14ac:dyDescent="0.25">
      <c r="A186" s="842" t="str">
        <f>$B$185</f>
        <v>2.6</v>
      </c>
      <c r="B186" s="789" t="s">
        <v>1232</v>
      </c>
      <c r="C186" s="789" t="s">
        <v>1247</v>
      </c>
      <c r="D186" s="695" t="s">
        <v>58</v>
      </c>
      <c r="E186" s="696">
        <v>1</v>
      </c>
      <c r="F186" s="1959"/>
      <c r="G186" s="783">
        <f>ROUND(E186*F186,2)</f>
        <v>0</v>
      </c>
    </row>
    <row r="187" spans="1:7" x14ac:dyDescent="0.25">
      <c r="A187" s="842"/>
      <c r="B187" s="789"/>
      <c r="C187" s="789"/>
      <c r="D187" s="695"/>
      <c r="E187" s="696"/>
      <c r="F187" s="1959"/>
      <c r="G187" s="783"/>
    </row>
    <row r="188" spans="1:7" ht="36" x14ac:dyDescent="0.25">
      <c r="A188" s="842" t="str">
        <f>$B$185</f>
        <v>2.6</v>
      </c>
      <c r="B188" s="789" t="s">
        <v>1234</v>
      </c>
      <c r="C188" s="789" t="s">
        <v>1248</v>
      </c>
      <c r="D188" s="695" t="s">
        <v>58</v>
      </c>
      <c r="E188" s="696">
        <v>1</v>
      </c>
      <c r="F188" s="1959"/>
      <c r="G188" s="783">
        <f>ROUND(E188*F188,2)</f>
        <v>0</v>
      </c>
    </row>
    <row r="189" spans="1:7" x14ac:dyDescent="0.25">
      <c r="A189" s="842"/>
      <c r="B189" s="789"/>
      <c r="C189" s="789"/>
      <c r="D189" s="695"/>
      <c r="E189" s="696"/>
      <c r="F189" s="1959"/>
      <c r="G189" s="783"/>
    </row>
    <row r="190" spans="1:7" ht="24" x14ac:dyDescent="0.25">
      <c r="A190" s="842" t="str">
        <f>$B$185</f>
        <v>2.6</v>
      </c>
      <c r="B190" s="789" t="s">
        <v>1236</v>
      </c>
      <c r="C190" s="789" t="s">
        <v>1249</v>
      </c>
      <c r="D190" s="695" t="s">
        <v>58</v>
      </c>
      <c r="E190" s="696">
        <v>1</v>
      </c>
      <c r="F190" s="1959"/>
      <c r="G190" s="783">
        <f>ROUND(E190*F190,2)</f>
        <v>0</v>
      </c>
    </row>
    <row r="191" spans="1:7" x14ac:dyDescent="0.25">
      <c r="A191" s="842"/>
      <c r="B191" s="789"/>
      <c r="C191" s="789"/>
      <c r="D191" s="695"/>
      <c r="E191" s="696"/>
      <c r="F191" s="1959"/>
      <c r="G191" s="783"/>
    </row>
    <row r="192" spans="1:7" ht="24" x14ac:dyDescent="0.25">
      <c r="A192" s="842" t="str">
        <f>$B$185</f>
        <v>2.6</v>
      </c>
      <c r="B192" s="789" t="s">
        <v>4</v>
      </c>
      <c r="C192" s="789" t="s">
        <v>1250</v>
      </c>
      <c r="D192" s="695" t="s">
        <v>58</v>
      </c>
      <c r="E192" s="696">
        <v>1</v>
      </c>
      <c r="F192" s="1959"/>
      <c r="G192" s="783">
        <f>ROUND(E192*F192,2)</f>
        <v>0</v>
      </c>
    </row>
    <row r="193" spans="1:7" x14ac:dyDescent="0.25">
      <c r="A193" s="842"/>
      <c r="B193" s="789"/>
      <c r="C193" s="789"/>
      <c r="D193" s="695"/>
      <c r="E193" s="696"/>
      <c r="F193" s="1959"/>
      <c r="G193" s="783"/>
    </row>
    <row r="194" spans="1:7" ht="36" x14ac:dyDescent="0.25">
      <c r="A194" s="842" t="str">
        <f>$B$185</f>
        <v>2.6</v>
      </c>
      <c r="B194" s="789" t="s">
        <v>5</v>
      </c>
      <c r="C194" s="789" t="s">
        <v>1251</v>
      </c>
      <c r="D194" s="695" t="s">
        <v>58</v>
      </c>
      <c r="E194" s="696">
        <v>1</v>
      </c>
      <c r="F194" s="1959"/>
      <c r="G194" s="783">
        <f>ROUND(E194*F194,2)</f>
        <v>0</v>
      </c>
    </row>
    <row r="195" spans="1:7" x14ac:dyDescent="0.25">
      <c r="A195" s="842"/>
      <c r="B195" s="789"/>
      <c r="C195" s="789"/>
      <c r="D195" s="695"/>
      <c r="E195" s="696"/>
      <c r="F195" s="1959"/>
      <c r="G195" s="783"/>
    </row>
    <row r="196" spans="1:7" ht="60" x14ac:dyDescent="0.25">
      <c r="A196" s="842" t="str">
        <f>$B$185</f>
        <v>2.6</v>
      </c>
      <c r="B196" s="789" t="s">
        <v>6</v>
      </c>
      <c r="C196" s="789" t="s">
        <v>1252</v>
      </c>
      <c r="D196" s="695" t="s">
        <v>58</v>
      </c>
      <c r="E196" s="696">
        <v>1</v>
      </c>
      <c r="F196" s="1959"/>
      <c r="G196" s="783">
        <f>ROUND(E196*F196,2)</f>
        <v>0</v>
      </c>
    </row>
    <row r="197" spans="1:7" x14ac:dyDescent="0.25">
      <c r="A197" s="842"/>
      <c r="B197" s="789"/>
      <c r="C197" s="789"/>
      <c r="D197" s="695"/>
      <c r="E197" s="696"/>
      <c r="F197" s="1959"/>
      <c r="G197" s="783"/>
    </row>
    <row r="198" spans="1:7" ht="84" x14ac:dyDescent="0.25">
      <c r="A198" s="842" t="str">
        <f>$B$185</f>
        <v>2.6</v>
      </c>
      <c r="B198" s="789" t="s">
        <v>7</v>
      </c>
      <c r="C198" s="789" t="s">
        <v>1253</v>
      </c>
      <c r="D198" s="695" t="s">
        <v>58</v>
      </c>
      <c r="E198" s="696">
        <v>1</v>
      </c>
      <c r="F198" s="1959"/>
      <c r="G198" s="783">
        <f>ROUND(E198*F198,2)</f>
        <v>0</v>
      </c>
    </row>
    <row r="199" spans="1:7" ht="15" x14ac:dyDescent="0.25">
      <c r="B199" s="861"/>
      <c r="C199" s="862" t="s">
        <v>1341</v>
      </c>
      <c r="D199" s="863"/>
      <c r="E199" s="863"/>
      <c r="F199" s="853"/>
      <c r="G199" s="1709">
        <f>ROUND(SUM(G186:G198),2)</f>
        <v>0</v>
      </c>
    </row>
    <row r="200" spans="1:7" x14ac:dyDescent="0.25">
      <c r="G200" s="915"/>
    </row>
    <row r="201" spans="1:7" x14ac:dyDescent="0.25">
      <c r="G201" s="915"/>
    </row>
    <row r="202" spans="1:7" x14ac:dyDescent="0.25">
      <c r="C202" s="876" t="s">
        <v>1342</v>
      </c>
      <c r="G202" s="915"/>
    </row>
    <row r="203" spans="1:7" ht="16.5" customHeight="1" x14ac:dyDescent="0.25">
      <c r="B203" s="837" t="s">
        <v>1325</v>
      </c>
      <c r="C203" s="851" t="s">
        <v>1256</v>
      </c>
      <c r="D203" s="877"/>
      <c r="E203" s="852"/>
      <c r="F203" s="878"/>
      <c r="G203" s="1709">
        <f>ROUND(G39,2)</f>
        <v>0</v>
      </c>
    </row>
    <row r="204" spans="1:7" ht="15" x14ac:dyDescent="0.25">
      <c r="B204" s="837" t="s">
        <v>1326</v>
      </c>
      <c r="C204" s="851" t="s">
        <v>1140</v>
      </c>
      <c r="D204" s="877"/>
      <c r="E204" s="852"/>
      <c r="F204" s="878"/>
      <c r="G204" s="1709">
        <f>ROUND(G97,2)</f>
        <v>0</v>
      </c>
    </row>
    <row r="205" spans="1:7" ht="15" x14ac:dyDescent="0.25">
      <c r="B205" s="837" t="s">
        <v>1329</v>
      </c>
      <c r="C205" s="851" t="s">
        <v>1172</v>
      </c>
      <c r="D205" s="877"/>
      <c r="E205" s="852"/>
      <c r="F205" s="878"/>
      <c r="G205" s="1709">
        <f>ROUND(G154,2)</f>
        <v>0</v>
      </c>
    </row>
    <row r="206" spans="1:7" ht="15" x14ac:dyDescent="0.25">
      <c r="B206" s="837" t="s">
        <v>1334</v>
      </c>
      <c r="C206" s="851" t="s">
        <v>1231</v>
      </c>
      <c r="D206" s="877"/>
      <c r="E206" s="852"/>
      <c r="F206" s="878"/>
      <c r="G206" s="1709">
        <f>ROUND(G171,2)</f>
        <v>0</v>
      </c>
    </row>
    <row r="207" spans="1:7" ht="15" x14ac:dyDescent="0.25">
      <c r="B207" s="837" t="s">
        <v>1338</v>
      </c>
      <c r="C207" s="851" t="s">
        <v>1239</v>
      </c>
      <c r="D207" s="877"/>
      <c r="E207" s="852"/>
      <c r="F207" s="878"/>
      <c r="G207" s="1709">
        <f>ROUND(G182,2)</f>
        <v>0</v>
      </c>
    </row>
    <row r="208" spans="1:7" ht="15" x14ac:dyDescent="0.25">
      <c r="B208" s="1606" t="s">
        <v>1340</v>
      </c>
      <c r="C208" s="1607" t="s">
        <v>1258</v>
      </c>
      <c r="D208" s="1608"/>
      <c r="E208" s="1609"/>
      <c r="F208" s="1610"/>
      <c r="G208" s="1712">
        <f>ROUND(G199,2)</f>
        <v>0</v>
      </c>
    </row>
    <row r="209" spans="3:7" ht="15" x14ac:dyDescent="0.25">
      <c r="C209" s="851" t="s">
        <v>1259</v>
      </c>
      <c r="D209" s="877"/>
      <c r="E209" s="852"/>
      <c r="F209" s="878"/>
      <c r="G209" s="1709">
        <f>ROUND(SUM(G203:G208),2)</f>
        <v>0</v>
      </c>
    </row>
  </sheetData>
  <sheetProtection algorithmName="SHA-512" hashValue="QVvdgJHW5OLFhwoVyy5+K9psLCzKq5bEPXpjfKhMiHIFhv2uKvSeisFJsRZG0nPGMMNzJLiDB48ex4rgCSyVXg==" saltValue="Zow6786z/1qTyU6GsRNjdQ==" spinCount="100000" sheet="1" objects="1" scenarios="1"/>
  <mergeCells count="1">
    <mergeCell ref="H3:H4"/>
  </mergeCells>
  <pageMargins left="0.98425196850393704" right="0.39370078740157483" top="0.98425196850393704" bottom="0.74803149606299213" header="0" footer="0.39370078740157483"/>
  <pageSetup paperSize="9" scale="98" firstPageNumber="0" orientation="portrait" r:id="rId1"/>
  <headerFooter alignWithMargins="0">
    <oddHeader>&amp;L
&amp;R&amp;"Projekt,Običajno"&amp;72p</oddHeader>
    <oddFooter>&amp;C&amp;6 &amp; List: &amp;A&amp;R &amp;  &amp; Stran: &amp;P/&amp;N</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6">
    <tabColor theme="6" tint="-0.249977111117893"/>
  </sheetPr>
  <dimension ref="A1:K112"/>
  <sheetViews>
    <sheetView view="pageBreakPreview" zoomScaleNormal="85" zoomScaleSheetLayoutView="100" workbookViewId="0"/>
  </sheetViews>
  <sheetFormatPr defaultRowHeight="12.75" x14ac:dyDescent="0.25"/>
  <cols>
    <col min="1" max="2" width="3.5703125" style="1408" customWidth="1"/>
    <col min="3" max="3" width="43.7109375" style="1407" customWidth="1"/>
    <col min="4" max="4" width="5.7109375" style="1408" customWidth="1"/>
    <col min="5" max="5" width="7.5703125" style="1409" customWidth="1"/>
    <col min="6" max="6" width="10" style="1975" customWidth="1"/>
    <col min="7" max="7" width="13.28515625" style="1410" customWidth="1"/>
    <col min="8" max="8" width="9.85546875" style="1408" customWidth="1"/>
    <col min="9" max="9" width="2.5703125" style="1408" bestFit="1" customWidth="1"/>
    <col min="10" max="10" width="9.140625" style="1408"/>
    <col min="11" max="11" width="9" style="1408" customWidth="1"/>
    <col min="12" max="256" width="9.140625" style="1408"/>
    <col min="257" max="257" width="4.140625" style="1408" customWidth="1"/>
    <col min="258" max="258" width="4.42578125" style="1408" customWidth="1"/>
    <col min="259" max="259" width="44.140625" style="1408" customWidth="1"/>
    <col min="260" max="260" width="6.28515625" style="1408" customWidth="1"/>
    <col min="261" max="261" width="7.5703125" style="1408" customWidth="1"/>
    <col min="262" max="262" width="9.5703125" style="1408" customWidth="1"/>
    <col min="263" max="263" width="13.28515625" style="1408" customWidth="1"/>
    <col min="264" max="264" width="9.85546875" style="1408" customWidth="1"/>
    <col min="265" max="265" width="2.5703125" style="1408" bestFit="1" customWidth="1"/>
    <col min="266" max="266" width="9.140625" style="1408"/>
    <col min="267" max="267" width="9" style="1408" customWidth="1"/>
    <col min="268" max="512" width="9.140625" style="1408"/>
    <col min="513" max="513" width="4.140625" style="1408" customWidth="1"/>
    <col min="514" max="514" width="4.42578125" style="1408" customWidth="1"/>
    <col min="515" max="515" width="44.140625" style="1408" customWidth="1"/>
    <col min="516" max="516" width="6.28515625" style="1408" customWidth="1"/>
    <col min="517" max="517" width="7.5703125" style="1408" customWidth="1"/>
    <col min="518" max="518" width="9.5703125" style="1408" customWidth="1"/>
    <col min="519" max="519" width="13.28515625" style="1408" customWidth="1"/>
    <col min="520" max="520" width="9.85546875" style="1408" customWidth="1"/>
    <col min="521" max="521" width="2.5703125" style="1408" bestFit="1" customWidth="1"/>
    <col min="522" max="522" width="9.140625" style="1408"/>
    <col min="523" max="523" width="9" style="1408" customWidth="1"/>
    <col min="524" max="768" width="9.140625" style="1408"/>
    <col min="769" max="769" width="4.140625" style="1408" customWidth="1"/>
    <col min="770" max="770" width="4.42578125" style="1408" customWidth="1"/>
    <col min="771" max="771" width="44.140625" style="1408" customWidth="1"/>
    <col min="772" max="772" width="6.28515625" style="1408" customWidth="1"/>
    <col min="773" max="773" width="7.5703125" style="1408" customWidth="1"/>
    <col min="774" max="774" width="9.5703125" style="1408" customWidth="1"/>
    <col min="775" max="775" width="13.28515625" style="1408" customWidth="1"/>
    <col min="776" max="776" width="9.85546875" style="1408" customWidth="1"/>
    <col min="777" max="777" width="2.5703125" style="1408" bestFit="1" customWidth="1"/>
    <col min="778" max="778" width="9.140625" style="1408"/>
    <col min="779" max="779" width="9" style="1408" customWidth="1"/>
    <col min="780" max="1024" width="9.140625" style="1408"/>
    <col min="1025" max="1025" width="4.140625" style="1408" customWidth="1"/>
    <col min="1026" max="1026" width="4.42578125" style="1408" customWidth="1"/>
    <col min="1027" max="1027" width="44.140625" style="1408" customWidth="1"/>
    <col min="1028" max="1028" width="6.28515625" style="1408" customWidth="1"/>
    <col min="1029" max="1029" width="7.5703125" style="1408" customWidth="1"/>
    <col min="1030" max="1030" width="9.5703125" style="1408" customWidth="1"/>
    <col min="1031" max="1031" width="13.28515625" style="1408" customWidth="1"/>
    <col min="1032" max="1032" width="9.85546875" style="1408" customWidth="1"/>
    <col min="1033" max="1033" width="2.5703125" style="1408" bestFit="1" customWidth="1"/>
    <col min="1034" max="1034" width="9.140625" style="1408"/>
    <col min="1035" max="1035" width="9" style="1408" customWidth="1"/>
    <col min="1036" max="1280" width="9.140625" style="1408"/>
    <col min="1281" max="1281" width="4.140625" style="1408" customWidth="1"/>
    <col min="1282" max="1282" width="4.42578125" style="1408" customWidth="1"/>
    <col min="1283" max="1283" width="44.140625" style="1408" customWidth="1"/>
    <col min="1284" max="1284" width="6.28515625" style="1408" customWidth="1"/>
    <col min="1285" max="1285" width="7.5703125" style="1408" customWidth="1"/>
    <col min="1286" max="1286" width="9.5703125" style="1408" customWidth="1"/>
    <col min="1287" max="1287" width="13.28515625" style="1408" customWidth="1"/>
    <col min="1288" max="1288" width="9.85546875" style="1408" customWidth="1"/>
    <col min="1289" max="1289" width="2.5703125" style="1408" bestFit="1" customWidth="1"/>
    <col min="1290" max="1290" width="9.140625" style="1408"/>
    <col min="1291" max="1291" width="9" style="1408" customWidth="1"/>
    <col min="1292" max="1536" width="9.140625" style="1408"/>
    <col min="1537" max="1537" width="4.140625" style="1408" customWidth="1"/>
    <col min="1538" max="1538" width="4.42578125" style="1408" customWidth="1"/>
    <col min="1539" max="1539" width="44.140625" style="1408" customWidth="1"/>
    <col min="1540" max="1540" width="6.28515625" style="1408" customWidth="1"/>
    <col min="1541" max="1541" width="7.5703125" style="1408" customWidth="1"/>
    <col min="1542" max="1542" width="9.5703125" style="1408" customWidth="1"/>
    <col min="1543" max="1543" width="13.28515625" style="1408" customWidth="1"/>
    <col min="1544" max="1544" width="9.85546875" style="1408" customWidth="1"/>
    <col min="1545" max="1545" width="2.5703125" style="1408" bestFit="1" customWidth="1"/>
    <col min="1546" max="1546" width="9.140625" style="1408"/>
    <col min="1547" max="1547" width="9" style="1408" customWidth="1"/>
    <col min="1548" max="1792" width="9.140625" style="1408"/>
    <col min="1793" max="1793" width="4.140625" style="1408" customWidth="1"/>
    <col min="1794" max="1794" width="4.42578125" style="1408" customWidth="1"/>
    <col min="1795" max="1795" width="44.140625" style="1408" customWidth="1"/>
    <col min="1796" max="1796" width="6.28515625" style="1408" customWidth="1"/>
    <col min="1797" max="1797" width="7.5703125" style="1408" customWidth="1"/>
    <col min="1798" max="1798" width="9.5703125" style="1408" customWidth="1"/>
    <col min="1799" max="1799" width="13.28515625" style="1408" customWidth="1"/>
    <col min="1800" max="1800" width="9.85546875" style="1408" customWidth="1"/>
    <col min="1801" max="1801" width="2.5703125" style="1408" bestFit="1" customWidth="1"/>
    <col min="1802" max="1802" width="9.140625" style="1408"/>
    <col min="1803" max="1803" width="9" style="1408" customWidth="1"/>
    <col min="1804" max="2048" width="9.140625" style="1408"/>
    <col min="2049" max="2049" width="4.140625" style="1408" customWidth="1"/>
    <col min="2050" max="2050" width="4.42578125" style="1408" customWidth="1"/>
    <col min="2051" max="2051" width="44.140625" style="1408" customWidth="1"/>
    <col min="2052" max="2052" width="6.28515625" style="1408" customWidth="1"/>
    <col min="2053" max="2053" width="7.5703125" style="1408" customWidth="1"/>
    <col min="2054" max="2054" width="9.5703125" style="1408" customWidth="1"/>
    <col min="2055" max="2055" width="13.28515625" style="1408" customWidth="1"/>
    <col min="2056" max="2056" width="9.85546875" style="1408" customWidth="1"/>
    <col min="2057" max="2057" width="2.5703125" style="1408" bestFit="1" customWidth="1"/>
    <col min="2058" max="2058" width="9.140625" style="1408"/>
    <col min="2059" max="2059" width="9" style="1408" customWidth="1"/>
    <col min="2060" max="2304" width="9.140625" style="1408"/>
    <col min="2305" max="2305" width="4.140625" style="1408" customWidth="1"/>
    <col min="2306" max="2306" width="4.42578125" style="1408" customWidth="1"/>
    <col min="2307" max="2307" width="44.140625" style="1408" customWidth="1"/>
    <col min="2308" max="2308" width="6.28515625" style="1408" customWidth="1"/>
    <col min="2309" max="2309" width="7.5703125" style="1408" customWidth="1"/>
    <col min="2310" max="2310" width="9.5703125" style="1408" customWidth="1"/>
    <col min="2311" max="2311" width="13.28515625" style="1408" customWidth="1"/>
    <col min="2312" max="2312" width="9.85546875" style="1408" customWidth="1"/>
    <col min="2313" max="2313" width="2.5703125" style="1408" bestFit="1" customWidth="1"/>
    <col min="2314" max="2314" width="9.140625" style="1408"/>
    <col min="2315" max="2315" width="9" style="1408" customWidth="1"/>
    <col min="2316" max="2560" width="9.140625" style="1408"/>
    <col min="2561" max="2561" width="4.140625" style="1408" customWidth="1"/>
    <col min="2562" max="2562" width="4.42578125" style="1408" customWidth="1"/>
    <col min="2563" max="2563" width="44.140625" style="1408" customWidth="1"/>
    <col min="2564" max="2564" width="6.28515625" style="1408" customWidth="1"/>
    <col min="2565" max="2565" width="7.5703125" style="1408" customWidth="1"/>
    <col min="2566" max="2566" width="9.5703125" style="1408" customWidth="1"/>
    <col min="2567" max="2567" width="13.28515625" style="1408" customWidth="1"/>
    <col min="2568" max="2568" width="9.85546875" style="1408" customWidth="1"/>
    <col min="2569" max="2569" width="2.5703125" style="1408" bestFit="1" customWidth="1"/>
    <col min="2570" max="2570" width="9.140625" style="1408"/>
    <col min="2571" max="2571" width="9" style="1408" customWidth="1"/>
    <col min="2572" max="2816" width="9.140625" style="1408"/>
    <col min="2817" max="2817" width="4.140625" style="1408" customWidth="1"/>
    <col min="2818" max="2818" width="4.42578125" style="1408" customWidth="1"/>
    <col min="2819" max="2819" width="44.140625" style="1408" customWidth="1"/>
    <col min="2820" max="2820" width="6.28515625" style="1408" customWidth="1"/>
    <col min="2821" max="2821" width="7.5703125" style="1408" customWidth="1"/>
    <col min="2822" max="2822" width="9.5703125" style="1408" customWidth="1"/>
    <col min="2823" max="2823" width="13.28515625" style="1408" customWidth="1"/>
    <col min="2824" max="2824" width="9.85546875" style="1408" customWidth="1"/>
    <col min="2825" max="2825" width="2.5703125" style="1408" bestFit="1" customWidth="1"/>
    <col min="2826" max="2826" width="9.140625" style="1408"/>
    <col min="2827" max="2827" width="9" style="1408" customWidth="1"/>
    <col min="2828" max="3072" width="9.140625" style="1408"/>
    <col min="3073" max="3073" width="4.140625" style="1408" customWidth="1"/>
    <col min="3074" max="3074" width="4.42578125" style="1408" customWidth="1"/>
    <col min="3075" max="3075" width="44.140625" style="1408" customWidth="1"/>
    <col min="3076" max="3076" width="6.28515625" style="1408" customWidth="1"/>
    <col min="3077" max="3077" width="7.5703125" style="1408" customWidth="1"/>
    <col min="3078" max="3078" width="9.5703125" style="1408" customWidth="1"/>
    <col min="3079" max="3079" width="13.28515625" style="1408" customWidth="1"/>
    <col min="3080" max="3080" width="9.85546875" style="1408" customWidth="1"/>
    <col min="3081" max="3081" width="2.5703125" style="1408" bestFit="1" customWidth="1"/>
    <col min="3082" max="3082" width="9.140625" style="1408"/>
    <col min="3083" max="3083" width="9" style="1408" customWidth="1"/>
    <col min="3084" max="3328" width="9.140625" style="1408"/>
    <col min="3329" max="3329" width="4.140625" style="1408" customWidth="1"/>
    <col min="3330" max="3330" width="4.42578125" style="1408" customWidth="1"/>
    <col min="3331" max="3331" width="44.140625" style="1408" customWidth="1"/>
    <col min="3332" max="3332" width="6.28515625" style="1408" customWidth="1"/>
    <col min="3333" max="3333" width="7.5703125" style="1408" customWidth="1"/>
    <col min="3334" max="3334" width="9.5703125" style="1408" customWidth="1"/>
    <col min="3335" max="3335" width="13.28515625" style="1408" customWidth="1"/>
    <col min="3336" max="3336" width="9.85546875" style="1408" customWidth="1"/>
    <col min="3337" max="3337" width="2.5703125" style="1408" bestFit="1" customWidth="1"/>
    <col min="3338" max="3338" width="9.140625" style="1408"/>
    <col min="3339" max="3339" width="9" style="1408" customWidth="1"/>
    <col min="3340" max="3584" width="9.140625" style="1408"/>
    <col min="3585" max="3585" width="4.140625" style="1408" customWidth="1"/>
    <col min="3586" max="3586" width="4.42578125" style="1408" customWidth="1"/>
    <col min="3587" max="3587" width="44.140625" style="1408" customWidth="1"/>
    <col min="3588" max="3588" width="6.28515625" style="1408" customWidth="1"/>
    <col min="3589" max="3589" width="7.5703125" style="1408" customWidth="1"/>
    <col min="3590" max="3590" width="9.5703125" style="1408" customWidth="1"/>
    <col min="3591" max="3591" width="13.28515625" style="1408" customWidth="1"/>
    <col min="3592" max="3592" width="9.85546875" style="1408" customWidth="1"/>
    <col min="3593" max="3593" width="2.5703125" style="1408" bestFit="1" customWidth="1"/>
    <col min="3594" max="3594" width="9.140625" style="1408"/>
    <col min="3595" max="3595" width="9" style="1408" customWidth="1"/>
    <col min="3596" max="3840" width="9.140625" style="1408"/>
    <col min="3841" max="3841" width="4.140625" style="1408" customWidth="1"/>
    <col min="3842" max="3842" width="4.42578125" style="1408" customWidth="1"/>
    <col min="3843" max="3843" width="44.140625" style="1408" customWidth="1"/>
    <col min="3844" max="3844" width="6.28515625" style="1408" customWidth="1"/>
    <col min="3845" max="3845" width="7.5703125" style="1408" customWidth="1"/>
    <col min="3846" max="3846" width="9.5703125" style="1408" customWidth="1"/>
    <col min="3847" max="3847" width="13.28515625" style="1408" customWidth="1"/>
    <col min="3848" max="3848" width="9.85546875" style="1408" customWidth="1"/>
    <col min="3849" max="3849" width="2.5703125" style="1408" bestFit="1" customWidth="1"/>
    <col min="3850" max="3850" width="9.140625" style="1408"/>
    <col min="3851" max="3851" width="9" style="1408" customWidth="1"/>
    <col min="3852" max="4096" width="9.140625" style="1408"/>
    <col min="4097" max="4097" width="4.140625" style="1408" customWidth="1"/>
    <col min="4098" max="4098" width="4.42578125" style="1408" customWidth="1"/>
    <col min="4099" max="4099" width="44.140625" style="1408" customWidth="1"/>
    <col min="4100" max="4100" width="6.28515625" style="1408" customWidth="1"/>
    <col min="4101" max="4101" width="7.5703125" style="1408" customWidth="1"/>
    <col min="4102" max="4102" width="9.5703125" style="1408" customWidth="1"/>
    <col min="4103" max="4103" width="13.28515625" style="1408" customWidth="1"/>
    <col min="4104" max="4104" width="9.85546875" style="1408" customWidth="1"/>
    <col min="4105" max="4105" width="2.5703125" style="1408" bestFit="1" customWidth="1"/>
    <col min="4106" max="4106" width="9.140625" style="1408"/>
    <col min="4107" max="4107" width="9" style="1408" customWidth="1"/>
    <col min="4108" max="4352" width="9.140625" style="1408"/>
    <col min="4353" max="4353" width="4.140625" style="1408" customWidth="1"/>
    <col min="4354" max="4354" width="4.42578125" style="1408" customWidth="1"/>
    <col min="4355" max="4355" width="44.140625" style="1408" customWidth="1"/>
    <col min="4356" max="4356" width="6.28515625" style="1408" customWidth="1"/>
    <col min="4357" max="4357" width="7.5703125" style="1408" customWidth="1"/>
    <col min="4358" max="4358" width="9.5703125" style="1408" customWidth="1"/>
    <col min="4359" max="4359" width="13.28515625" style="1408" customWidth="1"/>
    <col min="4360" max="4360" width="9.85546875" style="1408" customWidth="1"/>
    <col min="4361" max="4361" width="2.5703125" style="1408" bestFit="1" customWidth="1"/>
    <col min="4362" max="4362" width="9.140625" style="1408"/>
    <col min="4363" max="4363" width="9" style="1408" customWidth="1"/>
    <col min="4364" max="4608" width="9.140625" style="1408"/>
    <col min="4609" max="4609" width="4.140625" style="1408" customWidth="1"/>
    <col min="4610" max="4610" width="4.42578125" style="1408" customWidth="1"/>
    <col min="4611" max="4611" width="44.140625" style="1408" customWidth="1"/>
    <col min="4612" max="4612" width="6.28515625" style="1408" customWidth="1"/>
    <col min="4613" max="4613" width="7.5703125" style="1408" customWidth="1"/>
    <col min="4614" max="4614" width="9.5703125" style="1408" customWidth="1"/>
    <col min="4615" max="4615" width="13.28515625" style="1408" customWidth="1"/>
    <col min="4616" max="4616" width="9.85546875" style="1408" customWidth="1"/>
    <col min="4617" max="4617" width="2.5703125" style="1408" bestFit="1" customWidth="1"/>
    <col min="4618" max="4618" width="9.140625" style="1408"/>
    <col min="4619" max="4619" width="9" style="1408" customWidth="1"/>
    <col min="4620" max="4864" width="9.140625" style="1408"/>
    <col min="4865" max="4865" width="4.140625" style="1408" customWidth="1"/>
    <col min="4866" max="4866" width="4.42578125" style="1408" customWidth="1"/>
    <col min="4867" max="4867" width="44.140625" style="1408" customWidth="1"/>
    <col min="4868" max="4868" width="6.28515625" style="1408" customWidth="1"/>
    <col min="4869" max="4869" width="7.5703125" style="1408" customWidth="1"/>
    <col min="4870" max="4870" width="9.5703125" style="1408" customWidth="1"/>
    <col min="4871" max="4871" width="13.28515625" style="1408" customWidth="1"/>
    <col min="4872" max="4872" width="9.85546875" style="1408" customWidth="1"/>
    <col min="4873" max="4873" width="2.5703125" style="1408" bestFit="1" customWidth="1"/>
    <col min="4874" max="4874" width="9.140625" style="1408"/>
    <col min="4875" max="4875" width="9" style="1408" customWidth="1"/>
    <col min="4876" max="5120" width="9.140625" style="1408"/>
    <col min="5121" max="5121" width="4.140625" style="1408" customWidth="1"/>
    <col min="5122" max="5122" width="4.42578125" style="1408" customWidth="1"/>
    <col min="5123" max="5123" width="44.140625" style="1408" customWidth="1"/>
    <col min="5124" max="5124" width="6.28515625" style="1408" customWidth="1"/>
    <col min="5125" max="5125" width="7.5703125" style="1408" customWidth="1"/>
    <col min="5126" max="5126" width="9.5703125" style="1408" customWidth="1"/>
    <col min="5127" max="5127" width="13.28515625" style="1408" customWidth="1"/>
    <col min="5128" max="5128" width="9.85546875" style="1408" customWidth="1"/>
    <col min="5129" max="5129" width="2.5703125" style="1408" bestFit="1" customWidth="1"/>
    <col min="5130" max="5130" width="9.140625" style="1408"/>
    <col min="5131" max="5131" width="9" style="1408" customWidth="1"/>
    <col min="5132" max="5376" width="9.140625" style="1408"/>
    <col min="5377" max="5377" width="4.140625" style="1408" customWidth="1"/>
    <col min="5378" max="5378" width="4.42578125" style="1408" customWidth="1"/>
    <col min="5379" max="5379" width="44.140625" style="1408" customWidth="1"/>
    <col min="5380" max="5380" width="6.28515625" style="1408" customWidth="1"/>
    <col min="5381" max="5381" width="7.5703125" style="1408" customWidth="1"/>
    <col min="5382" max="5382" width="9.5703125" style="1408" customWidth="1"/>
    <col min="5383" max="5383" width="13.28515625" style="1408" customWidth="1"/>
    <col min="5384" max="5384" width="9.85546875" style="1408" customWidth="1"/>
    <col min="5385" max="5385" width="2.5703125" style="1408" bestFit="1" customWidth="1"/>
    <col min="5386" max="5386" width="9.140625" style="1408"/>
    <col min="5387" max="5387" width="9" style="1408" customWidth="1"/>
    <col min="5388" max="5632" width="9.140625" style="1408"/>
    <col min="5633" max="5633" width="4.140625" style="1408" customWidth="1"/>
    <col min="5634" max="5634" width="4.42578125" style="1408" customWidth="1"/>
    <col min="5635" max="5635" width="44.140625" style="1408" customWidth="1"/>
    <col min="5636" max="5636" width="6.28515625" style="1408" customWidth="1"/>
    <col min="5637" max="5637" width="7.5703125" style="1408" customWidth="1"/>
    <col min="5638" max="5638" width="9.5703125" style="1408" customWidth="1"/>
    <col min="5639" max="5639" width="13.28515625" style="1408" customWidth="1"/>
    <col min="5640" max="5640" width="9.85546875" style="1408" customWidth="1"/>
    <col min="5641" max="5641" width="2.5703125" style="1408" bestFit="1" customWidth="1"/>
    <col min="5642" max="5642" width="9.140625" style="1408"/>
    <col min="5643" max="5643" width="9" style="1408" customWidth="1"/>
    <col min="5644" max="5888" width="9.140625" style="1408"/>
    <col min="5889" max="5889" width="4.140625" style="1408" customWidth="1"/>
    <col min="5890" max="5890" width="4.42578125" style="1408" customWidth="1"/>
    <col min="5891" max="5891" width="44.140625" style="1408" customWidth="1"/>
    <col min="5892" max="5892" width="6.28515625" style="1408" customWidth="1"/>
    <col min="5893" max="5893" width="7.5703125" style="1408" customWidth="1"/>
    <col min="5894" max="5894" width="9.5703125" style="1408" customWidth="1"/>
    <col min="5895" max="5895" width="13.28515625" style="1408" customWidth="1"/>
    <col min="5896" max="5896" width="9.85546875" style="1408" customWidth="1"/>
    <col min="5897" max="5897" width="2.5703125" style="1408" bestFit="1" customWidth="1"/>
    <col min="5898" max="5898" width="9.140625" style="1408"/>
    <col min="5899" max="5899" width="9" style="1408" customWidth="1"/>
    <col min="5900" max="6144" width="9.140625" style="1408"/>
    <col min="6145" max="6145" width="4.140625" style="1408" customWidth="1"/>
    <col min="6146" max="6146" width="4.42578125" style="1408" customWidth="1"/>
    <col min="6147" max="6147" width="44.140625" style="1408" customWidth="1"/>
    <col min="6148" max="6148" width="6.28515625" style="1408" customWidth="1"/>
    <col min="6149" max="6149" width="7.5703125" style="1408" customWidth="1"/>
    <col min="6150" max="6150" width="9.5703125" style="1408" customWidth="1"/>
    <col min="6151" max="6151" width="13.28515625" style="1408" customWidth="1"/>
    <col min="6152" max="6152" width="9.85546875" style="1408" customWidth="1"/>
    <col min="6153" max="6153" width="2.5703125" style="1408" bestFit="1" customWidth="1"/>
    <col min="6154" max="6154" width="9.140625" style="1408"/>
    <col min="6155" max="6155" width="9" style="1408" customWidth="1"/>
    <col min="6156" max="6400" width="9.140625" style="1408"/>
    <col min="6401" max="6401" width="4.140625" style="1408" customWidth="1"/>
    <col min="6402" max="6402" width="4.42578125" style="1408" customWidth="1"/>
    <col min="6403" max="6403" width="44.140625" style="1408" customWidth="1"/>
    <col min="6404" max="6404" width="6.28515625" style="1408" customWidth="1"/>
    <col min="6405" max="6405" width="7.5703125" style="1408" customWidth="1"/>
    <col min="6406" max="6406" width="9.5703125" style="1408" customWidth="1"/>
    <col min="6407" max="6407" width="13.28515625" style="1408" customWidth="1"/>
    <col min="6408" max="6408" width="9.85546875" style="1408" customWidth="1"/>
    <col min="6409" max="6409" width="2.5703125" style="1408" bestFit="1" customWidth="1"/>
    <col min="6410" max="6410" width="9.140625" style="1408"/>
    <col min="6411" max="6411" width="9" style="1408" customWidth="1"/>
    <col min="6412" max="6656" width="9.140625" style="1408"/>
    <col min="6657" max="6657" width="4.140625" style="1408" customWidth="1"/>
    <col min="6658" max="6658" width="4.42578125" style="1408" customWidth="1"/>
    <col min="6659" max="6659" width="44.140625" style="1408" customWidth="1"/>
    <col min="6660" max="6660" width="6.28515625" style="1408" customWidth="1"/>
    <col min="6661" max="6661" width="7.5703125" style="1408" customWidth="1"/>
    <col min="6662" max="6662" width="9.5703125" style="1408" customWidth="1"/>
    <col min="6663" max="6663" width="13.28515625" style="1408" customWidth="1"/>
    <col min="6664" max="6664" width="9.85546875" style="1408" customWidth="1"/>
    <col min="6665" max="6665" width="2.5703125" style="1408" bestFit="1" customWidth="1"/>
    <col min="6666" max="6666" width="9.140625" style="1408"/>
    <col min="6667" max="6667" width="9" style="1408" customWidth="1"/>
    <col min="6668" max="6912" width="9.140625" style="1408"/>
    <col min="6913" max="6913" width="4.140625" style="1408" customWidth="1"/>
    <col min="6914" max="6914" width="4.42578125" style="1408" customWidth="1"/>
    <col min="6915" max="6915" width="44.140625" style="1408" customWidth="1"/>
    <col min="6916" max="6916" width="6.28515625" style="1408" customWidth="1"/>
    <col min="6917" max="6917" width="7.5703125" style="1408" customWidth="1"/>
    <col min="6918" max="6918" width="9.5703125" style="1408" customWidth="1"/>
    <col min="6919" max="6919" width="13.28515625" style="1408" customWidth="1"/>
    <col min="6920" max="6920" width="9.85546875" style="1408" customWidth="1"/>
    <col min="6921" max="6921" width="2.5703125" style="1408" bestFit="1" customWidth="1"/>
    <col min="6922" max="6922" width="9.140625" style="1408"/>
    <col min="6923" max="6923" width="9" style="1408" customWidth="1"/>
    <col min="6924" max="7168" width="9.140625" style="1408"/>
    <col min="7169" max="7169" width="4.140625" style="1408" customWidth="1"/>
    <col min="7170" max="7170" width="4.42578125" style="1408" customWidth="1"/>
    <col min="7171" max="7171" width="44.140625" style="1408" customWidth="1"/>
    <col min="7172" max="7172" width="6.28515625" style="1408" customWidth="1"/>
    <col min="7173" max="7173" width="7.5703125" style="1408" customWidth="1"/>
    <col min="7174" max="7174" width="9.5703125" style="1408" customWidth="1"/>
    <col min="7175" max="7175" width="13.28515625" style="1408" customWidth="1"/>
    <col min="7176" max="7176" width="9.85546875" style="1408" customWidth="1"/>
    <col min="7177" max="7177" width="2.5703125" style="1408" bestFit="1" customWidth="1"/>
    <col min="7178" max="7178" width="9.140625" style="1408"/>
    <col min="7179" max="7179" width="9" style="1408" customWidth="1"/>
    <col min="7180" max="7424" width="9.140625" style="1408"/>
    <col min="7425" max="7425" width="4.140625" style="1408" customWidth="1"/>
    <col min="7426" max="7426" width="4.42578125" style="1408" customWidth="1"/>
    <col min="7427" max="7427" width="44.140625" style="1408" customWidth="1"/>
    <col min="7428" max="7428" width="6.28515625" style="1408" customWidth="1"/>
    <col min="7429" max="7429" width="7.5703125" style="1408" customWidth="1"/>
    <col min="7430" max="7430" width="9.5703125" style="1408" customWidth="1"/>
    <col min="7431" max="7431" width="13.28515625" style="1408" customWidth="1"/>
    <col min="7432" max="7432" width="9.85546875" style="1408" customWidth="1"/>
    <col min="7433" max="7433" width="2.5703125" style="1408" bestFit="1" customWidth="1"/>
    <col min="7434" max="7434" width="9.140625" style="1408"/>
    <col min="7435" max="7435" width="9" style="1408" customWidth="1"/>
    <col min="7436" max="7680" width="9.140625" style="1408"/>
    <col min="7681" max="7681" width="4.140625" style="1408" customWidth="1"/>
    <col min="7682" max="7682" width="4.42578125" style="1408" customWidth="1"/>
    <col min="7683" max="7683" width="44.140625" style="1408" customWidth="1"/>
    <col min="7684" max="7684" width="6.28515625" style="1408" customWidth="1"/>
    <col min="7685" max="7685" width="7.5703125" style="1408" customWidth="1"/>
    <col min="7686" max="7686" width="9.5703125" style="1408" customWidth="1"/>
    <col min="7687" max="7687" width="13.28515625" style="1408" customWidth="1"/>
    <col min="7688" max="7688" width="9.85546875" style="1408" customWidth="1"/>
    <col min="7689" max="7689" width="2.5703125" style="1408" bestFit="1" customWidth="1"/>
    <col min="7690" max="7690" width="9.140625" style="1408"/>
    <col min="7691" max="7691" width="9" style="1408" customWidth="1"/>
    <col min="7692" max="7936" width="9.140625" style="1408"/>
    <col min="7937" max="7937" width="4.140625" style="1408" customWidth="1"/>
    <col min="7938" max="7938" width="4.42578125" style="1408" customWidth="1"/>
    <col min="7939" max="7939" width="44.140625" style="1408" customWidth="1"/>
    <col min="7940" max="7940" width="6.28515625" style="1408" customWidth="1"/>
    <col min="7941" max="7941" width="7.5703125" style="1408" customWidth="1"/>
    <col min="7942" max="7942" width="9.5703125" style="1408" customWidth="1"/>
    <col min="7943" max="7943" width="13.28515625" style="1408" customWidth="1"/>
    <col min="7944" max="7944" width="9.85546875" style="1408" customWidth="1"/>
    <col min="7945" max="7945" width="2.5703125" style="1408" bestFit="1" customWidth="1"/>
    <col min="7946" max="7946" width="9.140625" style="1408"/>
    <col min="7947" max="7947" width="9" style="1408" customWidth="1"/>
    <col min="7948" max="8192" width="9.140625" style="1408"/>
    <col min="8193" max="8193" width="4.140625" style="1408" customWidth="1"/>
    <col min="8194" max="8194" width="4.42578125" style="1408" customWidth="1"/>
    <col min="8195" max="8195" width="44.140625" style="1408" customWidth="1"/>
    <col min="8196" max="8196" width="6.28515625" style="1408" customWidth="1"/>
    <col min="8197" max="8197" width="7.5703125" style="1408" customWidth="1"/>
    <col min="8198" max="8198" width="9.5703125" style="1408" customWidth="1"/>
    <col min="8199" max="8199" width="13.28515625" style="1408" customWidth="1"/>
    <col min="8200" max="8200" width="9.85546875" style="1408" customWidth="1"/>
    <col min="8201" max="8201" width="2.5703125" style="1408" bestFit="1" customWidth="1"/>
    <col min="8202" max="8202" width="9.140625" style="1408"/>
    <col min="8203" max="8203" width="9" style="1408" customWidth="1"/>
    <col min="8204" max="8448" width="9.140625" style="1408"/>
    <col min="8449" max="8449" width="4.140625" style="1408" customWidth="1"/>
    <col min="8450" max="8450" width="4.42578125" style="1408" customWidth="1"/>
    <col min="8451" max="8451" width="44.140625" style="1408" customWidth="1"/>
    <col min="8452" max="8452" width="6.28515625" style="1408" customWidth="1"/>
    <col min="8453" max="8453" width="7.5703125" style="1408" customWidth="1"/>
    <col min="8454" max="8454" width="9.5703125" style="1408" customWidth="1"/>
    <col min="8455" max="8455" width="13.28515625" style="1408" customWidth="1"/>
    <col min="8456" max="8456" width="9.85546875" style="1408" customWidth="1"/>
    <col min="8457" max="8457" width="2.5703125" style="1408" bestFit="1" customWidth="1"/>
    <col min="8458" max="8458" width="9.140625" style="1408"/>
    <col min="8459" max="8459" width="9" style="1408" customWidth="1"/>
    <col min="8460" max="8704" width="9.140625" style="1408"/>
    <col min="8705" max="8705" width="4.140625" style="1408" customWidth="1"/>
    <col min="8706" max="8706" width="4.42578125" style="1408" customWidth="1"/>
    <col min="8707" max="8707" width="44.140625" style="1408" customWidth="1"/>
    <col min="8708" max="8708" width="6.28515625" style="1408" customWidth="1"/>
    <col min="8709" max="8709" width="7.5703125" style="1408" customWidth="1"/>
    <col min="8710" max="8710" width="9.5703125" style="1408" customWidth="1"/>
    <col min="8711" max="8711" width="13.28515625" style="1408" customWidth="1"/>
    <col min="8712" max="8712" width="9.85546875" style="1408" customWidth="1"/>
    <col min="8713" max="8713" width="2.5703125" style="1408" bestFit="1" customWidth="1"/>
    <col min="8714" max="8714" width="9.140625" style="1408"/>
    <col min="8715" max="8715" width="9" style="1408" customWidth="1"/>
    <col min="8716" max="8960" width="9.140625" style="1408"/>
    <col min="8961" max="8961" width="4.140625" style="1408" customWidth="1"/>
    <col min="8962" max="8962" width="4.42578125" style="1408" customWidth="1"/>
    <col min="8963" max="8963" width="44.140625" style="1408" customWidth="1"/>
    <col min="8964" max="8964" width="6.28515625" style="1408" customWidth="1"/>
    <col min="8965" max="8965" width="7.5703125" style="1408" customWidth="1"/>
    <col min="8966" max="8966" width="9.5703125" style="1408" customWidth="1"/>
    <col min="8967" max="8967" width="13.28515625" style="1408" customWidth="1"/>
    <col min="8968" max="8968" width="9.85546875" style="1408" customWidth="1"/>
    <col min="8969" max="8969" width="2.5703125" style="1408" bestFit="1" customWidth="1"/>
    <col min="8970" max="8970" width="9.140625" style="1408"/>
    <col min="8971" max="8971" width="9" style="1408" customWidth="1"/>
    <col min="8972" max="9216" width="9.140625" style="1408"/>
    <col min="9217" max="9217" width="4.140625" style="1408" customWidth="1"/>
    <col min="9218" max="9218" width="4.42578125" style="1408" customWidth="1"/>
    <col min="9219" max="9219" width="44.140625" style="1408" customWidth="1"/>
    <col min="9220" max="9220" width="6.28515625" style="1408" customWidth="1"/>
    <col min="9221" max="9221" width="7.5703125" style="1408" customWidth="1"/>
    <col min="9222" max="9222" width="9.5703125" style="1408" customWidth="1"/>
    <col min="9223" max="9223" width="13.28515625" style="1408" customWidth="1"/>
    <col min="9224" max="9224" width="9.85546875" style="1408" customWidth="1"/>
    <col min="9225" max="9225" width="2.5703125" style="1408" bestFit="1" customWidth="1"/>
    <col min="9226" max="9226" width="9.140625" style="1408"/>
    <col min="9227" max="9227" width="9" style="1408" customWidth="1"/>
    <col min="9228" max="9472" width="9.140625" style="1408"/>
    <col min="9473" max="9473" width="4.140625" style="1408" customWidth="1"/>
    <col min="9474" max="9474" width="4.42578125" style="1408" customWidth="1"/>
    <col min="9475" max="9475" width="44.140625" style="1408" customWidth="1"/>
    <col min="9476" max="9476" width="6.28515625" style="1408" customWidth="1"/>
    <col min="9477" max="9477" width="7.5703125" style="1408" customWidth="1"/>
    <col min="9478" max="9478" width="9.5703125" style="1408" customWidth="1"/>
    <col min="9479" max="9479" width="13.28515625" style="1408" customWidth="1"/>
    <col min="9480" max="9480" width="9.85546875" style="1408" customWidth="1"/>
    <col min="9481" max="9481" width="2.5703125" style="1408" bestFit="1" customWidth="1"/>
    <col min="9482" max="9482" width="9.140625" style="1408"/>
    <col min="9483" max="9483" width="9" style="1408" customWidth="1"/>
    <col min="9484" max="9728" width="9.140625" style="1408"/>
    <col min="9729" max="9729" width="4.140625" style="1408" customWidth="1"/>
    <col min="9730" max="9730" width="4.42578125" style="1408" customWidth="1"/>
    <col min="9731" max="9731" width="44.140625" style="1408" customWidth="1"/>
    <col min="9732" max="9732" width="6.28515625" style="1408" customWidth="1"/>
    <col min="9733" max="9733" width="7.5703125" style="1408" customWidth="1"/>
    <col min="9734" max="9734" width="9.5703125" style="1408" customWidth="1"/>
    <col min="9735" max="9735" width="13.28515625" style="1408" customWidth="1"/>
    <col min="9736" max="9736" width="9.85546875" style="1408" customWidth="1"/>
    <col min="9737" max="9737" width="2.5703125" style="1408" bestFit="1" customWidth="1"/>
    <col min="9738" max="9738" width="9.140625" style="1408"/>
    <col min="9739" max="9739" width="9" style="1408" customWidth="1"/>
    <col min="9740" max="9984" width="9.140625" style="1408"/>
    <col min="9985" max="9985" width="4.140625" style="1408" customWidth="1"/>
    <col min="9986" max="9986" width="4.42578125" style="1408" customWidth="1"/>
    <col min="9987" max="9987" width="44.140625" style="1408" customWidth="1"/>
    <col min="9988" max="9988" width="6.28515625" style="1408" customWidth="1"/>
    <col min="9989" max="9989" width="7.5703125" style="1408" customWidth="1"/>
    <col min="9990" max="9990" width="9.5703125" style="1408" customWidth="1"/>
    <col min="9991" max="9991" width="13.28515625" style="1408" customWidth="1"/>
    <col min="9992" max="9992" width="9.85546875" style="1408" customWidth="1"/>
    <col min="9993" max="9993" width="2.5703125" style="1408" bestFit="1" customWidth="1"/>
    <col min="9994" max="9994" width="9.140625" style="1408"/>
    <col min="9995" max="9995" width="9" style="1408" customWidth="1"/>
    <col min="9996" max="10240" width="9.140625" style="1408"/>
    <col min="10241" max="10241" width="4.140625" style="1408" customWidth="1"/>
    <col min="10242" max="10242" width="4.42578125" style="1408" customWidth="1"/>
    <col min="10243" max="10243" width="44.140625" style="1408" customWidth="1"/>
    <col min="10244" max="10244" width="6.28515625" style="1408" customWidth="1"/>
    <col min="10245" max="10245" width="7.5703125" style="1408" customWidth="1"/>
    <col min="10246" max="10246" width="9.5703125" style="1408" customWidth="1"/>
    <col min="10247" max="10247" width="13.28515625" style="1408" customWidth="1"/>
    <col min="10248" max="10248" width="9.85546875" style="1408" customWidth="1"/>
    <col min="10249" max="10249" width="2.5703125" style="1408" bestFit="1" customWidth="1"/>
    <col min="10250" max="10250" width="9.140625" style="1408"/>
    <col min="10251" max="10251" width="9" style="1408" customWidth="1"/>
    <col min="10252" max="10496" width="9.140625" style="1408"/>
    <col min="10497" max="10497" width="4.140625" style="1408" customWidth="1"/>
    <col min="10498" max="10498" width="4.42578125" style="1408" customWidth="1"/>
    <col min="10499" max="10499" width="44.140625" style="1408" customWidth="1"/>
    <col min="10500" max="10500" width="6.28515625" style="1408" customWidth="1"/>
    <col min="10501" max="10501" width="7.5703125" style="1408" customWidth="1"/>
    <col min="10502" max="10502" width="9.5703125" style="1408" customWidth="1"/>
    <col min="10503" max="10503" width="13.28515625" style="1408" customWidth="1"/>
    <col min="10504" max="10504" width="9.85546875" style="1408" customWidth="1"/>
    <col min="10505" max="10505" width="2.5703125" style="1408" bestFit="1" customWidth="1"/>
    <col min="10506" max="10506" width="9.140625" style="1408"/>
    <col min="10507" max="10507" width="9" style="1408" customWidth="1"/>
    <col min="10508" max="10752" width="9.140625" style="1408"/>
    <col min="10753" max="10753" width="4.140625" style="1408" customWidth="1"/>
    <col min="10754" max="10754" width="4.42578125" style="1408" customWidth="1"/>
    <col min="10755" max="10755" width="44.140625" style="1408" customWidth="1"/>
    <col min="10756" max="10756" width="6.28515625" style="1408" customWidth="1"/>
    <col min="10757" max="10757" width="7.5703125" style="1408" customWidth="1"/>
    <col min="10758" max="10758" width="9.5703125" style="1408" customWidth="1"/>
    <col min="10759" max="10759" width="13.28515625" style="1408" customWidth="1"/>
    <col min="10760" max="10760" width="9.85546875" style="1408" customWidth="1"/>
    <col min="10761" max="10761" width="2.5703125" style="1408" bestFit="1" customWidth="1"/>
    <col min="10762" max="10762" width="9.140625" style="1408"/>
    <col min="10763" max="10763" width="9" style="1408" customWidth="1"/>
    <col min="10764" max="11008" width="9.140625" style="1408"/>
    <col min="11009" max="11009" width="4.140625" style="1408" customWidth="1"/>
    <col min="11010" max="11010" width="4.42578125" style="1408" customWidth="1"/>
    <col min="11011" max="11011" width="44.140625" style="1408" customWidth="1"/>
    <col min="11012" max="11012" width="6.28515625" style="1408" customWidth="1"/>
    <col min="11013" max="11013" width="7.5703125" style="1408" customWidth="1"/>
    <col min="11014" max="11014" width="9.5703125" style="1408" customWidth="1"/>
    <col min="11015" max="11015" width="13.28515625" style="1408" customWidth="1"/>
    <col min="11016" max="11016" width="9.85546875" style="1408" customWidth="1"/>
    <col min="11017" max="11017" width="2.5703125" style="1408" bestFit="1" customWidth="1"/>
    <col min="11018" max="11018" width="9.140625" style="1408"/>
    <col min="11019" max="11019" width="9" style="1408" customWidth="1"/>
    <col min="11020" max="11264" width="9.140625" style="1408"/>
    <col min="11265" max="11265" width="4.140625" style="1408" customWidth="1"/>
    <col min="11266" max="11266" width="4.42578125" style="1408" customWidth="1"/>
    <col min="11267" max="11267" width="44.140625" style="1408" customWidth="1"/>
    <col min="11268" max="11268" width="6.28515625" style="1408" customWidth="1"/>
    <col min="11269" max="11269" width="7.5703125" style="1408" customWidth="1"/>
    <col min="11270" max="11270" width="9.5703125" style="1408" customWidth="1"/>
    <col min="11271" max="11271" width="13.28515625" style="1408" customWidth="1"/>
    <col min="11272" max="11272" width="9.85546875" style="1408" customWidth="1"/>
    <col min="11273" max="11273" width="2.5703125" style="1408" bestFit="1" customWidth="1"/>
    <col min="11274" max="11274" width="9.140625" style="1408"/>
    <col min="11275" max="11275" width="9" style="1408" customWidth="1"/>
    <col min="11276" max="11520" width="9.140625" style="1408"/>
    <col min="11521" max="11521" width="4.140625" style="1408" customWidth="1"/>
    <col min="11522" max="11522" width="4.42578125" style="1408" customWidth="1"/>
    <col min="11523" max="11523" width="44.140625" style="1408" customWidth="1"/>
    <col min="11524" max="11524" width="6.28515625" style="1408" customWidth="1"/>
    <col min="11525" max="11525" width="7.5703125" style="1408" customWidth="1"/>
    <col min="11526" max="11526" width="9.5703125" style="1408" customWidth="1"/>
    <col min="11527" max="11527" width="13.28515625" style="1408" customWidth="1"/>
    <col min="11528" max="11528" width="9.85546875" style="1408" customWidth="1"/>
    <col min="11529" max="11529" width="2.5703125" style="1408" bestFit="1" customWidth="1"/>
    <col min="11530" max="11530" width="9.140625" style="1408"/>
    <col min="11531" max="11531" width="9" style="1408" customWidth="1"/>
    <col min="11532" max="11776" width="9.140625" style="1408"/>
    <col min="11777" max="11777" width="4.140625" style="1408" customWidth="1"/>
    <col min="11778" max="11778" width="4.42578125" style="1408" customWidth="1"/>
    <col min="11779" max="11779" width="44.140625" style="1408" customWidth="1"/>
    <col min="11780" max="11780" width="6.28515625" style="1408" customWidth="1"/>
    <col min="11781" max="11781" width="7.5703125" style="1408" customWidth="1"/>
    <col min="11782" max="11782" width="9.5703125" style="1408" customWidth="1"/>
    <col min="11783" max="11783" width="13.28515625" style="1408" customWidth="1"/>
    <col min="11784" max="11784" width="9.85546875" style="1408" customWidth="1"/>
    <col min="11785" max="11785" width="2.5703125" style="1408" bestFit="1" customWidth="1"/>
    <col min="11786" max="11786" width="9.140625" style="1408"/>
    <col min="11787" max="11787" width="9" style="1408" customWidth="1"/>
    <col min="11788" max="12032" width="9.140625" style="1408"/>
    <col min="12033" max="12033" width="4.140625" style="1408" customWidth="1"/>
    <col min="12034" max="12034" width="4.42578125" style="1408" customWidth="1"/>
    <col min="12035" max="12035" width="44.140625" style="1408" customWidth="1"/>
    <col min="12036" max="12036" width="6.28515625" style="1408" customWidth="1"/>
    <col min="12037" max="12037" width="7.5703125" style="1408" customWidth="1"/>
    <col min="12038" max="12038" width="9.5703125" style="1408" customWidth="1"/>
    <col min="12039" max="12039" width="13.28515625" style="1408" customWidth="1"/>
    <col min="12040" max="12040" width="9.85546875" style="1408" customWidth="1"/>
    <col min="12041" max="12041" width="2.5703125" style="1408" bestFit="1" customWidth="1"/>
    <col min="12042" max="12042" width="9.140625" style="1408"/>
    <col min="12043" max="12043" width="9" style="1408" customWidth="1"/>
    <col min="12044" max="12288" width="9.140625" style="1408"/>
    <col min="12289" max="12289" width="4.140625" style="1408" customWidth="1"/>
    <col min="12290" max="12290" width="4.42578125" style="1408" customWidth="1"/>
    <col min="12291" max="12291" width="44.140625" style="1408" customWidth="1"/>
    <col min="12292" max="12292" width="6.28515625" style="1408" customWidth="1"/>
    <col min="12293" max="12293" width="7.5703125" style="1408" customWidth="1"/>
    <col min="12294" max="12294" width="9.5703125" style="1408" customWidth="1"/>
    <col min="12295" max="12295" width="13.28515625" style="1408" customWidth="1"/>
    <col min="12296" max="12296" width="9.85546875" style="1408" customWidth="1"/>
    <col min="12297" max="12297" width="2.5703125" style="1408" bestFit="1" customWidth="1"/>
    <col min="12298" max="12298" width="9.140625" style="1408"/>
    <col min="12299" max="12299" width="9" style="1408" customWidth="1"/>
    <col min="12300" max="12544" width="9.140625" style="1408"/>
    <col min="12545" max="12545" width="4.140625" style="1408" customWidth="1"/>
    <col min="12546" max="12546" width="4.42578125" style="1408" customWidth="1"/>
    <col min="12547" max="12547" width="44.140625" style="1408" customWidth="1"/>
    <col min="12548" max="12548" width="6.28515625" style="1408" customWidth="1"/>
    <col min="12549" max="12549" width="7.5703125" style="1408" customWidth="1"/>
    <col min="12550" max="12550" width="9.5703125" style="1408" customWidth="1"/>
    <col min="12551" max="12551" width="13.28515625" style="1408" customWidth="1"/>
    <col min="12552" max="12552" width="9.85546875" style="1408" customWidth="1"/>
    <col min="12553" max="12553" width="2.5703125" style="1408" bestFit="1" customWidth="1"/>
    <col min="12554" max="12554" width="9.140625" style="1408"/>
    <col min="12555" max="12555" width="9" style="1408" customWidth="1"/>
    <col min="12556" max="12800" width="9.140625" style="1408"/>
    <col min="12801" max="12801" width="4.140625" style="1408" customWidth="1"/>
    <col min="12802" max="12802" width="4.42578125" style="1408" customWidth="1"/>
    <col min="12803" max="12803" width="44.140625" style="1408" customWidth="1"/>
    <col min="12804" max="12804" width="6.28515625" style="1408" customWidth="1"/>
    <col min="12805" max="12805" width="7.5703125" style="1408" customWidth="1"/>
    <col min="12806" max="12806" width="9.5703125" style="1408" customWidth="1"/>
    <col min="12807" max="12807" width="13.28515625" style="1408" customWidth="1"/>
    <col min="12808" max="12808" width="9.85546875" style="1408" customWidth="1"/>
    <col min="12809" max="12809" width="2.5703125" style="1408" bestFit="1" customWidth="1"/>
    <col min="12810" max="12810" width="9.140625" style="1408"/>
    <col min="12811" max="12811" width="9" style="1408" customWidth="1"/>
    <col min="12812" max="13056" width="9.140625" style="1408"/>
    <col min="13057" max="13057" width="4.140625" style="1408" customWidth="1"/>
    <col min="13058" max="13058" width="4.42578125" style="1408" customWidth="1"/>
    <col min="13059" max="13059" width="44.140625" style="1408" customWidth="1"/>
    <col min="13060" max="13060" width="6.28515625" style="1408" customWidth="1"/>
    <col min="13061" max="13061" width="7.5703125" style="1408" customWidth="1"/>
    <col min="13062" max="13062" width="9.5703125" style="1408" customWidth="1"/>
    <col min="13063" max="13063" width="13.28515625" style="1408" customWidth="1"/>
    <col min="13064" max="13064" width="9.85546875" style="1408" customWidth="1"/>
    <col min="13065" max="13065" width="2.5703125" style="1408" bestFit="1" customWidth="1"/>
    <col min="13066" max="13066" width="9.140625" style="1408"/>
    <col min="13067" max="13067" width="9" style="1408" customWidth="1"/>
    <col min="13068" max="13312" width="9.140625" style="1408"/>
    <col min="13313" max="13313" width="4.140625" style="1408" customWidth="1"/>
    <col min="13314" max="13314" width="4.42578125" style="1408" customWidth="1"/>
    <col min="13315" max="13315" width="44.140625" style="1408" customWidth="1"/>
    <col min="13316" max="13316" width="6.28515625" style="1408" customWidth="1"/>
    <col min="13317" max="13317" width="7.5703125" style="1408" customWidth="1"/>
    <col min="13318" max="13318" width="9.5703125" style="1408" customWidth="1"/>
    <col min="13319" max="13319" width="13.28515625" style="1408" customWidth="1"/>
    <col min="13320" max="13320" width="9.85546875" style="1408" customWidth="1"/>
    <col min="13321" max="13321" width="2.5703125" style="1408" bestFit="1" customWidth="1"/>
    <col min="13322" max="13322" width="9.140625" style="1408"/>
    <col min="13323" max="13323" width="9" style="1408" customWidth="1"/>
    <col min="13324" max="13568" width="9.140625" style="1408"/>
    <col min="13569" max="13569" width="4.140625" style="1408" customWidth="1"/>
    <col min="13570" max="13570" width="4.42578125" style="1408" customWidth="1"/>
    <col min="13571" max="13571" width="44.140625" style="1408" customWidth="1"/>
    <col min="13572" max="13572" width="6.28515625" style="1408" customWidth="1"/>
    <col min="13573" max="13573" width="7.5703125" style="1408" customWidth="1"/>
    <col min="13574" max="13574" width="9.5703125" style="1408" customWidth="1"/>
    <col min="13575" max="13575" width="13.28515625" style="1408" customWidth="1"/>
    <col min="13576" max="13576" width="9.85546875" style="1408" customWidth="1"/>
    <col min="13577" max="13577" width="2.5703125" style="1408" bestFit="1" customWidth="1"/>
    <col min="13578" max="13578" width="9.140625" style="1408"/>
    <col min="13579" max="13579" width="9" style="1408" customWidth="1"/>
    <col min="13580" max="13824" width="9.140625" style="1408"/>
    <col min="13825" max="13825" width="4.140625" style="1408" customWidth="1"/>
    <col min="13826" max="13826" width="4.42578125" style="1408" customWidth="1"/>
    <col min="13827" max="13827" width="44.140625" style="1408" customWidth="1"/>
    <col min="13828" max="13828" width="6.28515625" style="1408" customWidth="1"/>
    <col min="13829" max="13829" width="7.5703125" style="1408" customWidth="1"/>
    <col min="13830" max="13830" width="9.5703125" style="1408" customWidth="1"/>
    <col min="13831" max="13831" width="13.28515625" style="1408" customWidth="1"/>
    <col min="13832" max="13832" width="9.85546875" style="1408" customWidth="1"/>
    <col min="13833" max="13833" width="2.5703125" style="1408" bestFit="1" customWidth="1"/>
    <col min="13834" max="13834" width="9.140625" style="1408"/>
    <col min="13835" max="13835" width="9" style="1408" customWidth="1"/>
    <col min="13836" max="14080" width="9.140625" style="1408"/>
    <col min="14081" max="14081" width="4.140625" style="1408" customWidth="1"/>
    <col min="14082" max="14082" width="4.42578125" style="1408" customWidth="1"/>
    <col min="14083" max="14083" width="44.140625" style="1408" customWidth="1"/>
    <col min="14084" max="14084" width="6.28515625" style="1408" customWidth="1"/>
    <col min="14085" max="14085" width="7.5703125" style="1408" customWidth="1"/>
    <col min="14086" max="14086" width="9.5703125" style="1408" customWidth="1"/>
    <col min="14087" max="14087" width="13.28515625" style="1408" customWidth="1"/>
    <col min="14088" max="14088" width="9.85546875" style="1408" customWidth="1"/>
    <col min="14089" max="14089" width="2.5703125" style="1408" bestFit="1" customWidth="1"/>
    <col min="14090" max="14090" width="9.140625" style="1408"/>
    <col min="14091" max="14091" width="9" style="1408" customWidth="1"/>
    <col min="14092" max="14336" width="9.140625" style="1408"/>
    <col min="14337" max="14337" width="4.140625" style="1408" customWidth="1"/>
    <col min="14338" max="14338" width="4.42578125" style="1408" customWidth="1"/>
    <col min="14339" max="14339" width="44.140625" style="1408" customWidth="1"/>
    <col min="14340" max="14340" width="6.28515625" style="1408" customWidth="1"/>
    <col min="14341" max="14341" width="7.5703125" style="1408" customWidth="1"/>
    <col min="14342" max="14342" width="9.5703125" style="1408" customWidth="1"/>
    <col min="14343" max="14343" width="13.28515625" style="1408" customWidth="1"/>
    <col min="14344" max="14344" width="9.85546875" style="1408" customWidth="1"/>
    <col min="14345" max="14345" width="2.5703125" style="1408" bestFit="1" customWidth="1"/>
    <col min="14346" max="14346" width="9.140625" style="1408"/>
    <col min="14347" max="14347" width="9" style="1408" customWidth="1"/>
    <col min="14348" max="14592" width="9.140625" style="1408"/>
    <col min="14593" max="14593" width="4.140625" style="1408" customWidth="1"/>
    <col min="14594" max="14594" width="4.42578125" style="1408" customWidth="1"/>
    <col min="14595" max="14595" width="44.140625" style="1408" customWidth="1"/>
    <col min="14596" max="14596" width="6.28515625" style="1408" customWidth="1"/>
    <col min="14597" max="14597" width="7.5703125" style="1408" customWidth="1"/>
    <col min="14598" max="14598" width="9.5703125" style="1408" customWidth="1"/>
    <col min="14599" max="14599" width="13.28515625" style="1408" customWidth="1"/>
    <col min="14600" max="14600" width="9.85546875" style="1408" customWidth="1"/>
    <col min="14601" max="14601" width="2.5703125" style="1408" bestFit="1" customWidth="1"/>
    <col min="14602" max="14602" width="9.140625" style="1408"/>
    <col min="14603" max="14603" width="9" style="1408" customWidth="1"/>
    <col min="14604" max="14848" width="9.140625" style="1408"/>
    <col min="14849" max="14849" width="4.140625" style="1408" customWidth="1"/>
    <col min="14850" max="14850" width="4.42578125" style="1408" customWidth="1"/>
    <col min="14851" max="14851" width="44.140625" style="1408" customWidth="1"/>
    <col min="14852" max="14852" width="6.28515625" style="1408" customWidth="1"/>
    <col min="14853" max="14853" width="7.5703125" style="1408" customWidth="1"/>
    <col min="14854" max="14854" width="9.5703125" style="1408" customWidth="1"/>
    <col min="14855" max="14855" width="13.28515625" style="1408" customWidth="1"/>
    <col min="14856" max="14856" width="9.85546875" style="1408" customWidth="1"/>
    <col min="14857" max="14857" width="2.5703125" style="1408" bestFit="1" customWidth="1"/>
    <col min="14858" max="14858" width="9.140625" style="1408"/>
    <col min="14859" max="14859" width="9" style="1408" customWidth="1"/>
    <col min="14860" max="15104" width="9.140625" style="1408"/>
    <col min="15105" max="15105" width="4.140625" style="1408" customWidth="1"/>
    <col min="15106" max="15106" width="4.42578125" style="1408" customWidth="1"/>
    <col min="15107" max="15107" width="44.140625" style="1408" customWidth="1"/>
    <col min="15108" max="15108" width="6.28515625" style="1408" customWidth="1"/>
    <col min="15109" max="15109" width="7.5703125" style="1408" customWidth="1"/>
    <col min="15110" max="15110" width="9.5703125" style="1408" customWidth="1"/>
    <col min="15111" max="15111" width="13.28515625" style="1408" customWidth="1"/>
    <col min="15112" max="15112" width="9.85546875" style="1408" customWidth="1"/>
    <col min="15113" max="15113" width="2.5703125" style="1408" bestFit="1" customWidth="1"/>
    <col min="15114" max="15114" width="9.140625" style="1408"/>
    <col min="15115" max="15115" width="9" style="1408" customWidth="1"/>
    <col min="15116" max="15360" width="9.140625" style="1408"/>
    <col min="15361" max="15361" width="4.140625" style="1408" customWidth="1"/>
    <col min="15362" max="15362" width="4.42578125" style="1408" customWidth="1"/>
    <col min="15363" max="15363" width="44.140625" style="1408" customWidth="1"/>
    <col min="15364" max="15364" width="6.28515625" style="1408" customWidth="1"/>
    <col min="15365" max="15365" width="7.5703125" style="1408" customWidth="1"/>
    <col min="15366" max="15366" width="9.5703125" style="1408" customWidth="1"/>
    <col min="15367" max="15367" width="13.28515625" style="1408" customWidth="1"/>
    <col min="15368" max="15368" width="9.85546875" style="1408" customWidth="1"/>
    <col min="15369" max="15369" width="2.5703125" style="1408" bestFit="1" customWidth="1"/>
    <col min="15370" max="15370" width="9.140625" style="1408"/>
    <col min="15371" max="15371" width="9" style="1408" customWidth="1"/>
    <col min="15372" max="15616" width="9.140625" style="1408"/>
    <col min="15617" max="15617" width="4.140625" style="1408" customWidth="1"/>
    <col min="15618" max="15618" width="4.42578125" style="1408" customWidth="1"/>
    <col min="15619" max="15619" width="44.140625" style="1408" customWidth="1"/>
    <col min="15620" max="15620" width="6.28515625" style="1408" customWidth="1"/>
    <col min="15621" max="15621" width="7.5703125" style="1408" customWidth="1"/>
    <col min="15622" max="15622" width="9.5703125" style="1408" customWidth="1"/>
    <col min="15623" max="15623" width="13.28515625" style="1408" customWidth="1"/>
    <col min="15624" max="15624" width="9.85546875" style="1408" customWidth="1"/>
    <col min="15625" max="15625" width="2.5703125" style="1408" bestFit="1" customWidth="1"/>
    <col min="15626" max="15626" width="9.140625" style="1408"/>
    <col min="15627" max="15627" width="9" style="1408" customWidth="1"/>
    <col min="15628" max="15872" width="9.140625" style="1408"/>
    <col min="15873" max="15873" width="4.140625" style="1408" customWidth="1"/>
    <col min="15874" max="15874" width="4.42578125" style="1408" customWidth="1"/>
    <col min="15875" max="15875" width="44.140625" style="1408" customWidth="1"/>
    <col min="15876" max="15876" width="6.28515625" style="1408" customWidth="1"/>
    <col min="15877" max="15877" width="7.5703125" style="1408" customWidth="1"/>
    <col min="15878" max="15878" width="9.5703125" style="1408" customWidth="1"/>
    <col min="15879" max="15879" width="13.28515625" style="1408" customWidth="1"/>
    <col min="15880" max="15880" width="9.85546875" style="1408" customWidth="1"/>
    <col min="15881" max="15881" width="2.5703125" style="1408" bestFit="1" customWidth="1"/>
    <col min="15882" max="15882" width="9.140625" style="1408"/>
    <col min="15883" max="15883" width="9" style="1408" customWidth="1"/>
    <col min="15884" max="16128" width="9.140625" style="1408"/>
    <col min="16129" max="16129" width="4.140625" style="1408" customWidth="1"/>
    <col min="16130" max="16130" width="4.42578125" style="1408" customWidth="1"/>
    <col min="16131" max="16131" width="44.140625" style="1408" customWidth="1"/>
    <col min="16132" max="16132" width="6.28515625" style="1408" customWidth="1"/>
    <col min="16133" max="16133" width="7.5703125" style="1408" customWidth="1"/>
    <col min="16134" max="16134" width="9.5703125" style="1408" customWidth="1"/>
    <col min="16135" max="16135" width="13.28515625" style="1408" customWidth="1"/>
    <col min="16136" max="16136" width="9.85546875" style="1408" customWidth="1"/>
    <col min="16137" max="16137" width="2.5703125" style="1408" bestFit="1" customWidth="1"/>
    <col min="16138" max="16138" width="9.140625" style="1408"/>
    <col min="16139" max="16139" width="9" style="1408" customWidth="1"/>
    <col min="16140" max="16384" width="9.140625" style="1408"/>
  </cols>
  <sheetData>
    <row r="1" spans="1:11" s="1394" customFormat="1" ht="18" x14ac:dyDescent="0.25">
      <c r="A1" s="1393"/>
      <c r="B1" s="1398"/>
      <c r="C1" s="1393"/>
      <c r="E1" s="1395"/>
      <c r="F1" s="1973"/>
      <c r="G1" s="1396"/>
      <c r="H1" s="1397"/>
    </row>
    <row r="2" spans="1:11" s="1402" customFormat="1" ht="18" x14ac:dyDescent="0.25">
      <c r="A2" s="1399" t="s">
        <v>1586</v>
      </c>
      <c r="B2" s="1400"/>
      <c r="C2" s="1401" t="s">
        <v>1440</v>
      </c>
      <c r="E2" s="1403"/>
      <c r="F2" s="1974"/>
      <c r="G2" s="1404"/>
      <c r="H2" s="1405"/>
    </row>
    <row r="3" spans="1:11" ht="14.25" customHeight="1" x14ac:dyDescent="0.25">
      <c r="A3" s="1406" t="s">
        <v>561</v>
      </c>
      <c r="B3" s="1406"/>
      <c r="C3" s="1407" t="s">
        <v>1324</v>
      </c>
      <c r="H3" s="2050"/>
    </row>
    <row r="4" spans="1:11" x14ac:dyDescent="0.25">
      <c r="C4" s="1411"/>
      <c r="D4" s="1406"/>
      <c r="E4" s="1406"/>
      <c r="F4" s="1976"/>
      <c r="G4" s="1406"/>
      <c r="H4" s="2050"/>
    </row>
    <row r="5" spans="1:11" ht="12.75" customHeight="1" x14ac:dyDescent="0.25">
      <c r="A5" s="1406" t="s">
        <v>63</v>
      </c>
      <c r="B5" s="1406"/>
      <c r="C5" s="1411"/>
      <c r="D5" s="1406"/>
      <c r="E5" s="1406"/>
      <c r="F5" s="1976"/>
      <c r="G5" s="1406"/>
      <c r="H5" s="1412"/>
    </row>
    <row r="6" spans="1:11" s="1417" customFormat="1" x14ac:dyDescent="0.25">
      <c r="A6" s="1413" t="s">
        <v>26</v>
      </c>
      <c r="B6" s="1413"/>
      <c r="C6" s="1414" t="s">
        <v>27</v>
      </c>
      <c r="D6" s="1413" t="s">
        <v>28</v>
      </c>
      <c r="E6" s="1415" t="s">
        <v>29</v>
      </c>
      <c r="F6" s="1977" t="s">
        <v>30</v>
      </c>
      <c r="G6" s="1416" t="s">
        <v>31</v>
      </c>
      <c r="H6" s="1408"/>
      <c r="J6" s="1418"/>
      <c r="K6" s="1418"/>
    </row>
    <row r="7" spans="1:11" s="1422" customFormat="1" ht="12" x14ac:dyDescent="0.25">
      <c r="A7" s="1419"/>
      <c r="B7" s="1420"/>
      <c r="C7" s="1421"/>
      <c r="E7" s="1423"/>
      <c r="F7" s="1976"/>
      <c r="G7" s="1406"/>
    </row>
    <row r="8" spans="1:11" s="1430" customFormat="1" ht="16.5" thickBot="1" x14ac:dyDescent="0.3">
      <c r="A8" s="1424"/>
      <c r="B8" s="1425" t="s">
        <v>20</v>
      </c>
      <c r="C8" s="1426" t="s">
        <v>1011</v>
      </c>
      <c r="D8" s="1427"/>
      <c r="E8" s="1428"/>
      <c r="F8" s="1978"/>
      <c r="G8" s="1429"/>
    </row>
    <row r="9" spans="1:11" s="1430" customFormat="1" ht="15.75" x14ac:dyDescent="0.25">
      <c r="A9" s="1431"/>
      <c r="B9" s="1432"/>
      <c r="C9" s="1433"/>
      <c r="E9" s="1434"/>
      <c r="F9" s="1979"/>
      <c r="G9" s="1435"/>
    </row>
    <row r="10" spans="1:11" s="1422" customFormat="1" ht="12" x14ac:dyDescent="0.25">
      <c r="C10" s="1496"/>
      <c r="E10" s="1423"/>
      <c r="F10" s="1976"/>
      <c r="G10" s="1406"/>
    </row>
    <row r="11" spans="1:11" s="1422" customFormat="1" ht="30" x14ac:dyDescent="0.25">
      <c r="B11" s="1487" t="s">
        <v>1344</v>
      </c>
      <c r="C11" s="1486" t="s">
        <v>1345</v>
      </c>
      <c r="D11" s="1488"/>
      <c r="E11" s="1489"/>
      <c r="F11" s="1484"/>
      <c r="G11" s="1465" t="str">
        <f>IF(F11="","",F11*E11)</f>
        <v/>
      </c>
    </row>
    <row r="12" spans="1:11" s="1422" customFormat="1" ht="96" x14ac:dyDescent="0.25">
      <c r="A12" s="1466" t="str">
        <f>$B$11</f>
        <v>6.1</v>
      </c>
      <c r="B12" s="1437" t="s">
        <v>1232</v>
      </c>
      <c r="C12" s="1437" t="s">
        <v>1346</v>
      </c>
      <c r="D12" s="1447" t="s">
        <v>39</v>
      </c>
      <c r="E12" s="1448">
        <v>20</v>
      </c>
      <c r="F12" s="1982"/>
      <c r="G12" s="1449">
        <f>ROUND((E12*F12),2)</f>
        <v>0</v>
      </c>
    </row>
    <row r="13" spans="1:11" s="1422" customFormat="1" ht="14.25" x14ac:dyDescent="0.25">
      <c r="A13" s="1466"/>
      <c r="B13" s="1491"/>
      <c r="C13" s="883"/>
      <c r="D13" s="1501"/>
      <c r="E13" s="1502"/>
      <c r="F13" s="1503"/>
      <c r="G13" s="1465"/>
    </row>
    <row r="14" spans="1:11" s="1422" customFormat="1" ht="14.25" x14ac:dyDescent="0.25">
      <c r="A14" s="1466"/>
      <c r="B14" s="1491"/>
      <c r="C14" s="1504"/>
      <c r="D14" s="1501"/>
      <c r="E14" s="1502"/>
      <c r="F14" s="1503"/>
      <c r="G14" s="1465"/>
    </row>
    <row r="15" spans="1:11" s="1422" customFormat="1" ht="15" x14ac:dyDescent="0.25">
      <c r="A15" s="1466"/>
      <c r="B15" s="861"/>
      <c r="C15" s="1486" t="s">
        <v>1347</v>
      </c>
      <c r="D15" s="863"/>
      <c r="E15" s="863"/>
      <c r="F15" s="853"/>
      <c r="G15" s="864">
        <f>ROUND(G12,2)</f>
        <v>0</v>
      </c>
    </row>
    <row r="16" spans="1:11" s="1422" customFormat="1" ht="15" x14ac:dyDescent="0.25">
      <c r="A16" s="1466"/>
      <c r="B16" s="861"/>
      <c r="C16" s="1486"/>
      <c r="D16" s="863"/>
      <c r="E16" s="863"/>
      <c r="F16" s="853"/>
      <c r="G16" s="864"/>
    </row>
    <row r="17" spans="1:7" s="1422" customFormat="1" ht="30" x14ac:dyDescent="0.25">
      <c r="A17" s="1466"/>
      <c r="B17" s="1487" t="s">
        <v>1348</v>
      </c>
      <c r="C17" s="1486" t="s">
        <v>1349</v>
      </c>
      <c r="D17" s="1488"/>
      <c r="E17" s="1489"/>
      <c r="F17" s="1484"/>
      <c r="G17" s="1465" t="str">
        <f>IF(F17="","",F17*E17)</f>
        <v/>
      </c>
    </row>
    <row r="18" spans="1:7" s="1422" customFormat="1" ht="38.25" customHeight="1" x14ac:dyDescent="0.25">
      <c r="A18" s="1466" t="str">
        <f>$B$17</f>
        <v>6.2</v>
      </c>
      <c r="B18" s="1437" t="s">
        <v>1232</v>
      </c>
      <c r="C18" s="1437" t="s">
        <v>1350</v>
      </c>
      <c r="D18" s="1447" t="s">
        <v>58</v>
      </c>
      <c r="E18" s="1448">
        <v>3</v>
      </c>
      <c r="F18" s="1982"/>
      <c r="G18" s="1449">
        <f>ROUND((E18*F18),2)</f>
        <v>0</v>
      </c>
    </row>
    <row r="19" spans="1:7" s="1422" customFormat="1" x14ac:dyDescent="0.25">
      <c r="A19" s="1466"/>
      <c r="B19" s="1437"/>
      <c r="C19" s="1437"/>
      <c r="D19" s="1447"/>
      <c r="E19" s="1448"/>
      <c r="F19" s="1982"/>
      <c r="G19" s="1449"/>
    </row>
    <row r="20" spans="1:7" s="1422" customFormat="1" ht="48" x14ac:dyDescent="0.25">
      <c r="A20" s="1466" t="str">
        <f>$B$17</f>
        <v>6.2</v>
      </c>
      <c r="B20" s="1437" t="s">
        <v>1234</v>
      </c>
      <c r="C20" s="1437" t="s">
        <v>1351</v>
      </c>
      <c r="D20" s="1447" t="s">
        <v>58</v>
      </c>
      <c r="E20" s="1448">
        <v>1</v>
      </c>
      <c r="F20" s="1982"/>
      <c r="G20" s="1449">
        <f>ROUND((E20*F20),2)</f>
        <v>0</v>
      </c>
    </row>
    <row r="21" spans="1:7" s="1422" customFormat="1" x14ac:dyDescent="0.25">
      <c r="A21" s="1466"/>
      <c r="B21" s="1437"/>
      <c r="C21" s="1437"/>
      <c r="D21" s="1447"/>
      <c r="E21" s="1448"/>
      <c r="F21" s="1982"/>
      <c r="G21" s="1449"/>
    </row>
    <row r="22" spans="1:7" s="1422" customFormat="1" x14ac:dyDescent="0.25">
      <c r="A22" s="1466" t="str">
        <f>$B$17</f>
        <v>6.2</v>
      </c>
      <c r="B22" s="1437" t="s">
        <v>1236</v>
      </c>
      <c r="C22" s="1437" t="s">
        <v>1352</v>
      </c>
      <c r="D22" s="1447" t="s">
        <v>58</v>
      </c>
      <c r="E22" s="1448">
        <v>1</v>
      </c>
      <c r="F22" s="1982"/>
      <c r="G22" s="1449">
        <f>ROUND((E22*F22),2)</f>
        <v>0</v>
      </c>
    </row>
    <row r="23" spans="1:7" s="1422" customFormat="1" x14ac:dyDescent="0.25">
      <c r="A23" s="1466"/>
      <c r="B23" s="1437"/>
      <c r="C23" s="1437"/>
      <c r="D23" s="1447"/>
      <c r="E23" s="1448"/>
      <c r="F23" s="1982"/>
      <c r="G23" s="1449"/>
    </row>
    <row r="24" spans="1:7" s="1422" customFormat="1" ht="24" x14ac:dyDescent="0.25">
      <c r="A24" s="1466" t="str">
        <f>$B$17</f>
        <v>6.2</v>
      </c>
      <c r="B24" s="1437" t="s">
        <v>4</v>
      </c>
      <c r="C24" s="1437" t="s">
        <v>1353</v>
      </c>
      <c r="D24" s="1447" t="s">
        <v>65</v>
      </c>
      <c r="E24" s="1448">
        <v>400</v>
      </c>
      <c r="F24" s="1982"/>
      <c r="G24" s="1449">
        <f>ROUND((E24*F24),2)</f>
        <v>0</v>
      </c>
    </row>
    <row r="25" spans="1:7" s="1422" customFormat="1" x14ac:dyDescent="0.25">
      <c r="A25" s="1466"/>
      <c r="B25" s="1437"/>
      <c r="C25" s="1437"/>
      <c r="D25" s="1447"/>
      <c r="E25" s="1448"/>
      <c r="F25" s="1982"/>
      <c r="G25" s="1449"/>
    </row>
    <row r="26" spans="1:7" s="1422" customFormat="1" ht="15" x14ac:dyDescent="0.25">
      <c r="A26" s="1466"/>
      <c r="B26" s="1491"/>
      <c r="C26" s="869" t="s">
        <v>1354</v>
      </c>
      <c r="D26" s="1501"/>
      <c r="E26" s="1502"/>
      <c r="F26" s="1503"/>
      <c r="G26" s="1465"/>
    </row>
    <row r="27" spans="1:7" s="1422" customFormat="1" ht="50.25" customHeight="1" x14ac:dyDescent="0.25">
      <c r="A27" s="1466" t="str">
        <f>$B$17</f>
        <v>6.2</v>
      </c>
      <c r="B27" s="1437">
        <v>5</v>
      </c>
      <c r="C27" s="1437" t="s">
        <v>1602</v>
      </c>
      <c r="D27" s="1447" t="s">
        <v>58</v>
      </c>
      <c r="E27" s="1448">
        <v>1</v>
      </c>
      <c r="F27" s="1982"/>
      <c r="G27" s="1449">
        <f>ROUND((E27*F27),2)</f>
        <v>0</v>
      </c>
    </row>
    <row r="28" spans="1:7" s="1422" customFormat="1" x14ac:dyDescent="0.25">
      <c r="A28" s="1466"/>
      <c r="B28" s="1437"/>
      <c r="C28" s="1437"/>
      <c r="D28" s="1447"/>
      <c r="E28" s="1448"/>
      <c r="F28" s="1982"/>
      <c r="G28" s="1449"/>
    </row>
    <row r="29" spans="1:7" s="1422" customFormat="1" ht="30" x14ac:dyDescent="0.25">
      <c r="A29" s="1466"/>
      <c r="B29" s="1491"/>
      <c r="C29" s="869" t="s">
        <v>1355</v>
      </c>
      <c r="D29" s="1501"/>
      <c r="E29" s="1502"/>
      <c r="F29" s="1982"/>
      <c r="G29" s="1449"/>
    </row>
    <row r="30" spans="1:7" s="1422" customFormat="1" ht="87.75" customHeight="1" x14ac:dyDescent="0.25">
      <c r="A30" s="1466" t="str">
        <f>$B$17</f>
        <v>6.2</v>
      </c>
      <c r="B30" s="1437">
        <v>6</v>
      </c>
      <c r="C30" s="1437" t="s">
        <v>1356</v>
      </c>
      <c r="D30" s="1447" t="s">
        <v>58</v>
      </c>
      <c r="E30" s="1448">
        <v>3</v>
      </c>
      <c r="F30" s="1982"/>
      <c r="G30" s="1449">
        <f>ROUND((E30*F30),2)</f>
        <v>0</v>
      </c>
    </row>
    <row r="31" spans="1:7" s="1422" customFormat="1" ht="14.25" x14ac:dyDescent="0.25">
      <c r="A31" s="1466"/>
      <c r="B31" s="1491"/>
      <c r="C31" s="883"/>
      <c r="D31" s="1501"/>
      <c r="E31" s="1502"/>
      <c r="F31" s="1503"/>
      <c r="G31" s="1465"/>
    </row>
    <row r="32" spans="1:7" s="1422" customFormat="1" ht="24" x14ac:dyDescent="0.25">
      <c r="A32" s="1466" t="str">
        <f>$B$17</f>
        <v>6.2</v>
      </c>
      <c r="B32" s="1437">
        <v>7</v>
      </c>
      <c r="C32" s="1437" t="s">
        <v>1357</v>
      </c>
      <c r="D32" s="1447" t="s">
        <v>58</v>
      </c>
      <c r="E32" s="1448">
        <v>1</v>
      </c>
      <c r="F32" s="1982"/>
      <c r="G32" s="1449">
        <f>ROUND((E32*F32),2)</f>
        <v>0</v>
      </c>
    </row>
    <row r="33" spans="1:7" s="1422" customFormat="1" x14ac:dyDescent="0.25">
      <c r="A33" s="1466"/>
      <c r="B33" s="1437"/>
      <c r="C33" s="1437"/>
      <c r="D33" s="1447"/>
      <c r="E33" s="1448"/>
      <c r="F33" s="1982"/>
      <c r="G33" s="1449"/>
    </row>
    <row r="34" spans="1:7" s="1422" customFormat="1" ht="12.75" customHeight="1" x14ac:dyDescent="0.25">
      <c r="A34" s="1466" t="str">
        <f>$B$17</f>
        <v>6.2</v>
      </c>
      <c r="B34" s="1437">
        <v>8</v>
      </c>
      <c r="C34" s="1437" t="s">
        <v>1358</v>
      </c>
      <c r="D34" s="1447" t="s">
        <v>58</v>
      </c>
      <c r="E34" s="1448">
        <v>1</v>
      </c>
      <c r="F34" s="1982"/>
      <c r="G34" s="1449">
        <f>ROUND((E34*F34),2)</f>
        <v>0</v>
      </c>
    </row>
    <row r="35" spans="1:7" s="1422" customFormat="1" x14ac:dyDescent="0.25">
      <c r="A35" s="1466"/>
      <c r="B35" s="1437"/>
      <c r="C35" s="1437"/>
      <c r="D35" s="1447"/>
      <c r="E35" s="1448"/>
      <c r="F35" s="1982"/>
      <c r="G35" s="1449"/>
    </row>
    <row r="36" spans="1:7" s="1422" customFormat="1" x14ac:dyDescent="0.25">
      <c r="A36" s="1466" t="str">
        <f>$B$17</f>
        <v>6.2</v>
      </c>
      <c r="B36" s="1437">
        <v>9</v>
      </c>
      <c r="C36" s="1437" t="s">
        <v>1359</v>
      </c>
      <c r="D36" s="1447" t="s">
        <v>58</v>
      </c>
      <c r="E36" s="1448">
        <v>1</v>
      </c>
      <c r="F36" s="1982"/>
      <c r="G36" s="1449">
        <f>ROUND((E36*F36),2)</f>
        <v>0</v>
      </c>
    </row>
    <row r="37" spans="1:7" s="1422" customFormat="1" x14ac:dyDescent="0.25">
      <c r="A37" s="1466"/>
      <c r="B37" s="1437"/>
      <c r="C37" s="1437"/>
      <c r="D37" s="1447"/>
      <c r="E37" s="1448"/>
      <c r="F37" s="1982"/>
      <c r="G37" s="1449"/>
    </row>
    <row r="38" spans="1:7" s="1422" customFormat="1" ht="60" x14ac:dyDescent="0.25">
      <c r="A38" s="1466" t="str">
        <f>$B$17</f>
        <v>6.2</v>
      </c>
      <c r="B38" s="1437">
        <v>10</v>
      </c>
      <c r="C38" s="1437" t="s">
        <v>1360</v>
      </c>
      <c r="D38" s="1447" t="s">
        <v>58</v>
      </c>
      <c r="E38" s="1448">
        <v>1</v>
      </c>
      <c r="F38" s="1982"/>
      <c r="G38" s="1449">
        <f>ROUND((E38*F38),2)</f>
        <v>0</v>
      </c>
    </row>
    <row r="39" spans="1:7" s="1422" customFormat="1" ht="15" x14ac:dyDescent="0.25">
      <c r="A39" s="1466"/>
      <c r="B39" s="1491"/>
      <c r="C39" s="1505" t="s">
        <v>1361</v>
      </c>
      <c r="D39" s="1466"/>
      <c r="E39" s="1437"/>
      <c r="F39" s="1984"/>
      <c r="G39" s="1447"/>
    </row>
    <row r="40" spans="1:7" s="1422" customFormat="1" ht="61.5" customHeight="1" x14ac:dyDescent="0.25">
      <c r="A40" s="1466" t="str">
        <f>$B$17</f>
        <v>6.2</v>
      </c>
      <c r="B40" s="1437">
        <v>11</v>
      </c>
      <c r="C40" s="1437" t="s">
        <v>1362</v>
      </c>
      <c r="D40" s="1447" t="s">
        <v>58</v>
      </c>
      <c r="E40" s="1448">
        <v>1</v>
      </c>
      <c r="F40" s="1982"/>
      <c r="G40" s="1449">
        <f>ROUND((E40*F40),2)</f>
        <v>0</v>
      </c>
    </row>
    <row r="41" spans="1:7" s="1422" customFormat="1" ht="14.25" x14ac:dyDescent="0.25">
      <c r="B41" s="1491"/>
      <c r="C41" s="883"/>
      <c r="D41" s="1501"/>
      <c r="E41" s="1502"/>
      <c r="F41" s="1503"/>
      <c r="G41" s="1465"/>
    </row>
    <row r="42" spans="1:7" s="1422" customFormat="1" ht="15" x14ac:dyDescent="0.25">
      <c r="B42" s="1491"/>
      <c r="C42" s="869" t="s">
        <v>1363</v>
      </c>
      <c r="D42" s="1501"/>
      <c r="E42" s="1502"/>
      <c r="F42" s="1503"/>
      <c r="G42" s="1465"/>
    </row>
    <row r="43" spans="1:7" s="1422" customFormat="1" x14ac:dyDescent="0.25">
      <c r="A43" s="1466" t="str">
        <f>$B$17</f>
        <v>6.2</v>
      </c>
      <c r="B43" s="1437">
        <v>1</v>
      </c>
      <c r="C43" s="1437" t="s">
        <v>1364</v>
      </c>
      <c r="D43" s="1447" t="s">
        <v>58</v>
      </c>
      <c r="E43" s="1448">
        <v>1</v>
      </c>
      <c r="F43" s="1982"/>
      <c r="G43" s="1449">
        <f>ROUND((E43*F43),2)</f>
        <v>0</v>
      </c>
    </row>
    <row r="44" spans="1:7" s="1422" customFormat="1" x14ac:dyDescent="0.25">
      <c r="A44" s="1466"/>
      <c r="B44" s="1437"/>
      <c r="C44" s="1437"/>
      <c r="D44" s="1447"/>
      <c r="E44" s="1448"/>
      <c r="F44" s="1982"/>
      <c r="G44" s="1449"/>
    </row>
    <row r="45" spans="1:7" s="1422" customFormat="1" ht="24" x14ac:dyDescent="0.25">
      <c r="A45" s="1466" t="str">
        <f>$B$17</f>
        <v>6.2</v>
      </c>
      <c r="B45" s="1437">
        <v>2</v>
      </c>
      <c r="C45" s="1437" t="s">
        <v>1365</v>
      </c>
      <c r="D45" s="1447" t="s">
        <v>58</v>
      </c>
      <c r="E45" s="1448">
        <v>1</v>
      </c>
      <c r="F45" s="1982"/>
      <c r="G45" s="1449">
        <f>ROUND((E45*F45),2)</f>
        <v>0</v>
      </c>
    </row>
    <row r="46" spans="1:7" s="1422" customFormat="1" x14ac:dyDescent="0.25">
      <c r="A46" s="1466"/>
      <c r="B46" s="1437"/>
      <c r="C46" s="1437"/>
      <c r="D46" s="1447"/>
      <c r="E46" s="1448"/>
      <c r="F46" s="1982"/>
      <c r="G46" s="1449"/>
    </row>
    <row r="47" spans="1:7" s="1422" customFormat="1" x14ac:dyDescent="0.25">
      <c r="A47" s="1466" t="str">
        <f>$B$17</f>
        <v>6.2</v>
      </c>
      <c r="B47" s="1437">
        <v>3</v>
      </c>
      <c r="C47" s="1437" t="s">
        <v>1366</v>
      </c>
      <c r="D47" s="1447" t="s">
        <v>58</v>
      </c>
      <c r="E47" s="1448">
        <v>1</v>
      </c>
      <c r="F47" s="1982"/>
      <c r="G47" s="1449">
        <f>ROUND((E47*F47),2)</f>
        <v>0</v>
      </c>
    </row>
    <row r="48" spans="1:7" s="1422" customFormat="1" x14ac:dyDescent="0.25">
      <c r="A48" s="1466"/>
      <c r="B48" s="1437"/>
      <c r="C48" s="1437"/>
      <c r="D48" s="1447"/>
      <c r="E48" s="1448"/>
      <c r="F48" s="1982"/>
      <c r="G48" s="1449"/>
    </row>
    <row r="49" spans="1:7" s="1422" customFormat="1" ht="24" x14ac:dyDescent="0.25">
      <c r="A49" s="1466" t="str">
        <f>$B$17</f>
        <v>6.2</v>
      </c>
      <c r="B49" s="1437">
        <v>4</v>
      </c>
      <c r="C49" s="1437" t="s">
        <v>1367</v>
      </c>
      <c r="D49" s="1447" t="s">
        <v>58</v>
      </c>
      <c r="E49" s="1448">
        <v>1</v>
      </c>
      <c r="F49" s="1982"/>
      <c r="G49" s="1449">
        <f>ROUND((E49*F49),2)</f>
        <v>0</v>
      </c>
    </row>
    <row r="50" spans="1:7" s="1422" customFormat="1" x14ac:dyDescent="0.25">
      <c r="A50" s="1466"/>
      <c r="B50" s="1437"/>
      <c r="C50" s="1437"/>
      <c r="D50" s="1447"/>
      <c r="E50" s="1448"/>
      <c r="F50" s="1982"/>
      <c r="G50" s="1449"/>
    </row>
    <row r="51" spans="1:7" s="1422" customFormat="1" x14ac:dyDescent="0.25">
      <c r="A51" s="1466" t="str">
        <f>$B$17</f>
        <v>6.2</v>
      </c>
      <c r="B51" s="1437">
        <v>5</v>
      </c>
      <c r="C51" s="1437" t="s">
        <v>1368</v>
      </c>
      <c r="D51" s="1447" t="s">
        <v>58</v>
      </c>
      <c r="E51" s="1448">
        <v>1</v>
      </c>
      <c r="F51" s="1982"/>
      <c r="G51" s="1449">
        <f>ROUND((E51*F51),2)</f>
        <v>0</v>
      </c>
    </row>
    <row r="52" spans="1:7" s="1422" customFormat="1" x14ac:dyDescent="0.25">
      <c r="A52" s="1466"/>
      <c r="B52" s="1437"/>
      <c r="C52" s="1437"/>
      <c r="D52" s="1447"/>
      <c r="E52" s="1448"/>
      <c r="F52" s="1982"/>
      <c r="G52" s="1449"/>
    </row>
    <row r="53" spans="1:7" s="1422" customFormat="1" x14ac:dyDescent="0.25">
      <c r="A53" s="1466" t="str">
        <f>$B$17</f>
        <v>6.2</v>
      </c>
      <c r="B53" s="1437">
        <v>6</v>
      </c>
      <c r="C53" s="1437" t="s">
        <v>1369</v>
      </c>
      <c r="D53" s="1447" t="s">
        <v>58</v>
      </c>
      <c r="E53" s="1448">
        <v>1</v>
      </c>
      <c r="F53" s="1982"/>
      <c r="G53" s="1449">
        <f>ROUND((E53*F53),2)</f>
        <v>0</v>
      </c>
    </row>
    <row r="54" spans="1:7" s="1422" customFormat="1" ht="14.25" x14ac:dyDescent="0.25">
      <c r="A54" s="1466"/>
      <c r="B54" s="1491"/>
      <c r="C54" s="883"/>
      <c r="D54" s="1501"/>
      <c r="E54" s="1502"/>
      <c r="F54" s="1503"/>
      <c r="G54" s="1465"/>
    </row>
    <row r="55" spans="1:7" s="1422" customFormat="1" ht="15" x14ac:dyDescent="0.25">
      <c r="A55" s="1466"/>
      <c r="B55" s="1491"/>
      <c r="C55" s="1486" t="s">
        <v>1370</v>
      </c>
      <c r="D55" s="863"/>
      <c r="E55" s="863"/>
      <c r="F55" s="853"/>
      <c r="G55" s="864">
        <f>ROUND(SUM(G18:G53),2)</f>
        <v>0</v>
      </c>
    </row>
    <row r="56" spans="1:7" s="1422" customFormat="1" ht="14.25" x14ac:dyDescent="0.25">
      <c r="A56" s="1466"/>
      <c r="B56" s="1491"/>
      <c r="C56" s="883"/>
      <c r="D56" s="1501"/>
      <c r="E56" s="1502"/>
      <c r="F56" s="1503"/>
      <c r="G56" s="1465"/>
    </row>
    <row r="57" spans="1:7" s="1422" customFormat="1" ht="14.25" x14ac:dyDescent="0.25">
      <c r="A57" s="1466"/>
      <c r="B57" s="1491"/>
      <c r="C57" s="883"/>
      <c r="D57" s="1501"/>
      <c r="E57" s="1502"/>
      <c r="F57" s="1503"/>
      <c r="G57" s="1465"/>
    </row>
    <row r="58" spans="1:7" s="1422" customFormat="1" ht="14.25" x14ac:dyDescent="0.25">
      <c r="A58" s="1466"/>
      <c r="B58" s="1491"/>
      <c r="C58" s="883"/>
      <c r="D58" s="1501"/>
      <c r="E58" s="1502"/>
      <c r="F58" s="1503"/>
      <c r="G58" s="1465"/>
    </row>
    <row r="59" spans="1:7" s="1422" customFormat="1" ht="30" x14ac:dyDescent="0.25">
      <c r="A59" s="1466"/>
      <c r="B59" s="1506" t="s">
        <v>1371</v>
      </c>
      <c r="C59" s="869" t="s">
        <v>1372</v>
      </c>
      <c r="D59" s="1501"/>
      <c r="E59" s="1502"/>
      <c r="F59" s="1503"/>
      <c r="G59" s="1465"/>
    </row>
    <row r="60" spans="1:7" s="1422" customFormat="1" ht="84" x14ac:dyDescent="0.25">
      <c r="A60" s="1466" t="str">
        <f>$B$59</f>
        <v>6.3</v>
      </c>
      <c r="B60" s="1437">
        <v>1</v>
      </c>
      <c r="C60" s="1437" t="s">
        <v>1373</v>
      </c>
      <c r="D60" s="1447" t="s">
        <v>58</v>
      </c>
      <c r="E60" s="1448">
        <v>1</v>
      </c>
      <c r="F60" s="1982"/>
      <c r="G60" s="1449">
        <f>ROUND((E60*F60),2)</f>
        <v>0</v>
      </c>
    </row>
    <row r="61" spans="1:7" s="1422" customFormat="1" x14ac:dyDescent="0.25">
      <c r="A61" s="1466"/>
      <c r="B61" s="1437"/>
      <c r="C61" s="1437"/>
      <c r="D61" s="1447"/>
      <c r="E61" s="1448"/>
      <c r="F61" s="1982"/>
      <c r="G61" s="1449"/>
    </row>
    <row r="62" spans="1:7" s="1422" customFormat="1" x14ac:dyDescent="0.25">
      <c r="A62" s="1466" t="str">
        <f>$B$59</f>
        <v>6.3</v>
      </c>
      <c r="B62" s="1437">
        <v>2</v>
      </c>
      <c r="C62" s="1437" t="s">
        <v>1275</v>
      </c>
      <c r="D62" s="1447" t="s">
        <v>65</v>
      </c>
      <c r="E62" s="1448">
        <v>5</v>
      </c>
      <c r="F62" s="1982"/>
      <c r="G62" s="1449">
        <f>ROUND((E62*F62),2)</f>
        <v>0</v>
      </c>
    </row>
    <row r="63" spans="1:7" s="1422" customFormat="1" x14ac:dyDescent="0.25">
      <c r="A63" s="1466"/>
      <c r="B63" s="1437"/>
      <c r="C63" s="1437"/>
      <c r="D63" s="1447"/>
      <c r="E63" s="1448"/>
      <c r="F63" s="1982"/>
      <c r="G63" s="1449"/>
    </row>
    <row r="64" spans="1:7" s="1422" customFormat="1" x14ac:dyDescent="0.25">
      <c r="A64" s="1466" t="str">
        <f>$B$59</f>
        <v>6.3</v>
      </c>
      <c r="B64" s="1437">
        <v>3</v>
      </c>
      <c r="C64" s="1437" t="s">
        <v>1273</v>
      </c>
      <c r="D64" s="1447" t="s">
        <v>65</v>
      </c>
      <c r="E64" s="1448">
        <v>5</v>
      </c>
      <c r="F64" s="1982"/>
      <c r="G64" s="1449">
        <f>ROUND((E64*F64),2)</f>
        <v>0</v>
      </c>
    </row>
    <row r="65" spans="1:7" s="1422" customFormat="1" x14ac:dyDescent="0.25">
      <c r="A65" s="1466"/>
      <c r="B65" s="1437"/>
      <c r="C65" s="1437"/>
      <c r="D65" s="1447"/>
      <c r="E65" s="1448"/>
      <c r="F65" s="1982"/>
      <c r="G65" s="1449"/>
    </row>
    <row r="66" spans="1:7" s="1422" customFormat="1" ht="157.5" customHeight="1" x14ac:dyDescent="0.25">
      <c r="A66" s="1466" t="str">
        <f>$B$59</f>
        <v>6.3</v>
      </c>
      <c r="B66" s="1437">
        <v>4</v>
      </c>
      <c r="C66" s="1437" t="s">
        <v>1374</v>
      </c>
      <c r="D66" s="1447" t="s">
        <v>58</v>
      </c>
      <c r="E66" s="1448">
        <v>1</v>
      </c>
      <c r="F66" s="1982"/>
      <c r="G66" s="1449">
        <f>ROUND((E66*F66),2)</f>
        <v>0</v>
      </c>
    </row>
    <row r="67" spans="1:7" s="1422" customFormat="1" x14ac:dyDescent="0.25">
      <c r="A67" s="1466"/>
      <c r="B67" s="1437"/>
      <c r="C67" s="1437"/>
      <c r="D67" s="1447"/>
      <c r="E67" s="1448"/>
      <c r="F67" s="1982"/>
      <c r="G67" s="1449"/>
    </row>
    <row r="68" spans="1:7" s="1422" customFormat="1" ht="48" x14ac:dyDescent="0.25">
      <c r="A68" s="1466" t="str">
        <f>$B$59</f>
        <v>6.3</v>
      </c>
      <c r="B68" s="1437">
        <v>5</v>
      </c>
      <c r="C68" s="1437" t="s">
        <v>1375</v>
      </c>
      <c r="D68" s="1447" t="s">
        <v>58</v>
      </c>
      <c r="E68" s="1448">
        <v>1</v>
      </c>
      <c r="F68" s="1982"/>
      <c r="G68" s="1449">
        <f>ROUND((E68*F68),2)</f>
        <v>0</v>
      </c>
    </row>
    <row r="69" spans="1:7" s="1422" customFormat="1" ht="14.25" x14ac:dyDescent="0.25">
      <c r="A69" s="1466"/>
      <c r="B69" s="1491"/>
      <c r="C69" s="883"/>
      <c r="D69" s="1501"/>
      <c r="E69" s="1502"/>
      <c r="F69" s="1503"/>
      <c r="G69" s="1465"/>
    </row>
    <row r="70" spans="1:7" s="1422" customFormat="1" ht="15" x14ac:dyDescent="0.25">
      <c r="A70" s="1466"/>
      <c r="B70" s="1491"/>
      <c r="C70" s="1486" t="s">
        <v>1376</v>
      </c>
      <c r="D70" s="863"/>
      <c r="E70" s="863"/>
      <c r="F70" s="853"/>
      <c r="G70" s="864">
        <f>ROUND(SUM(G60:G68),2)</f>
        <v>0</v>
      </c>
    </row>
    <row r="71" spans="1:7" s="1422" customFormat="1" ht="14.25" x14ac:dyDescent="0.25">
      <c r="A71" s="1466"/>
      <c r="B71" s="1491"/>
      <c r="C71" s="883"/>
      <c r="D71" s="1501"/>
      <c r="E71" s="1502"/>
      <c r="F71" s="1503"/>
      <c r="G71" s="1465"/>
    </row>
    <row r="72" spans="1:7" s="1422" customFormat="1" ht="30" x14ac:dyDescent="0.25">
      <c r="A72" s="1466"/>
      <c r="B72" s="1506" t="s">
        <v>1377</v>
      </c>
      <c r="C72" s="869" t="s">
        <v>1378</v>
      </c>
      <c r="D72" s="1501"/>
      <c r="E72" s="1502"/>
      <c r="F72" s="1503"/>
      <c r="G72" s="1465"/>
    </row>
    <row r="73" spans="1:7" s="1422" customFormat="1" ht="84" x14ac:dyDescent="0.25">
      <c r="A73" s="1466" t="str">
        <f>$B$72</f>
        <v>6.4</v>
      </c>
      <c r="B73" s="1437">
        <v>1</v>
      </c>
      <c r="C73" s="1437" t="s">
        <v>1603</v>
      </c>
      <c r="D73" s="1447" t="s">
        <v>58</v>
      </c>
      <c r="E73" s="1448">
        <v>1</v>
      </c>
      <c r="F73" s="1982"/>
      <c r="G73" s="1449">
        <f>ROUND((E73*F73),2)</f>
        <v>0</v>
      </c>
    </row>
    <row r="74" spans="1:7" s="1422" customFormat="1" x14ac:dyDescent="0.25">
      <c r="A74" s="1466"/>
      <c r="B74" s="1437"/>
      <c r="C74" s="1437"/>
      <c r="D74" s="1447"/>
      <c r="E74" s="1448"/>
      <c r="F74" s="1982"/>
      <c r="G74" s="1449"/>
    </row>
    <row r="75" spans="1:7" s="1422" customFormat="1" ht="60" x14ac:dyDescent="0.25">
      <c r="A75" s="1466" t="str">
        <f>$B$72</f>
        <v>6.4</v>
      </c>
      <c r="B75" s="1437">
        <v>2</v>
      </c>
      <c r="C75" s="1437" t="s">
        <v>1278</v>
      </c>
      <c r="D75" s="1447" t="s">
        <v>58</v>
      </c>
      <c r="E75" s="1448">
        <v>1</v>
      </c>
      <c r="F75" s="1982"/>
      <c r="G75" s="1449">
        <f>ROUND((E75*F75),2)</f>
        <v>0</v>
      </c>
    </row>
    <row r="76" spans="1:7" s="1422" customFormat="1" x14ac:dyDescent="0.25">
      <c r="A76" s="1466"/>
      <c r="B76" s="1437"/>
      <c r="C76" s="1437"/>
      <c r="D76" s="1447"/>
      <c r="E76" s="1448"/>
      <c r="F76" s="1982"/>
      <c r="G76" s="1449"/>
    </row>
    <row r="77" spans="1:7" s="1422" customFormat="1" ht="24" x14ac:dyDescent="0.25">
      <c r="A77" s="1466" t="str">
        <f>$B$72</f>
        <v>6.4</v>
      </c>
      <c r="B77" s="1437">
        <v>3</v>
      </c>
      <c r="C77" s="1437" t="s">
        <v>1379</v>
      </c>
      <c r="D77" s="1447" t="s">
        <v>58</v>
      </c>
      <c r="E77" s="1448">
        <v>1</v>
      </c>
      <c r="F77" s="1982"/>
      <c r="G77" s="1449">
        <f>ROUND((E77*F77),2)</f>
        <v>0</v>
      </c>
    </row>
    <row r="78" spans="1:7" s="1422" customFormat="1" x14ac:dyDescent="0.25">
      <c r="A78" s="1466"/>
      <c r="B78" s="1437"/>
      <c r="C78" s="1437"/>
      <c r="D78" s="1447"/>
      <c r="E78" s="1448"/>
      <c r="F78" s="1982"/>
      <c r="G78" s="1449"/>
    </row>
    <row r="79" spans="1:7" s="1422" customFormat="1" ht="48" x14ac:dyDescent="0.25">
      <c r="A79" s="1466" t="str">
        <f>$B$72</f>
        <v>6.4</v>
      </c>
      <c r="B79" s="1437">
        <v>4</v>
      </c>
      <c r="C79" s="1437" t="s">
        <v>1380</v>
      </c>
      <c r="D79" s="1447" t="s">
        <v>58</v>
      </c>
      <c r="E79" s="1448">
        <v>1</v>
      </c>
      <c r="F79" s="1982"/>
      <c r="G79" s="1449">
        <f>ROUND((E79*F79),2)</f>
        <v>0</v>
      </c>
    </row>
    <row r="80" spans="1:7" s="1422" customFormat="1" x14ac:dyDescent="0.25">
      <c r="A80" s="1466"/>
      <c r="B80" s="1437"/>
      <c r="C80" s="1437"/>
      <c r="D80" s="1447"/>
      <c r="E80" s="1448"/>
      <c r="F80" s="1982"/>
      <c r="G80" s="1449"/>
    </row>
    <row r="81" spans="1:7" s="1422" customFormat="1" ht="84" x14ac:dyDescent="0.25">
      <c r="A81" s="1466" t="str">
        <f>$B$72</f>
        <v>6.4</v>
      </c>
      <c r="B81" s="1437">
        <v>5</v>
      </c>
      <c r="C81" s="1437" t="s">
        <v>1381</v>
      </c>
      <c r="D81" s="1447" t="s">
        <v>58</v>
      </c>
      <c r="E81" s="1448">
        <v>1</v>
      </c>
      <c r="F81" s="1982"/>
      <c r="G81" s="1449">
        <f>ROUND((E81*F81),2)</f>
        <v>0</v>
      </c>
    </row>
    <row r="82" spans="1:7" s="1422" customFormat="1" x14ac:dyDescent="0.25">
      <c r="A82" s="1466"/>
      <c r="B82" s="1437"/>
      <c r="C82" s="1437"/>
      <c r="D82" s="1447"/>
      <c r="E82" s="1448"/>
      <c r="F82" s="1982"/>
      <c r="G82" s="1449"/>
    </row>
    <row r="83" spans="1:7" s="1422" customFormat="1" ht="72" x14ac:dyDescent="0.25">
      <c r="A83" s="1466" t="str">
        <f>$B$72</f>
        <v>6.4</v>
      </c>
      <c r="B83" s="1437">
        <v>6</v>
      </c>
      <c r="C83" s="1437" t="s">
        <v>1382</v>
      </c>
      <c r="D83" s="1447" t="s">
        <v>58</v>
      </c>
      <c r="E83" s="1448">
        <v>1</v>
      </c>
      <c r="F83" s="1982"/>
      <c r="G83" s="1449">
        <f>ROUND((E83*F83),2)</f>
        <v>0</v>
      </c>
    </row>
    <row r="84" spans="1:7" s="1422" customFormat="1" x14ac:dyDescent="0.25">
      <c r="A84" s="1466"/>
      <c r="B84" s="1437"/>
      <c r="C84" s="1437"/>
      <c r="D84" s="1447"/>
      <c r="E84" s="1448"/>
      <c r="F84" s="1982"/>
      <c r="G84" s="1449"/>
    </row>
    <row r="85" spans="1:7" s="1422" customFormat="1" ht="72.75" customHeight="1" x14ac:dyDescent="0.25">
      <c r="A85" s="1466" t="str">
        <f>$B$72</f>
        <v>6.4</v>
      </c>
      <c r="B85" s="1437">
        <v>7</v>
      </c>
      <c r="C85" s="1437" t="s">
        <v>1383</v>
      </c>
      <c r="D85" s="1447" t="s">
        <v>58</v>
      </c>
      <c r="E85" s="1448">
        <v>1</v>
      </c>
      <c r="F85" s="1982"/>
      <c r="G85" s="1449">
        <f>ROUND((E85*F85),2)</f>
        <v>0</v>
      </c>
    </row>
    <row r="86" spans="1:7" s="1422" customFormat="1" ht="14.25" x14ac:dyDescent="0.25">
      <c r="A86" s="1466"/>
      <c r="B86" s="1491"/>
      <c r="C86" s="883"/>
      <c r="D86" s="1501"/>
      <c r="E86" s="1502"/>
      <c r="F86" s="1503"/>
      <c r="G86" s="1465"/>
    </row>
    <row r="87" spans="1:7" s="1422" customFormat="1" ht="15" x14ac:dyDescent="0.25">
      <c r="A87" s="1466"/>
      <c r="B87" s="1491"/>
      <c r="C87" s="1486" t="s">
        <v>1384</v>
      </c>
      <c r="D87" s="863"/>
      <c r="E87" s="863"/>
      <c r="F87" s="853"/>
      <c r="G87" s="864">
        <f>ROUND(SUM(G73:G85),2)</f>
        <v>0</v>
      </c>
    </row>
    <row r="88" spans="1:7" s="1422" customFormat="1" ht="14.25" x14ac:dyDescent="0.25">
      <c r="A88" s="1466"/>
      <c r="B88" s="1491"/>
      <c r="C88" s="883"/>
      <c r="D88" s="1501"/>
      <c r="E88" s="1502"/>
      <c r="F88" s="1503"/>
      <c r="G88" s="1465"/>
    </row>
    <row r="89" spans="1:7" s="1422" customFormat="1" ht="14.25" x14ac:dyDescent="0.25">
      <c r="A89" s="1466"/>
      <c r="B89" s="1491"/>
      <c r="C89" s="883"/>
      <c r="D89" s="1501"/>
      <c r="E89" s="1502"/>
      <c r="F89" s="1503"/>
      <c r="G89" s="1465"/>
    </row>
    <row r="90" spans="1:7" s="1422" customFormat="1" ht="30" x14ac:dyDescent="0.25">
      <c r="A90" s="1466"/>
      <c r="B90" s="1506" t="s">
        <v>1385</v>
      </c>
      <c r="C90" s="869" t="s">
        <v>1386</v>
      </c>
      <c r="D90" s="1501"/>
      <c r="E90" s="1502"/>
      <c r="F90" s="1503"/>
      <c r="G90" s="1465"/>
    </row>
    <row r="91" spans="1:7" s="1422" customFormat="1" ht="84" x14ac:dyDescent="0.25">
      <c r="A91" s="1466" t="str">
        <f>$B$90</f>
        <v>6.5</v>
      </c>
      <c r="B91" s="1437">
        <v>1</v>
      </c>
      <c r="C91" s="1437" t="s">
        <v>1603</v>
      </c>
      <c r="D91" s="1447" t="s">
        <v>58</v>
      </c>
      <c r="E91" s="1448">
        <v>1</v>
      </c>
      <c r="F91" s="1982"/>
      <c r="G91" s="1449">
        <f>ROUND((E91*F91),2)</f>
        <v>0</v>
      </c>
    </row>
    <row r="92" spans="1:7" s="1422" customFormat="1" x14ac:dyDescent="0.25">
      <c r="A92" s="1466"/>
      <c r="B92" s="1437"/>
      <c r="C92" s="1437"/>
      <c r="D92" s="1447"/>
      <c r="E92" s="1448"/>
      <c r="F92" s="1982"/>
      <c r="G92" s="1449"/>
    </row>
    <row r="93" spans="1:7" s="1422" customFormat="1" ht="60" x14ac:dyDescent="0.25">
      <c r="A93" s="1466" t="str">
        <f>$B$90</f>
        <v>6.5</v>
      </c>
      <c r="B93" s="1437">
        <v>2</v>
      </c>
      <c r="C93" s="1437" t="s">
        <v>1278</v>
      </c>
      <c r="D93" s="1447" t="s">
        <v>58</v>
      </c>
      <c r="E93" s="1448">
        <v>2</v>
      </c>
      <c r="F93" s="1982"/>
      <c r="G93" s="1449">
        <f>ROUND((E93*F93),2)</f>
        <v>0</v>
      </c>
    </row>
    <row r="94" spans="1:7" s="1422" customFormat="1" x14ac:dyDescent="0.25">
      <c r="A94" s="1466"/>
      <c r="B94" s="1437"/>
      <c r="C94" s="1437"/>
      <c r="D94" s="1447"/>
      <c r="E94" s="1448"/>
      <c r="F94" s="1982"/>
      <c r="G94" s="1449"/>
    </row>
    <row r="95" spans="1:7" s="1422" customFormat="1" ht="48" x14ac:dyDescent="0.25">
      <c r="A95" s="1466" t="str">
        <f>$B$90</f>
        <v>6.5</v>
      </c>
      <c r="B95" s="1437">
        <v>3</v>
      </c>
      <c r="C95" s="1437" t="s">
        <v>1380</v>
      </c>
      <c r="D95" s="1447" t="s">
        <v>58</v>
      </c>
      <c r="E95" s="1448">
        <v>1</v>
      </c>
      <c r="F95" s="1982"/>
      <c r="G95" s="1449">
        <f>ROUND((E95*F95),2)</f>
        <v>0</v>
      </c>
    </row>
    <row r="96" spans="1:7" s="1422" customFormat="1" x14ac:dyDescent="0.25">
      <c r="A96" s="1466"/>
      <c r="B96" s="1437"/>
      <c r="C96" s="1437"/>
      <c r="D96" s="1447"/>
      <c r="E96" s="1448"/>
      <c r="F96" s="1982"/>
      <c r="G96" s="1449"/>
    </row>
    <row r="97" spans="1:7" s="1422" customFormat="1" ht="72.75" customHeight="1" x14ac:dyDescent="0.25">
      <c r="A97" s="1466" t="str">
        <f>$B$90</f>
        <v>6.5</v>
      </c>
      <c r="B97" s="1437">
        <v>4</v>
      </c>
      <c r="C97" s="1437" t="s">
        <v>1381</v>
      </c>
      <c r="D97" s="1447" t="s">
        <v>58</v>
      </c>
      <c r="E97" s="1448">
        <v>1</v>
      </c>
      <c r="F97" s="1982"/>
      <c r="G97" s="1449">
        <f>ROUND((E97*F97),2)</f>
        <v>0</v>
      </c>
    </row>
    <row r="98" spans="1:7" s="1422" customFormat="1" x14ac:dyDescent="0.25">
      <c r="A98" s="1466"/>
      <c r="B98" s="1437"/>
      <c r="C98" s="1437"/>
      <c r="D98" s="1447"/>
      <c r="E98" s="1448"/>
      <c r="F98" s="1982"/>
      <c r="G98" s="1449"/>
    </row>
    <row r="99" spans="1:7" s="1422" customFormat="1" ht="72" x14ac:dyDescent="0.25">
      <c r="A99" s="1466" t="str">
        <f>$B$90</f>
        <v>6.5</v>
      </c>
      <c r="B99" s="1437">
        <v>5</v>
      </c>
      <c r="C99" s="1437" t="s">
        <v>1382</v>
      </c>
      <c r="D99" s="1447" t="s">
        <v>58</v>
      </c>
      <c r="E99" s="1448">
        <v>1</v>
      </c>
      <c r="F99" s="1982"/>
      <c r="G99" s="1449">
        <f>ROUND((E99*F99),2)</f>
        <v>0</v>
      </c>
    </row>
    <row r="100" spans="1:7" s="1422" customFormat="1" x14ac:dyDescent="0.25">
      <c r="A100" s="1466"/>
      <c r="B100" s="1437"/>
      <c r="C100" s="1437"/>
      <c r="D100" s="1447"/>
      <c r="E100" s="1448"/>
      <c r="F100" s="1982"/>
      <c r="G100" s="1449"/>
    </row>
    <row r="101" spans="1:7" s="1422" customFormat="1" ht="84" x14ac:dyDescent="0.25">
      <c r="A101" s="1466" t="str">
        <f>$B$90</f>
        <v>6.5</v>
      </c>
      <c r="B101" s="1437">
        <v>6</v>
      </c>
      <c r="C101" s="1437" t="s">
        <v>1383</v>
      </c>
      <c r="D101" s="1447" t="s">
        <v>58</v>
      </c>
      <c r="E101" s="1448">
        <v>1</v>
      </c>
      <c r="F101" s="1982"/>
      <c r="G101" s="1449">
        <f>ROUND((E101*F101),2)</f>
        <v>0</v>
      </c>
    </row>
    <row r="102" spans="1:7" s="1422" customFormat="1" ht="14.25" x14ac:dyDescent="0.25">
      <c r="A102" s="1466"/>
      <c r="B102" s="1491"/>
      <c r="C102" s="883"/>
      <c r="D102" s="1501"/>
      <c r="E102" s="1502"/>
      <c r="F102" s="1503"/>
      <c r="G102" s="1465"/>
    </row>
    <row r="103" spans="1:7" s="1422" customFormat="1" ht="30" x14ac:dyDescent="0.25">
      <c r="A103" s="1466"/>
      <c r="B103" s="1491"/>
      <c r="C103" s="1486" t="s">
        <v>1387</v>
      </c>
      <c r="D103" s="863"/>
      <c r="E103" s="863"/>
      <c r="F103" s="853"/>
      <c r="G103" s="864">
        <f>ROUND(SUM(G91:G101),2)</f>
        <v>0</v>
      </c>
    </row>
    <row r="104" spans="1:7" s="1422" customFormat="1" x14ac:dyDescent="0.25">
      <c r="A104" s="1466"/>
      <c r="B104" s="1437"/>
      <c r="C104" s="1437"/>
      <c r="D104" s="1447"/>
      <c r="E104" s="1448"/>
      <c r="F104" s="1982"/>
      <c r="G104" s="1449"/>
    </row>
    <row r="106" spans="1:7" x14ac:dyDescent="0.25">
      <c r="C106" s="1507" t="s">
        <v>1630</v>
      </c>
    </row>
    <row r="107" spans="1:7" ht="15" x14ac:dyDescent="0.25">
      <c r="B107" s="1460" t="s">
        <v>1344</v>
      </c>
      <c r="C107" s="1478" t="s">
        <v>1345</v>
      </c>
      <c r="D107" s="1498"/>
      <c r="E107" s="1479"/>
      <c r="F107" s="1499"/>
      <c r="G107" s="1500">
        <f>G15</f>
        <v>0</v>
      </c>
    </row>
    <row r="108" spans="1:7" ht="30" x14ac:dyDescent="0.25">
      <c r="B108" s="1460" t="s">
        <v>1348</v>
      </c>
      <c r="C108" s="1478" t="s">
        <v>1388</v>
      </c>
      <c r="D108" s="1498"/>
      <c r="E108" s="1479"/>
      <c r="F108" s="1499"/>
      <c r="G108" s="1500">
        <f>G55</f>
        <v>0</v>
      </c>
    </row>
    <row r="109" spans="1:7" ht="30" x14ac:dyDescent="0.25">
      <c r="B109" s="1460" t="s">
        <v>1371</v>
      </c>
      <c r="C109" s="1478" t="s">
        <v>1372</v>
      </c>
      <c r="D109" s="1498"/>
      <c r="E109" s="1479"/>
      <c r="F109" s="1499"/>
      <c r="G109" s="1500">
        <f>G70</f>
        <v>0</v>
      </c>
    </row>
    <row r="110" spans="1:7" ht="15" x14ac:dyDescent="0.25">
      <c r="B110" s="1460" t="s">
        <v>1377</v>
      </c>
      <c r="C110" s="1478" t="s">
        <v>1378</v>
      </c>
      <c r="D110" s="1498"/>
      <c r="E110" s="1479"/>
      <c r="F110" s="1499"/>
      <c r="G110" s="1500">
        <f>G87</f>
        <v>0</v>
      </c>
    </row>
    <row r="111" spans="1:7" ht="15" x14ac:dyDescent="0.25">
      <c r="B111" s="1611" t="s">
        <v>1385</v>
      </c>
      <c r="C111" s="1612" t="s">
        <v>1386</v>
      </c>
      <c r="D111" s="1613"/>
      <c r="E111" s="1614"/>
      <c r="F111" s="1615"/>
      <c r="G111" s="1616">
        <f>G103</f>
        <v>0</v>
      </c>
    </row>
    <row r="112" spans="1:7" ht="15" x14ac:dyDescent="0.25">
      <c r="C112" s="1478" t="s">
        <v>1259</v>
      </c>
      <c r="D112" s="1498"/>
      <c r="E112" s="1479"/>
      <c r="F112" s="1499"/>
      <c r="G112" s="1500">
        <f>ROUND(SUM(G107:G111),2)</f>
        <v>0</v>
      </c>
    </row>
  </sheetData>
  <sheetProtection algorithmName="SHA-512" hashValue="3of566wXY9opeAcPVcpO+SX1x47YEEN7c2WcvUD7dKKu6pRh4RVFNm/uUQVbwbIIh32vGnc5+l7QGPzUQAIzlg==" saltValue="fiovQNfYnhseQBt/FUW7Jg==" spinCount="100000" sheet="1" objects="1" scenarios="1"/>
  <mergeCells count="1">
    <mergeCell ref="H3:H4"/>
  </mergeCells>
  <pageMargins left="0.98425196850393704" right="0.39370078740157483" top="0.98425196850393704" bottom="0.74803149606299213" header="0" footer="0.39370078740157483"/>
  <pageSetup paperSize="9" firstPageNumber="0" orientation="portrait" r:id="rId1"/>
  <headerFooter alignWithMargins="0">
    <oddHeader>&amp;L
&amp;R&amp;"Projekt,Običajno"&amp;72p</oddHeader>
    <oddFooter>&amp;C&amp;6 &amp; List: &amp;A&amp;R &amp;  &amp; Stran: &amp;P/&amp;N</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7">
    <tabColor theme="6" tint="-0.249977111117893"/>
  </sheetPr>
  <dimension ref="A1:K43"/>
  <sheetViews>
    <sheetView view="pageBreakPreview" zoomScaleNormal="85" zoomScaleSheetLayoutView="100" workbookViewId="0"/>
  </sheetViews>
  <sheetFormatPr defaultRowHeight="12.75" x14ac:dyDescent="0.25"/>
  <cols>
    <col min="1" max="1" width="4.140625" style="224" customWidth="1"/>
    <col min="2" max="2" width="4.42578125" style="224" customWidth="1"/>
    <col min="3" max="3" width="43.5703125" style="818" customWidth="1"/>
    <col min="4" max="4" width="6.28515625" style="224" customWidth="1"/>
    <col min="5" max="5" width="7.5703125" style="764" customWidth="1"/>
    <col min="6" max="6" width="9.85546875" style="1956" customWidth="1"/>
    <col min="7" max="7" width="13.28515625" style="765" customWidth="1"/>
    <col min="8" max="8" width="9.85546875" style="224" customWidth="1"/>
    <col min="9" max="9" width="2.5703125" style="224" bestFit="1" customWidth="1"/>
    <col min="10" max="10" width="9.140625" style="224"/>
    <col min="11" max="11" width="9" style="224" customWidth="1"/>
    <col min="12" max="256" width="9.140625" style="224"/>
    <col min="257" max="257" width="4.140625" style="224" customWidth="1"/>
    <col min="258" max="258" width="4.42578125" style="224" customWidth="1"/>
    <col min="259" max="259" width="44.140625" style="224" customWidth="1"/>
    <col min="260" max="260" width="6.28515625" style="224" customWidth="1"/>
    <col min="261" max="261" width="7.5703125" style="224" customWidth="1"/>
    <col min="262" max="262" width="9.5703125" style="224" customWidth="1"/>
    <col min="263" max="263" width="13.28515625" style="224" customWidth="1"/>
    <col min="264" max="264" width="9.85546875" style="224" customWidth="1"/>
    <col min="265" max="265" width="2.5703125" style="224" bestFit="1" customWidth="1"/>
    <col min="266" max="266" width="9.140625" style="224"/>
    <col min="267" max="267" width="9" style="224" customWidth="1"/>
    <col min="268" max="512" width="9.140625" style="224"/>
    <col min="513" max="513" width="4.140625" style="224" customWidth="1"/>
    <col min="514" max="514" width="4.42578125" style="224" customWidth="1"/>
    <col min="515" max="515" width="44.140625" style="224" customWidth="1"/>
    <col min="516" max="516" width="6.28515625" style="224" customWidth="1"/>
    <col min="517" max="517" width="7.5703125" style="224" customWidth="1"/>
    <col min="518" max="518" width="9.5703125" style="224" customWidth="1"/>
    <col min="519" max="519" width="13.28515625" style="224" customWidth="1"/>
    <col min="520" max="520" width="9.85546875" style="224" customWidth="1"/>
    <col min="521" max="521" width="2.5703125" style="224" bestFit="1" customWidth="1"/>
    <col min="522" max="522" width="9.140625" style="224"/>
    <col min="523" max="523" width="9" style="224" customWidth="1"/>
    <col min="524" max="768" width="9.140625" style="224"/>
    <col min="769" max="769" width="4.140625" style="224" customWidth="1"/>
    <col min="770" max="770" width="4.42578125" style="224" customWidth="1"/>
    <col min="771" max="771" width="44.140625" style="224" customWidth="1"/>
    <col min="772" max="772" width="6.28515625" style="224" customWidth="1"/>
    <col min="773" max="773" width="7.5703125" style="224" customWidth="1"/>
    <col min="774" max="774" width="9.5703125" style="224" customWidth="1"/>
    <col min="775" max="775" width="13.28515625" style="224" customWidth="1"/>
    <col min="776" max="776" width="9.85546875" style="224" customWidth="1"/>
    <col min="777" max="777" width="2.5703125" style="224" bestFit="1" customWidth="1"/>
    <col min="778" max="778" width="9.140625" style="224"/>
    <col min="779" max="779" width="9" style="224" customWidth="1"/>
    <col min="780" max="1024" width="9.140625" style="224"/>
    <col min="1025" max="1025" width="4.140625" style="224" customWidth="1"/>
    <col min="1026" max="1026" width="4.42578125" style="224" customWidth="1"/>
    <col min="1027" max="1027" width="44.140625" style="224" customWidth="1"/>
    <col min="1028" max="1028" width="6.28515625" style="224" customWidth="1"/>
    <col min="1029" max="1029" width="7.5703125" style="224" customWidth="1"/>
    <col min="1030" max="1030" width="9.5703125" style="224" customWidth="1"/>
    <col min="1031" max="1031" width="13.28515625" style="224" customWidth="1"/>
    <col min="1032" max="1032" width="9.85546875" style="224" customWidth="1"/>
    <col min="1033" max="1033" width="2.5703125" style="224" bestFit="1" customWidth="1"/>
    <col min="1034" max="1034" width="9.140625" style="224"/>
    <col min="1035" max="1035" width="9" style="224" customWidth="1"/>
    <col min="1036" max="1280" width="9.140625" style="224"/>
    <col min="1281" max="1281" width="4.140625" style="224" customWidth="1"/>
    <col min="1282" max="1282" width="4.42578125" style="224" customWidth="1"/>
    <col min="1283" max="1283" width="44.140625" style="224" customWidth="1"/>
    <col min="1284" max="1284" width="6.28515625" style="224" customWidth="1"/>
    <col min="1285" max="1285" width="7.5703125" style="224" customWidth="1"/>
    <col min="1286" max="1286" width="9.5703125" style="224" customWidth="1"/>
    <col min="1287" max="1287" width="13.28515625" style="224" customWidth="1"/>
    <col min="1288" max="1288" width="9.85546875" style="224" customWidth="1"/>
    <col min="1289" max="1289" width="2.5703125" style="224" bestFit="1" customWidth="1"/>
    <col min="1290" max="1290" width="9.140625" style="224"/>
    <col min="1291" max="1291" width="9" style="224" customWidth="1"/>
    <col min="1292" max="1536" width="9.140625" style="224"/>
    <col min="1537" max="1537" width="4.140625" style="224" customWidth="1"/>
    <col min="1538" max="1538" width="4.42578125" style="224" customWidth="1"/>
    <col min="1539" max="1539" width="44.140625" style="224" customWidth="1"/>
    <col min="1540" max="1540" width="6.28515625" style="224" customWidth="1"/>
    <col min="1541" max="1541" width="7.5703125" style="224" customWidth="1"/>
    <col min="1542" max="1542" width="9.5703125" style="224" customWidth="1"/>
    <col min="1543" max="1543" width="13.28515625" style="224" customWidth="1"/>
    <col min="1544" max="1544" width="9.85546875" style="224" customWidth="1"/>
    <col min="1545" max="1545" width="2.5703125" style="224" bestFit="1" customWidth="1"/>
    <col min="1546" max="1546" width="9.140625" style="224"/>
    <col min="1547" max="1547" width="9" style="224" customWidth="1"/>
    <col min="1548" max="1792" width="9.140625" style="224"/>
    <col min="1793" max="1793" width="4.140625" style="224" customWidth="1"/>
    <col min="1794" max="1794" width="4.42578125" style="224" customWidth="1"/>
    <col min="1795" max="1795" width="44.140625" style="224" customWidth="1"/>
    <col min="1796" max="1796" width="6.28515625" style="224" customWidth="1"/>
    <col min="1797" max="1797" width="7.5703125" style="224" customWidth="1"/>
    <col min="1798" max="1798" width="9.5703125" style="224" customWidth="1"/>
    <col min="1799" max="1799" width="13.28515625" style="224" customWidth="1"/>
    <col min="1800" max="1800" width="9.85546875" style="224" customWidth="1"/>
    <col min="1801" max="1801" width="2.5703125" style="224" bestFit="1" customWidth="1"/>
    <col min="1802" max="1802" width="9.140625" style="224"/>
    <col min="1803" max="1803" width="9" style="224" customWidth="1"/>
    <col min="1804" max="2048" width="9.140625" style="224"/>
    <col min="2049" max="2049" width="4.140625" style="224" customWidth="1"/>
    <col min="2050" max="2050" width="4.42578125" style="224" customWidth="1"/>
    <col min="2051" max="2051" width="44.140625" style="224" customWidth="1"/>
    <col min="2052" max="2052" width="6.28515625" style="224" customWidth="1"/>
    <col min="2053" max="2053" width="7.5703125" style="224" customWidth="1"/>
    <col min="2054" max="2054" width="9.5703125" style="224" customWidth="1"/>
    <col min="2055" max="2055" width="13.28515625" style="224" customWidth="1"/>
    <col min="2056" max="2056" width="9.85546875" style="224" customWidth="1"/>
    <col min="2057" max="2057" width="2.5703125" style="224" bestFit="1" customWidth="1"/>
    <col min="2058" max="2058" width="9.140625" style="224"/>
    <col min="2059" max="2059" width="9" style="224" customWidth="1"/>
    <col min="2060" max="2304" width="9.140625" style="224"/>
    <col min="2305" max="2305" width="4.140625" style="224" customWidth="1"/>
    <col min="2306" max="2306" width="4.42578125" style="224" customWidth="1"/>
    <col min="2307" max="2307" width="44.140625" style="224" customWidth="1"/>
    <col min="2308" max="2308" width="6.28515625" style="224" customWidth="1"/>
    <col min="2309" max="2309" width="7.5703125" style="224" customWidth="1"/>
    <col min="2310" max="2310" width="9.5703125" style="224" customWidth="1"/>
    <col min="2311" max="2311" width="13.28515625" style="224" customWidth="1"/>
    <col min="2312" max="2312" width="9.85546875" style="224" customWidth="1"/>
    <col min="2313" max="2313" width="2.5703125" style="224" bestFit="1" customWidth="1"/>
    <col min="2314" max="2314" width="9.140625" style="224"/>
    <col min="2315" max="2315" width="9" style="224" customWidth="1"/>
    <col min="2316" max="2560" width="9.140625" style="224"/>
    <col min="2561" max="2561" width="4.140625" style="224" customWidth="1"/>
    <col min="2562" max="2562" width="4.42578125" style="224" customWidth="1"/>
    <col min="2563" max="2563" width="44.140625" style="224" customWidth="1"/>
    <col min="2564" max="2564" width="6.28515625" style="224" customWidth="1"/>
    <col min="2565" max="2565" width="7.5703125" style="224" customWidth="1"/>
    <col min="2566" max="2566" width="9.5703125" style="224" customWidth="1"/>
    <col min="2567" max="2567" width="13.28515625" style="224" customWidth="1"/>
    <col min="2568" max="2568" width="9.85546875" style="224" customWidth="1"/>
    <col min="2569" max="2569" width="2.5703125" style="224" bestFit="1" customWidth="1"/>
    <col min="2570" max="2570" width="9.140625" style="224"/>
    <col min="2571" max="2571" width="9" style="224" customWidth="1"/>
    <col min="2572" max="2816" width="9.140625" style="224"/>
    <col min="2817" max="2817" width="4.140625" style="224" customWidth="1"/>
    <col min="2818" max="2818" width="4.42578125" style="224" customWidth="1"/>
    <col min="2819" max="2819" width="44.140625" style="224" customWidth="1"/>
    <col min="2820" max="2820" width="6.28515625" style="224" customWidth="1"/>
    <col min="2821" max="2821" width="7.5703125" style="224" customWidth="1"/>
    <col min="2822" max="2822" width="9.5703125" style="224" customWidth="1"/>
    <col min="2823" max="2823" width="13.28515625" style="224" customWidth="1"/>
    <col min="2824" max="2824" width="9.85546875" style="224" customWidth="1"/>
    <col min="2825" max="2825" width="2.5703125" style="224" bestFit="1" customWidth="1"/>
    <col min="2826" max="2826" width="9.140625" style="224"/>
    <col min="2827" max="2827" width="9" style="224" customWidth="1"/>
    <col min="2828" max="3072" width="9.140625" style="224"/>
    <col min="3073" max="3073" width="4.140625" style="224" customWidth="1"/>
    <col min="3074" max="3074" width="4.42578125" style="224" customWidth="1"/>
    <col min="3075" max="3075" width="44.140625" style="224" customWidth="1"/>
    <col min="3076" max="3076" width="6.28515625" style="224" customWidth="1"/>
    <col min="3077" max="3077" width="7.5703125" style="224" customWidth="1"/>
    <col min="3078" max="3078" width="9.5703125" style="224" customWidth="1"/>
    <col min="3079" max="3079" width="13.28515625" style="224" customWidth="1"/>
    <col min="3080" max="3080" width="9.85546875" style="224" customWidth="1"/>
    <col min="3081" max="3081" width="2.5703125" style="224" bestFit="1" customWidth="1"/>
    <col min="3082" max="3082" width="9.140625" style="224"/>
    <col min="3083" max="3083" width="9" style="224" customWidth="1"/>
    <col min="3084" max="3328" width="9.140625" style="224"/>
    <col min="3329" max="3329" width="4.140625" style="224" customWidth="1"/>
    <col min="3330" max="3330" width="4.42578125" style="224" customWidth="1"/>
    <col min="3331" max="3331" width="44.140625" style="224" customWidth="1"/>
    <col min="3332" max="3332" width="6.28515625" style="224" customWidth="1"/>
    <col min="3333" max="3333" width="7.5703125" style="224" customWidth="1"/>
    <col min="3334" max="3334" width="9.5703125" style="224" customWidth="1"/>
    <col min="3335" max="3335" width="13.28515625" style="224" customWidth="1"/>
    <col min="3336" max="3336" width="9.85546875" style="224" customWidth="1"/>
    <col min="3337" max="3337" width="2.5703125" style="224" bestFit="1" customWidth="1"/>
    <col min="3338" max="3338" width="9.140625" style="224"/>
    <col min="3339" max="3339" width="9" style="224" customWidth="1"/>
    <col min="3340" max="3584" width="9.140625" style="224"/>
    <col min="3585" max="3585" width="4.140625" style="224" customWidth="1"/>
    <col min="3586" max="3586" width="4.42578125" style="224" customWidth="1"/>
    <col min="3587" max="3587" width="44.140625" style="224" customWidth="1"/>
    <col min="3588" max="3588" width="6.28515625" style="224" customWidth="1"/>
    <col min="3589" max="3589" width="7.5703125" style="224" customWidth="1"/>
    <col min="3590" max="3590" width="9.5703125" style="224" customWidth="1"/>
    <col min="3591" max="3591" width="13.28515625" style="224" customWidth="1"/>
    <col min="3592" max="3592" width="9.85546875" style="224" customWidth="1"/>
    <col min="3593" max="3593" width="2.5703125" style="224" bestFit="1" customWidth="1"/>
    <col min="3594" max="3594" width="9.140625" style="224"/>
    <col min="3595" max="3595" width="9" style="224" customWidth="1"/>
    <col min="3596" max="3840" width="9.140625" style="224"/>
    <col min="3841" max="3841" width="4.140625" style="224" customWidth="1"/>
    <col min="3842" max="3842" width="4.42578125" style="224" customWidth="1"/>
    <col min="3843" max="3843" width="44.140625" style="224" customWidth="1"/>
    <col min="3844" max="3844" width="6.28515625" style="224" customWidth="1"/>
    <col min="3845" max="3845" width="7.5703125" style="224" customWidth="1"/>
    <col min="3846" max="3846" width="9.5703125" style="224" customWidth="1"/>
    <col min="3847" max="3847" width="13.28515625" style="224" customWidth="1"/>
    <col min="3848" max="3848" width="9.85546875" style="224" customWidth="1"/>
    <col min="3849" max="3849" width="2.5703125" style="224" bestFit="1" customWidth="1"/>
    <col min="3850" max="3850" width="9.140625" style="224"/>
    <col min="3851" max="3851" width="9" style="224" customWidth="1"/>
    <col min="3852" max="4096" width="9.140625" style="224"/>
    <col min="4097" max="4097" width="4.140625" style="224" customWidth="1"/>
    <col min="4098" max="4098" width="4.42578125" style="224" customWidth="1"/>
    <col min="4099" max="4099" width="44.140625" style="224" customWidth="1"/>
    <col min="4100" max="4100" width="6.28515625" style="224" customWidth="1"/>
    <col min="4101" max="4101" width="7.5703125" style="224" customWidth="1"/>
    <col min="4102" max="4102" width="9.5703125" style="224" customWidth="1"/>
    <col min="4103" max="4103" width="13.28515625" style="224" customWidth="1"/>
    <col min="4104" max="4104" width="9.85546875" style="224" customWidth="1"/>
    <col min="4105" max="4105" width="2.5703125" style="224" bestFit="1" customWidth="1"/>
    <col min="4106" max="4106" width="9.140625" style="224"/>
    <col min="4107" max="4107" width="9" style="224" customWidth="1"/>
    <col min="4108" max="4352" width="9.140625" style="224"/>
    <col min="4353" max="4353" width="4.140625" style="224" customWidth="1"/>
    <col min="4354" max="4354" width="4.42578125" style="224" customWidth="1"/>
    <col min="4355" max="4355" width="44.140625" style="224" customWidth="1"/>
    <col min="4356" max="4356" width="6.28515625" style="224" customWidth="1"/>
    <col min="4357" max="4357" width="7.5703125" style="224" customWidth="1"/>
    <col min="4358" max="4358" width="9.5703125" style="224" customWidth="1"/>
    <col min="4359" max="4359" width="13.28515625" style="224" customWidth="1"/>
    <col min="4360" max="4360" width="9.85546875" style="224" customWidth="1"/>
    <col min="4361" max="4361" width="2.5703125" style="224" bestFit="1" customWidth="1"/>
    <col min="4362" max="4362" width="9.140625" style="224"/>
    <col min="4363" max="4363" width="9" style="224" customWidth="1"/>
    <col min="4364" max="4608" width="9.140625" style="224"/>
    <col min="4609" max="4609" width="4.140625" style="224" customWidth="1"/>
    <col min="4610" max="4610" width="4.42578125" style="224" customWidth="1"/>
    <col min="4611" max="4611" width="44.140625" style="224" customWidth="1"/>
    <col min="4612" max="4612" width="6.28515625" style="224" customWidth="1"/>
    <col min="4613" max="4613" width="7.5703125" style="224" customWidth="1"/>
    <col min="4614" max="4614" width="9.5703125" style="224" customWidth="1"/>
    <col min="4615" max="4615" width="13.28515625" style="224" customWidth="1"/>
    <col min="4616" max="4616" width="9.85546875" style="224" customWidth="1"/>
    <col min="4617" max="4617" width="2.5703125" style="224" bestFit="1" customWidth="1"/>
    <col min="4618" max="4618" width="9.140625" style="224"/>
    <col min="4619" max="4619" width="9" style="224" customWidth="1"/>
    <col min="4620" max="4864" width="9.140625" style="224"/>
    <col min="4865" max="4865" width="4.140625" style="224" customWidth="1"/>
    <col min="4866" max="4866" width="4.42578125" style="224" customWidth="1"/>
    <col min="4867" max="4867" width="44.140625" style="224" customWidth="1"/>
    <col min="4868" max="4868" width="6.28515625" style="224" customWidth="1"/>
    <col min="4869" max="4869" width="7.5703125" style="224" customWidth="1"/>
    <col min="4870" max="4870" width="9.5703125" style="224" customWidth="1"/>
    <col min="4871" max="4871" width="13.28515625" style="224" customWidth="1"/>
    <col min="4872" max="4872" width="9.85546875" style="224" customWidth="1"/>
    <col min="4873" max="4873" width="2.5703125" style="224" bestFit="1" customWidth="1"/>
    <col min="4874" max="4874" width="9.140625" style="224"/>
    <col min="4875" max="4875" width="9" style="224" customWidth="1"/>
    <col min="4876" max="5120" width="9.140625" style="224"/>
    <col min="5121" max="5121" width="4.140625" style="224" customWidth="1"/>
    <col min="5122" max="5122" width="4.42578125" style="224" customWidth="1"/>
    <col min="5123" max="5123" width="44.140625" style="224" customWidth="1"/>
    <col min="5124" max="5124" width="6.28515625" style="224" customWidth="1"/>
    <col min="5125" max="5125" width="7.5703125" style="224" customWidth="1"/>
    <col min="5126" max="5126" width="9.5703125" style="224" customWidth="1"/>
    <col min="5127" max="5127" width="13.28515625" style="224" customWidth="1"/>
    <col min="5128" max="5128" width="9.85546875" style="224" customWidth="1"/>
    <col min="5129" max="5129" width="2.5703125" style="224" bestFit="1" customWidth="1"/>
    <col min="5130" max="5130" width="9.140625" style="224"/>
    <col min="5131" max="5131" width="9" style="224" customWidth="1"/>
    <col min="5132" max="5376" width="9.140625" style="224"/>
    <col min="5377" max="5377" width="4.140625" style="224" customWidth="1"/>
    <col min="5378" max="5378" width="4.42578125" style="224" customWidth="1"/>
    <col min="5379" max="5379" width="44.140625" style="224" customWidth="1"/>
    <col min="5380" max="5380" width="6.28515625" style="224" customWidth="1"/>
    <col min="5381" max="5381" width="7.5703125" style="224" customWidth="1"/>
    <col min="5382" max="5382" width="9.5703125" style="224" customWidth="1"/>
    <col min="5383" max="5383" width="13.28515625" style="224" customWidth="1"/>
    <col min="5384" max="5384" width="9.85546875" style="224" customWidth="1"/>
    <col min="5385" max="5385" width="2.5703125" style="224" bestFit="1" customWidth="1"/>
    <col min="5386" max="5386" width="9.140625" style="224"/>
    <col min="5387" max="5387" width="9" style="224" customWidth="1"/>
    <col min="5388" max="5632" width="9.140625" style="224"/>
    <col min="5633" max="5633" width="4.140625" style="224" customWidth="1"/>
    <col min="5634" max="5634" width="4.42578125" style="224" customWidth="1"/>
    <col min="5635" max="5635" width="44.140625" style="224" customWidth="1"/>
    <col min="5636" max="5636" width="6.28515625" style="224" customWidth="1"/>
    <col min="5637" max="5637" width="7.5703125" style="224" customWidth="1"/>
    <col min="5638" max="5638" width="9.5703125" style="224" customWidth="1"/>
    <col min="5639" max="5639" width="13.28515625" style="224" customWidth="1"/>
    <col min="5640" max="5640" width="9.85546875" style="224" customWidth="1"/>
    <col min="5641" max="5641" width="2.5703125" style="224" bestFit="1" customWidth="1"/>
    <col min="5642" max="5642" width="9.140625" style="224"/>
    <col min="5643" max="5643" width="9" style="224" customWidth="1"/>
    <col min="5644" max="5888" width="9.140625" style="224"/>
    <col min="5889" max="5889" width="4.140625" style="224" customWidth="1"/>
    <col min="5890" max="5890" width="4.42578125" style="224" customWidth="1"/>
    <col min="5891" max="5891" width="44.140625" style="224" customWidth="1"/>
    <col min="5892" max="5892" width="6.28515625" style="224" customWidth="1"/>
    <col min="5893" max="5893" width="7.5703125" style="224" customWidth="1"/>
    <col min="5894" max="5894" width="9.5703125" style="224" customWidth="1"/>
    <col min="5895" max="5895" width="13.28515625" style="224" customWidth="1"/>
    <col min="5896" max="5896" width="9.85546875" style="224" customWidth="1"/>
    <col min="5897" max="5897" width="2.5703125" style="224" bestFit="1" customWidth="1"/>
    <col min="5898" max="5898" width="9.140625" style="224"/>
    <col min="5899" max="5899" width="9" style="224" customWidth="1"/>
    <col min="5900" max="6144" width="9.140625" style="224"/>
    <col min="6145" max="6145" width="4.140625" style="224" customWidth="1"/>
    <col min="6146" max="6146" width="4.42578125" style="224" customWidth="1"/>
    <col min="6147" max="6147" width="44.140625" style="224" customWidth="1"/>
    <col min="6148" max="6148" width="6.28515625" style="224" customWidth="1"/>
    <col min="6149" max="6149" width="7.5703125" style="224" customWidth="1"/>
    <col min="6150" max="6150" width="9.5703125" style="224" customWidth="1"/>
    <col min="6151" max="6151" width="13.28515625" style="224" customWidth="1"/>
    <col min="6152" max="6152" width="9.85546875" style="224" customWidth="1"/>
    <col min="6153" max="6153" width="2.5703125" style="224" bestFit="1" customWidth="1"/>
    <col min="6154" max="6154" width="9.140625" style="224"/>
    <col min="6155" max="6155" width="9" style="224" customWidth="1"/>
    <col min="6156" max="6400" width="9.140625" style="224"/>
    <col min="6401" max="6401" width="4.140625" style="224" customWidth="1"/>
    <col min="6402" max="6402" width="4.42578125" style="224" customWidth="1"/>
    <col min="6403" max="6403" width="44.140625" style="224" customWidth="1"/>
    <col min="6404" max="6404" width="6.28515625" style="224" customWidth="1"/>
    <col min="6405" max="6405" width="7.5703125" style="224" customWidth="1"/>
    <col min="6406" max="6406" width="9.5703125" style="224" customWidth="1"/>
    <col min="6407" max="6407" width="13.28515625" style="224" customWidth="1"/>
    <col min="6408" max="6408" width="9.85546875" style="224" customWidth="1"/>
    <col min="6409" max="6409" width="2.5703125" style="224" bestFit="1" customWidth="1"/>
    <col min="6410" max="6410" width="9.140625" style="224"/>
    <col min="6411" max="6411" width="9" style="224" customWidth="1"/>
    <col min="6412" max="6656" width="9.140625" style="224"/>
    <col min="6657" max="6657" width="4.140625" style="224" customWidth="1"/>
    <col min="6658" max="6658" width="4.42578125" style="224" customWidth="1"/>
    <col min="6659" max="6659" width="44.140625" style="224" customWidth="1"/>
    <col min="6660" max="6660" width="6.28515625" style="224" customWidth="1"/>
    <col min="6661" max="6661" width="7.5703125" style="224" customWidth="1"/>
    <col min="6662" max="6662" width="9.5703125" style="224" customWidth="1"/>
    <col min="6663" max="6663" width="13.28515625" style="224" customWidth="1"/>
    <col min="6664" max="6664" width="9.85546875" style="224" customWidth="1"/>
    <col min="6665" max="6665" width="2.5703125" style="224" bestFit="1" customWidth="1"/>
    <col min="6666" max="6666" width="9.140625" style="224"/>
    <col min="6667" max="6667" width="9" style="224" customWidth="1"/>
    <col min="6668" max="6912" width="9.140625" style="224"/>
    <col min="6913" max="6913" width="4.140625" style="224" customWidth="1"/>
    <col min="6914" max="6914" width="4.42578125" style="224" customWidth="1"/>
    <col min="6915" max="6915" width="44.140625" style="224" customWidth="1"/>
    <col min="6916" max="6916" width="6.28515625" style="224" customWidth="1"/>
    <col min="6917" max="6917" width="7.5703125" style="224" customWidth="1"/>
    <col min="6918" max="6918" width="9.5703125" style="224" customWidth="1"/>
    <col min="6919" max="6919" width="13.28515625" style="224" customWidth="1"/>
    <col min="6920" max="6920" width="9.85546875" style="224" customWidth="1"/>
    <col min="6921" max="6921" width="2.5703125" style="224" bestFit="1" customWidth="1"/>
    <col min="6922" max="6922" width="9.140625" style="224"/>
    <col min="6923" max="6923" width="9" style="224" customWidth="1"/>
    <col min="6924" max="7168" width="9.140625" style="224"/>
    <col min="7169" max="7169" width="4.140625" style="224" customWidth="1"/>
    <col min="7170" max="7170" width="4.42578125" style="224" customWidth="1"/>
    <col min="7171" max="7171" width="44.140625" style="224" customWidth="1"/>
    <col min="7172" max="7172" width="6.28515625" style="224" customWidth="1"/>
    <col min="7173" max="7173" width="7.5703125" style="224" customWidth="1"/>
    <col min="7174" max="7174" width="9.5703125" style="224" customWidth="1"/>
    <col min="7175" max="7175" width="13.28515625" style="224" customWidth="1"/>
    <col min="7176" max="7176" width="9.85546875" style="224" customWidth="1"/>
    <col min="7177" max="7177" width="2.5703125" style="224" bestFit="1" customWidth="1"/>
    <col min="7178" max="7178" width="9.140625" style="224"/>
    <col min="7179" max="7179" width="9" style="224" customWidth="1"/>
    <col min="7180" max="7424" width="9.140625" style="224"/>
    <col min="7425" max="7425" width="4.140625" style="224" customWidth="1"/>
    <col min="7426" max="7426" width="4.42578125" style="224" customWidth="1"/>
    <col min="7427" max="7427" width="44.140625" style="224" customWidth="1"/>
    <col min="7428" max="7428" width="6.28515625" style="224" customWidth="1"/>
    <col min="7429" max="7429" width="7.5703125" style="224" customWidth="1"/>
    <col min="7430" max="7430" width="9.5703125" style="224" customWidth="1"/>
    <col min="7431" max="7431" width="13.28515625" style="224" customWidth="1"/>
    <col min="7432" max="7432" width="9.85546875" style="224" customWidth="1"/>
    <col min="7433" max="7433" width="2.5703125" style="224" bestFit="1" customWidth="1"/>
    <col min="7434" max="7434" width="9.140625" style="224"/>
    <col min="7435" max="7435" width="9" style="224" customWidth="1"/>
    <col min="7436" max="7680" width="9.140625" style="224"/>
    <col min="7681" max="7681" width="4.140625" style="224" customWidth="1"/>
    <col min="7682" max="7682" width="4.42578125" style="224" customWidth="1"/>
    <col min="7683" max="7683" width="44.140625" style="224" customWidth="1"/>
    <col min="7684" max="7684" width="6.28515625" style="224" customWidth="1"/>
    <col min="7685" max="7685" width="7.5703125" style="224" customWidth="1"/>
    <col min="7686" max="7686" width="9.5703125" style="224" customWidth="1"/>
    <col min="7687" max="7687" width="13.28515625" style="224" customWidth="1"/>
    <col min="7688" max="7688" width="9.85546875" style="224" customWidth="1"/>
    <col min="7689" max="7689" width="2.5703125" style="224" bestFit="1" customWidth="1"/>
    <col min="7690" max="7690" width="9.140625" style="224"/>
    <col min="7691" max="7691" width="9" style="224" customWidth="1"/>
    <col min="7692" max="7936" width="9.140625" style="224"/>
    <col min="7937" max="7937" width="4.140625" style="224" customWidth="1"/>
    <col min="7938" max="7938" width="4.42578125" style="224" customWidth="1"/>
    <col min="7939" max="7939" width="44.140625" style="224" customWidth="1"/>
    <col min="7940" max="7940" width="6.28515625" style="224" customWidth="1"/>
    <col min="7941" max="7941" width="7.5703125" style="224" customWidth="1"/>
    <col min="7942" max="7942" width="9.5703125" style="224" customWidth="1"/>
    <col min="7943" max="7943" width="13.28515625" style="224" customWidth="1"/>
    <col min="7944" max="7944" width="9.85546875" style="224" customWidth="1"/>
    <col min="7945" max="7945" width="2.5703125" style="224" bestFit="1" customWidth="1"/>
    <col min="7946" max="7946" width="9.140625" style="224"/>
    <col min="7947" max="7947" width="9" style="224" customWidth="1"/>
    <col min="7948" max="8192" width="9.140625" style="224"/>
    <col min="8193" max="8193" width="4.140625" style="224" customWidth="1"/>
    <col min="8194" max="8194" width="4.42578125" style="224" customWidth="1"/>
    <col min="8195" max="8195" width="44.140625" style="224" customWidth="1"/>
    <col min="8196" max="8196" width="6.28515625" style="224" customWidth="1"/>
    <col min="8197" max="8197" width="7.5703125" style="224" customWidth="1"/>
    <col min="8198" max="8198" width="9.5703125" style="224" customWidth="1"/>
    <col min="8199" max="8199" width="13.28515625" style="224" customWidth="1"/>
    <col min="8200" max="8200" width="9.85546875" style="224" customWidth="1"/>
    <col min="8201" max="8201" width="2.5703125" style="224" bestFit="1" customWidth="1"/>
    <col min="8202" max="8202" width="9.140625" style="224"/>
    <col min="8203" max="8203" width="9" style="224" customWidth="1"/>
    <col min="8204" max="8448" width="9.140625" style="224"/>
    <col min="8449" max="8449" width="4.140625" style="224" customWidth="1"/>
    <col min="8450" max="8450" width="4.42578125" style="224" customWidth="1"/>
    <col min="8451" max="8451" width="44.140625" style="224" customWidth="1"/>
    <col min="8452" max="8452" width="6.28515625" style="224" customWidth="1"/>
    <col min="8453" max="8453" width="7.5703125" style="224" customWidth="1"/>
    <col min="8454" max="8454" width="9.5703125" style="224" customWidth="1"/>
    <col min="8455" max="8455" width="13.28515625" style="224" customWidth="1"/>
    <col min="8456" max="8456" width="9.85546875" style="224" customWidth="1"/>
    <col min="8457" max="8457" width="2.5703125" style="224" bestFit="1" customWidth="1"/>
    <col min="8458" max="8458" width="9.140625" style="224"/>
    <col min="8459" max="8459" width="9" style="224" customWidth="1"/>
    <col min="8460" max="8704" width="9.140625" style="224"/>
    <col min="8705" max="8705" width="4.140625" style="224" customWidth="1"/>
    <col min="8706" max="8706" width="4.42578125" style="224" customWidth="1"/>
    <col min="8707" max="8707" width="44.140625" style="224" customWidth="1"/>
    <col min="8708" max="8708" width="6.28515625" style="224" customWidth="1"/>
    <col min="8709" max="8709" width="7.5703125" style="224" customWidth="1"/>
    <col min="8710" max="8710" width="9.5703125" style="224" customWidth="1"/>
    <col min="8711" max="8711" width="13.28515625" style="224" customWidth="1"/>
    <col min="8712" max="8712" width="9.85546875" style="224" customWidth="1"/>
    <col min="8713" max="8713" width="2.5703125" style="224" bestFit="1" customWidth="1"/>
    <col min="8714" max="8714" width="9.140625" style="224"/>
    <col min="8715" max="8715" width="9" style="224" customWidth="1"/>
    <col min="8716" max="8960" width="9.140625" style="224"/>
    <col min="8961" max="8961" width="4.140625" style="224" customWidth="1"/>
    <col min="8962" max="8962" width="4.42578125" style="224" customWidth="1"/>
    <col min="8963" max="8963" width="44.140625" style="224" customWidth="1"/>
    <col min="8964" max="8964" width="6.28515625" style="224" customWidth="1"/>
    <col min="8965" max="8965" width="7.5703125" style="224" customWidth="1"/>
    <col min="8966" max="8966" width="9.5703125" style="224" customWidth="1"/>
    <col min="8967" max="8967" width="13.28515625" style="224" customWidth="1"/>
    <col min="8968" max="8968" width="9.85546875" style="224" customWidth="1"/>
    <col min="8969" max="8969" width="2.5703125" style="224" bestFit="1" customWidth="1"/>
    <col min="8970" max="8970" width="9.140625" style="224"/>
    <col min="8971" max="8971" width="9" style="224" customWidth="1"/>
    <col min="8972" max="9216" width="9.140625" style="224"/>
    <col min="9217" max="9217" width="4.140625" style="224" customWidth="1"/>
    <col min="9218" max="9218" width="4.42578125" style="224" customWidth="1"/>
    <col min="9219" max="9219" width="44.140625" style="224" customWidth="1"/>
    <col min="9220" max="9220" width="6.28515625" style="224" customWidth="1"/>
    <col min="9221" max="9221" width="7.5703125" style="224" customWidth="1"/>
    <col min="9222" max="9222" width="9.5703125" style="224" customWidth="1"/>
    <col min="9223" max="9223" width="13.28515625" style="224" customWidth="1"/>
    <col min="9224" max="9224" width="9.85546875" style="224" customWidth="1"/>
    <col min="9225" max="9225" width="2.5703125" style="224" bestFit="1" customWidth="1"/>
    <col min="9226" max="9226" width="9.140625" style="224"/>
    <col min="9227" max="9227" width="9" style="224" customWidth="1"/>
    <col min="9228" max="9472" width="9.140625" style="224"/>
    <col min="9473" max="9473" width="4.140625" style="224" customWidth="1"/>
    <col min="9474" max="9474" width="4.42578125" style="224" customWidth="1"/>
    <col min="9475" max="9475" width="44.140625" style="224" customWidth="1"/>
    <col min="9476" max="9476" width="6.28515625" style="224" customWidth="1"/>
    <col min="9477" max="9477" width="7.5703125" style="224" customWidth="1"/>
    <col min="9478" max="9478" width="9.5703125" style="224" customWidth="1"/>
    <col min="9479" max="9479" width="13.28515625" style="224" customWidth="1"/>
    <col min="9480" max="9480" width="9.85546875" style="224" customWidth="1"/>
    <col min="9481" max="9481" width="2.5703125" style="224" bestFit="1" customWidth="1"/>
    <col min="9482" max="9482" width="9.140625" style="224"/>
    <col min="9483" max="9483" width="9" style="224" customWidth="1"/>
    <col min="9484" max="9728" width="9.140625" style="224"/>
    <col min="9729" max="9729" width="4.140625" style="224" customWidth="1"/>
    <col min="9730" max="9730" width="4.42578125" style="224" customWidth="1"/>
    <col min="9731" max="9731" width="44.140625" style="224" customWidth="1"/>
    <col min="9732" max="9732" width="6.28515625" style="224" customWidth="1"/>
    <col min="9733" max="9733" width="7.5703125" style="224" customWidth="1"/>
    <col min="9734" max="9734" width="9.5703125" style="224" customWidth="1"/>
    <col min="9735" max="9735" width="13.28515625" style="224" customWidth="1"/>
    <col min="9736" max="9736" width="9.85546875" style="224" customWidth="1"/>
    <col min="9737" max="9737" width="2.5703125" style="224" bestFit="1" customWidth="1"/>
    <col min="9738" max="9738" width="9.140625" style="224"/>
    <col min="9739" max="9739" width="9" style="224" customWidth="1"/>
    <col min="9740" max="9984" width="9.140625" style="224"/>
    <col min="9985" max="9985" width="4.140625" style="224" customWidth="1"/>
    <col min="9986" max="9986" width="4.42578125" style="224" customWidth="1"/>
    <col min="9987" max="9987" width="44.140625" style="224" customWidth="1"/>
    <col min="9988" max="9988" width="6.28515625" style="224" customWidth="1"/>
    <col min="9989" max="9989" width="7.5703125" style="224" customWidth="1"/>
    <col min="9990" max="9990" width="9.5703125" style="224" customWidth="1"/>
    <col min="9991" max="9991" width="13.28515625" style="224" customWidth="1"/>
    <col min="9992" max="9992" width="9.85546875" style="224" customWidth="1"/>
    <col min="9993" max="9993" width="2.5703125" style="224" bestFit="1" customWidth="1"/>
    <col min="9994" max="9994" width="9.140625" style="224"/>
    <col min="9995" max="9995" width="9" style="224" customWidth="1"/>
    <col min="9996" max="10240" width="9.140625" style="224"/>
    <col min="10241" max="10241" width="4.140625" style="224" customWidth="1"/>
    <col min="10242" max="10242" width="4.42578125" style="224" customWidth="1"/>
    <col min="10243" max="10243" width="44.140625" style="224" customWidth="1"/>
    <col min="10244" max="10244" width="6.28515625" style="224" customWidth="1"/>
    <col min="10245" max="10245" width="7.5703125" style="224" customWidth="1"/>
    <col min="10246" max="10246" width="9.5703125" style="224" customWidth="1"/>
    <col min="10247" max="10247" width="13.28515625" style="224" customWidth="1"/>
    <col min="10248" max="10248" width="9.85546875" style="224" customWidth="1"/>
    <col min="10249" max="10249" width="2.5703125" style="224" bestFit="1" customWidth="1"/>
    <col min="10250" max="10250" width="9.140625" style="224"/>
    <col min="10251" max="10251" width="9" style="224" customWidth="1"/>
    <col min="10252" max="10496" width="9.140625" style="224"/>
    <col min="10497" max="10497" width="4.140625" style="224" customWidth="1"/>
    <col min="10498" max="10498" width="4.42578125" style="224" customWidth="1"/>
    <col min="10499" max="10499" width="44.140625" style="224" customWidth="1"/>
    <col min="10500" max="10500" width="6.28515625" style="224" customWidth="1"/>
    <col min="10501" max="10501" width="7.5703125" style="224" customWidth="1"/>
    <col min="10502" max="10502" width="9.5703125" style="224" customWidth="1"/>
    <col min="10503" max="10503" width="13.28515625" style="224" customWidth="1"/>
    <col min="10504" max="10504" width="9.85546875" style="224" customWidth="1"/>
    <col min="10505" max="10505" width="2.5703125" style="224" bestFit="1" customWidth="1"/>
    <col min="10506" max="10506" width="9.140625" style="224"/>
    <col min="10507" max="10507" width="9" style="224" customWidth="1"/>
    <col min="10508" max="10752" width="9.140625" style="224"/>
    <col min="10753" max="10753" width="4.140625" style="224" customWidth="1"/>
    <col min="10754" max="10754" width="4.42578125" style="224" customWidth="1"/>
    <col min="10755" max="10755" width="44.140625" style="224" customWidth="1"/>
    <col min="10756" max="10756" width="6.28515625" style="224" customWidth="1"/>
    <col min="10757" max="10757" width="7.5703125" style="224" customWidth="1"/>
    <col min="10758" max="10758" width="9.5703125" style="224" customWidth="1"/>
    <col min="10759" max="10759" width="13.28515625" style="224" customWidth="1"/>
    <col min="10760" max="10760" width="9.85546875" style="224" customWidth="1"/>
    <col min="10761" max="10761" width="2.5703125" style="224" bestFit="1" customWidth="1"/>
    <col min="10762" max="10762" width="9.140625" style="224"/>
    <col min="10763" max="10763" width="9" style="224" customWidth="1"/>
    <col min="10764" max="11008" width="9.140625" style="224"/>
    <col min="11009" max="11009" width="4.140625" style="224" customWidth="1"/>
    <col min="11010" max="11010" width="4.42578125" style="224" customWidth="1"/>
    <col min="11011" max="11011" width="44.140625" style="224" customWidth="1"/>
    <col min="11012" max="11012" width="6.28515625" style="224" customWidth="1"/>
    <col min="11013" max="11013" width="7.5703125" style="224" customWidth="1"/>
    <col min="11014" max="11014" width="9.5703125" style="224" customWidth="1"/>
    <col min="11015" max="11015" width="13.28515625" style="224" customWidth="1"/>
    <col min="11016" max="11016" width="9.85546875" style="224" customWidth="1"/>
    <col min="11017" max="11017" width="2.5703125" style="224" bestFit="1" customWidth="1"/>
    <col min="11018" max="11018" width="9.140625" style="224"/>
    <col min="11019" max="11019" width="9" style="224" customWidth="1"/>
    <col min="11020" max="11264" width="9.140625" style="224"/>
    <col min="11265" max="11265" width="4.140625" style="224" customWidth="1"/>
    <col min="11266" max="11266" width="4.42578125" style="224" customWidth="1"/>
    <col min="11267" max="11267" width="44.140625" style="224" customWidth="1"/>
    <col min="11268" max="11268" width="6.28515625" style="224" customWidth="1"/>
    <col min="11269" max="11269" width="7.5703125" style="224" customWidth="1"/>
    <col min="11270" max="11270" width="9.5703125" style="224" customWidth="1"/>
    <col min="11271" max="11271" width="13.28515625" style="224" customWidth="1"/>
    <col min="11272" max="11272" width="9.85546875" style="224" customWidth="1"/>
    <col min="11273" max="11273" width="2.5703125" style="224" bestFit="1" customWidth="1"/>
    <col min="11274" max="11274" width="9.140625" style="224"/>
    <col min="11275" max="11275" width="9" style="224" customWidth="1"/>
    <col min="11276" max="11520" width="9.140625" style="224"/>
    <col min="11521" max="11521" width="4.140625" style="224" customWidth="1"/>
    <col min="11522" max="11522" width="4.42578125" style="224" customWidth="1"/>
    <col min="11523" max="11523" width="44.140625" style="224" customWidth="1"/>
    <col min="11524" max="11524" width="6.28515625" style="224" customWidth="1"/>
    <col min="11525" max="11525" width="7.5703125" style="224" customWidth="1"/>
    <col min="11526" max="11526" width="9.5703125" style="224" customWidth="1"/>
    <col min="11527" max="11527" width="13.28515625" style="224" customWidth="1"/>
    <col min="11528" max="11528" width="9.85546875" style="224" customWidth="1"/>
    <col min="11529" max="11529" width="2.5703125" style="224" bestFit="1" customWidth="1"/>
    <col min="11530" max="11530" width="9.140625" style="224"/>
    <col min="11531" max="11531" width="9" style="224" customWidth="1"/>
    <col min="11532" max="11776" width="9.140625" style="224"/>
    <col min="11777" max="11777" width="4.140625" style="224" customWidth="1"/>
    <col min="11778" max="11778" width="4.42578125" style="224" customWidth="1"/>
    <col min="11779" max="11779" width="44.140625" style="224" customWidth="1"/>
    <col min="11780" max="11780" width="6.28515625" style="224" customWidth="1"/>
    <col min="11781" max="11781" width="7.5703125" style="224" customWidth="1"/>
    <col min="11782" max="11782" width="9.5703125" style="224" customWidth="1"/>
    <col min="11783" max="11783" width="13.28515625" style="224" customWidth="1"/>
    <col min="11784" max="11784" width="9.85546875" style="224" customWidth="1"/>
    <col min="11785" max="11785" width="2.5703125" style="224" bestFit="1" customWidth="1"/>
    <col min="11786" max="11786" width="9.140625" style="224"/>
    <col min="11787" max="11787" width="9" style="224" customWidth="1"/>
    <col min="11788" max="12032" width="9.140625" style="224"/>
    <col min="12033" max="12033" width="4.140625" style="224" customWidth="1"/>
    <col min="12034" max="12034" width="4.42578125" style="224" customWidth="1"/>
    <col min="12035" max="12035" width="44.140625" style="224" customWidth="1"/>
    <col min="12036" max="12036" width="6.28515625" style="224" customWidth="1"/>
    <col min="12037" max="12037" width="7.5703125" style="224" customWidth="1"/>
    <col min="12038" max="12038" width="9.5703125" style="224" customWidth="1"/>
    <col min="12039" max="12039" width="13.28515625" style="224" customWidth="1"/>
    <col min="12040" max="12040" width="9.85546875" style="224" customWidth="1"/>
    <col min="12041" max="12041" width="2.5703125" style="224" bestFit="1" customWidth="1"/>
    <col min="12042" max="12042" width="9.140625" style="224"/>
    <col min="12043" max="12043" width="9" style="224" customWidth="1"/>
    <col min="12044" max="12288" width="9.140625" style="224"/>
    <col min="12289" max="12289" width="4.140625" style="224" customWidth="1"/>
    <col min="12290" max="12290" width="4.42578125" style="224" customWidth="1"/>
    <col min="12291" max="12291" width="44.140625" style="224" customWidth="1"/>
    <col min="12292" max="12292" width="6.28515625" style="224" customWidth="1"/>
    <col min="12293" max="12293" width="7.5703125" style="224" customWidth="1"/>
    <col min="12294" max="12294" width="9.5703125" style="224" customWidth="1"/>
    <col min="12295" max="12295" width="13.28515625" style="224" customWidth="1"/>
    <col min="12296" max="12296" width="9.85546875" style="224" customWidth="1"/>
    <col min="12297" max="12297" width="2.5703125" style="224" bestFit="1" customWidth="1"/>
    <col min="12298" max="12298" width="9.140625" style="224"/>
    <col min="12299" max="12299" width="9" style="224" customWidth="1"/>
    <col min="12300" max="12544" width="9.140625" style="224"/>
    <col min="12545" max="12545" width="4.140625" style="224" customWidth="1"/>
    <col min="12546" max="12546" width="4.42578125" style="224" customWidth="1"/>
    <col min="12547" max="12547" width="44.140625" style="224" customWidth="1"/>
    <col min="12548" max="12548" width="6.28515625" style="224" customWidth="1"/>
    <col min="12549" max="12549" width="7.5703125" style="224" customWidth="1"/>
    <col min="12550" max="12550" width="9.5703125" style="224" customWidth="1"/>
    <col min="12551" max="12551" width="13.28515625" style="224" customWidth="1"/>
    <col min="12552" max="12552" width="9.85546875" style="224" customWidth="1"/>
    <col min="12553" max="12553" width="2.5703125" style="224" bestFit="1" customWidth="1"/>
    <col min="12554" max="12554" width="9.140625" style="224"/>
    <col min="12555" max="12555" width="9" style="224" customWidth="1"/>
    <col min="12556" max="12800" width="9.140625" style="224"/>
    <col min="12801" max="12801" width="4.140625" style="224" customWidth="1"/>
    <col min="12802" max="12802" width="4.42578125" style="224" customWidth="1"/>
    <col min="12803" max="12803" width="44.140625" style="224" customWidth="1"/>
    <col min="12804" max="12804" width="6.28515625" style="224" customWidth="1"/>
    <col min="12805" max="12805" width="7.5703125" style="224" customWidth="1"/>
    <col min="12806" max="12806" width="9.5703125" style="224" customWidth="1"/>
    <col min="12807" max="12807" width="13.28515625" style="224" customWidth="1"/>
    <col min="12808" max="12808" width="9.85546875" style="224" customWidth="1"/>
    <col min="12809" max="12809" width="2.5703125" style="224" bestFit="1" customWidth="1"/>
    <col min="12810" max="12810" width="9.140625" style="224"/>
    <col min="12811" max="12811" width="9" style="224" customWidth="1"/>
    <col min="12812" max="13056" width="9.140625" style="224"/>
    <col min="13057" max="13057" width="4.140625" style="224" customWidth="1"/>
    <col min="13058" max="13058" width="4.42578125" style="224" customWidth="1"/>
    <col min="13059" max="13059" width="44.140625" style="224" customWidth="1"/>
    <col min="13060" max="13060" width="6.28515625" style="224" customWidth="1"/>
    <col min="13061" max="13061" width="7.5703125" style="224" customWidth="1"/>
    <col min="13062" max="13062" width="9.5703125" style="224" customWidth="1"/>
    <col min="13063" max="13063" width="13.28515625" style="224" customWidth="1"/>
    <col min="13064" max="13064" width="9.85546875" style="224" customWidth="1"/>
    <col min="13065" max="13065" width="2.5703125" style="224" bestFit="1" customWidth="1"/>
    <col min="13066" max="13066" width="9.140625" style="224"/>
    <col min="13067" max="13067" width="9" style="224" customWidth="1"/>
    <col min="13068" max="13312" width="9.140625" style="224"/>
    <col min="13313" max="13313" width="4.140625" style="224" customWidth="1"/>
    <col min="13314" max="13314" width="4.42578125" style="224" customWidth="1"/>
    <col min="13315" max="13315" width="44.140625" style="224" customWidth="1"/>
    <col min="13316" max="13316" width="6.28515625" style="224" customWidth="1"/>
    <col min="13317" max="13317" width="7.5703125" style="224" customWidth="1"/>
    <col min="13318" max="13318" width="9.5703125" style="224" customWidth="1"/>
    <col min="13319" max="13319" width="13.28515625" style="224" customWidth="1"/>
    <col min="13320" max="13320" width="9.85546875" style="224" customWidth="1"/>
    <col min="13321" max="13321" width="2.5703125" style="224" bestFit="1" customWidth="1"/>
    <col min="13322" max="13322" width="9.140625" style="224"/>
    <col min="13323" max="13323" width="9" style="224" customWidth="1"/>
    <col min="13324" max="13568" width="9.140625" style="224"/>
    <col min="13569" max="13569" width="4.140625" style="224" customWidth="1"/>
    <col min="13570" max="13570" width="4.42578125" style="224" customWidth="1"/>
    <col min="13571" max="13571" width="44.140625" style="224" customWidth="1"/>
    <col min="13572" max="13572" width="6.28515625" style="224" customWidth="1"/>
    <col min="13573" max="13573" width="7.5703125" style="224" customWidth="1"/>
    <col min="13574" max="13574" width="9.5703125" style="224" customWidth="1"/>
    <col min="13575" max="13575" width="13.28515625" style="224" customWidth="1"/>
    <col min="13576" max="13576" width="9.85546875" style="224" customWidth="1"/>
    <col min="13577" max="13577" width="2.5703125" style="224" bestFit="1" customWidth="1"/>
    <col min="13578" max="13578" width="9.140625" style="224"/>
    <col min="13579" max="13579" width="9" style="224" customWidth="1"/>
    <col min="13580" max="13824" width="9.140625" style="224"/>
    <col min="13825" max="13825" width="4.140625" style="224" customWidth="1"/>
    <col min="13826" max="13826" width="4.42578125" style="224" customWidth="1"/>
    <col min="13827" max="13827" width="44.140625" style="224" customWidth="1"/>
    <col min="13828" max="13828" width="6.28515625" style="224" customWidth="1"/>
    <col min="13829" max="13829" width="7.5703125" style="224" customWidth="1"/>
    <col min="13830" max="13830" width="9.5703125" style="224" customWidth="1"/>
    <col min="13831" max="13831" width="13.28515625" style="224" customWidth="1"/>
    <col min="13832" max="13832" width="9.85546875" style="224" customWidth="1"/>
    <col min="13833" max="13833" width="2.5703125" style="224" bestFit="1" customWidth="1"/>
    <col min="13834" max="13834" width="9.140625" style="224"/>
    <col min="13835" max="13835" width="9" style="224" customWidth="1"/>
    <col min="13836" max="14080" width="9.140625" style="224"/>
    <col min="14081" max="14081" width="4.140625" style="224" customWidth="1"/>
    <col min="14082" max="14082" width="4.42578125" style="224" customWidth="1"/>
    <col min="14083" max="14083" width="44.140625" style="224" customWidth="1"/>
    <col min="14084" max="14084" width="6.28515625" style="224" customWidth="1"/>
    <col min="14085" max="14085" width="7.5703125" style="224" customWidth="1"/>
    <col min="14086" max="14086" width="9.5703125" style="224" customWidth="1"/>
    <col min="14087" max="14087" width="13.28515625" style="224" customWidth="1"/>
    <col min="14088" max="14088" width="9.85546875" style="224" customWidth="1"/>
    <col min="14089" max="14089" width="2.5703125" style="224" bestFit="1" customWidth="1"/>
    <col min="14090" max="14090" width="9.140625" style="224"/>
    <col min="14091" max="14091" width="9" style="224" customWidth="1"/>
    <col min="14092" max="14336" width="9.140625" style="224"/>
    <col min="14337" max="14337" width="4.140625" style="224" customWidth="1"/>
    <col min="14338" max="14338" width="4.42578125" style="224" customWidth="1"/>
    <col min="14339" max="14339" width="44.140625" style="224" customWidth="1"/>
    <col min="14340" max="14340" width="6.28515625" style="224" customWidth="1"/>
    <col min="14341" max="14341" width="7.5703125" style="224" customWidth="1"/>
    <col min="14342" max="14342" width="9.5703125" style="224" customWidth="1"/>
    <col min="14343" max="14343" width="13.28515625" style="224" customWidth="1"/>
    <col min="14344" max="14344" width="9.85546875" style="224" customWidth="1"/>
    <col min="14345" max="14345" width="2.5703125" style="224" bestFit="1" customWidth="1"/>
    <col min="14346" max="14346" width="9.140625" style="224"/>
    <col min="14347" max="14347" width="9" style="224" customWidth="1"/>
    <col min="14348" max="14592" width="9.140625" style="224"/>
    <col min="14593" max="14593" width="4.140625" style="224" customWidth="1"/>
    <col min="14594" max="14594" width="4.42578125" style="224" customWidth="1"/>
    <col min="14595" max="14595" width="44.140625" style="224" customWidth="1"/>
    <col min="14596" max="14596" width="6.28515625" style="224" customWidth="1"/>
    <col min="14597" max="14597" width="7.5703125" style="224" customWidth="1"/>
    <col min="14598" max="14598" width="9.5703125" style="224" customWidth="1"/>
    <col min="14599" max="14599" width="13.28515625" style="224" customWidth="1"/>
    <col min="14600" max="14600" width="9.85546875" style="224" customWidth="1"/>
    <col min="14601" max="14601" width="2.5703125" style="224" bestFit="1" customWidth="1"/>
    <col min="14602" max="14602" width="9.140625" style="224"/>
    <col min="14603" max="14603" width="9" style="224" customWidth="1"/>
    <col min="14604" max="14848" width="9.140625" style="224"/>
    <col min="14849" max="14849" width="4.140625" style="224" customWidth="1"/>
    <col min="14850" max="14850" width="4.42578125" style="224" customWidth="1"/>
    <col min="14851" max="14851" width="44.140625" style="224" customWidth="1"/>
    <col min="14852" max="14852" width="6.28515625" style="224" customWidth="1"/>
    <col min="14853" max="14853" width="7.5703125" style="224" customWidth="1"/>
    <col min="14854" max="14854" width="9.5703125" style="224" customWidth="1"/>
    <col min="14855" max="14855" width="13.28515625" style="224" customWidth="1"/>
    <col min="14856" max="14856" width="9.85546875" style="224" customWidth="1"/>
    <col min="14857" max="14857" width="2.5703125" style="224" bestFit="1" customWidth="1"/>
    <col min="14858" max="14858" width="9.140625" style="224"/>
    <col min="14859" max="14859" width="9" style="224" customWidth="1"/>
    <col min="14860" max="15104" width="9.140625" style="224"/>
    <col min="15105" max="15105" width="4.140625" style="224" customWidth="1"/>
    <col min="15106" max="15106" width="4.42578125" style="224" customWidth="1"/>
    <col min="15107" max="15107" width="44.140625" style="224" customWidth="1"/>
    <col min="15108" max="15108" width="6.28515625" style="224" customWidth="1"/>
    <col min="15109" max="15109" width="7.5703125" style="224" customWidth="1"/>
    <col min="15110" max="15110" width="9.5703125" style="224" customWidth="1"/>
    <col min="15111" max="15111" width="13.28515625" style="224" customWidth="1"/>
    <col min="15112" max="15112" width="9.85546875" style="224" customWidth="1"/>
    <col min="15113" max="15113" width="2.5703125" style="224" bestFit="1" customWidth="1"/>
    <col min="15114" max="15114" width="9.140625" style="224"/>
    <col min="15115" max="15115" width="9" style="224" customWidth="1"/>
    <col min="15116" max="15360" width="9.140625" style="224"/>
    <col min="15361" max="15361" width="4.140625" style="224" customWidth="1"/>
    <col min="15362" max="15362" width="4.42578125" style="224" customWidth="1"/>
    <col min="15363" max="15363" width="44.140625" style="224" customWidth="1"/>
    <col min="15364" max="15364" width="6.28515625" style="224" customWidth="1"/>
    <col min="15365" max="15365" width="7.5703125" style="224" customWidth="1"/>
    <col min="15366" max="15366" width="9.5703125" style="224" customWidth="1"/>
    <col min="15367" max="15367" width="13.28515625" style="224" customWidth="1"/>
    <col min="15368" max="15368" width="9.85546875" style="224" customWidth="1"/>
    <col min="15369" max="15369" width="2.5703125" style="224" bestFit="1" customWidth="1"/>
    <col min="15370" max="15370" width="9.140625" style="224"/>
    <col min="15371" max="15371" width="9" style="224" customWidth="1"/>
    <col min="15372" max="15616" width="9.140625" style="224"/>
    <col min="15617" max="15617" width="4.140625" style="224" customWidth="1"/>
    <col min="15618" max="15618" width="4.42578125" style="224" customWidth="1"/>
    <col min="15619" max="15619" width="44.140625" style="224" customWidth="1"/>
    <col min="15620" max="15620" width="6.28515625" style="224" customWidth="1"/>
    <col min="15621" max="15621" width="7.5703125" style="224" customWidth="1"/>
    <col min="15622" max="15622" width="9.5703125" style="224" customWidth="1"/>
    <col min="15623" max="15623" width="13.28515625" style="224" customWidth="1"/>
    <col min="15624" max="15624" width="9.85546875" style="224" customWidth="1"/>
    <col min="15625" max="15625" width="2.5703125" style="224" bestFit="1" customWidth="1"/>
    <col min="15626" max="15626" width="9.140625" style="224"/>
    <col min="15627" max="15627" width="9" style="224" customWidth="1"/>
    <col min="15628" max="15872" width="9.140625" style="224"/>
    <col min="15873" max="15873" width="4.140625" style="224" customWidth="1"/>
    <col min="15874" max="15874" width="4.42578125" style="224" customWidth="1"/>
    <col min="15875" max="15875" width="44.140625" style="224" customWidth="1"/>
    <col min="15876" max="15876" width="6.28515625" style="224" customWidth="1"/>
    <col min="15877" max="15877" width="7.5703125" style="224" customWidth="1"/>
    <col min="15878" max="15878" width="9.5703125" style="224" customWidth="1"/>
    <col min="15879" max="15879" width="13.28515625" style="224" customWidth="1"/>
    <col min="15880" max="15880" width="9.85546875" style="224" customWidth="1"/>
    <col min="15881" max="15881" width="2.5703125" style="224" bestFit="1" customWidth="1"/>
    <col min="15882" max="15882" width="9.140625" style="224"/>
    <col min="15883" max="15883" width="9" style="224" customWidth="1"/>
    <col min="15884" max="16128" width="9.140625" style="224"/>
    <col min="16129" max="16129" width="4.140625" style="224" customWidth="1"/>
    <col min="16130" max="16130" width="4.42578125" style="224" customWidth="1"/>
    <col min="16131" max="16131" width="44.140625" style="224" customWidth="1"/>
    <col min="16132" max="16132" width="6.28515625" style="224" customWidth="1"/>
    <col min="16133" max="16133" width="7.5703125" style="224" customWidth="1"/>
    <col min="16134" max="16134" width="9.5703125" style="224" customWidth="1"/>
    <col min="16135" max="16135" width="13.28515625" style="224" customWidth="1"/>
    <col min="16136" max="16136" width="9.85546875" style="224" customWidth="1"/>
    <col min="16137" max="16137" width="2.5703125" style="224" bestFit="1" customWidth="1"/>
    <col min="16138" max="16138" width="9.140625" style="224"/>
    <col min="16139" max="16139" width="9" style="224" customWidth="1"/>
    <col min="16140" max="16384" width="9.140625" style="224"/>
  </cols>
  <sheetData>
    <row r="1" spans="1:11" s="213" customFormat="1" ht="18" x14ac:dyDescent="0.25">
      <c r="A1" s="753"/>
      <c r="B1" s="757"/>
      <c r="C1" s="753"/>
      <c r="E1" s="754"/>
      <c r="F1" s="1954"/>
      <c r="G1" s="755"/>
      <c r="H1" s="756"/>
    </row>
    <row r="2" spans="1:11" s="330" customFormat="1" ht="18" x14ac:dyDescent="0.25">
      <c r="A2" s="819" t="s">
        <v>1054</v>
      </c>
      <c r="B2" s="758"/>
      <c r="C2" s="759" t="s">
        <v>1429</v>
      </c>
      <c r="E2" s="760"/>
      <c r="F2" s="1955"/>
      <c r="G2" s="761"/>
      <c r="H2" s="762"/>
    </row>
    <row r="3" spans="1:11" ht="14.25" customHeight="1" x14ac:dyDescent="0.25">
      <c r="A3" s="763" t="s">
        <v>561</v>
      </c>
      <c r="B3" s="763"/>
      <c r="C3" s="818" t="s">
        <v>1324</v>
      </c>
      <c r="H3" s="2049"/>
    </row>
    <row r="4" spans="1:11" x14ac:dyDescent="0.25">
      <c r="C4" s="766"/>
      <c r="D4" s="763"/>
      <c r="E4" s="763"/>
      <c r="F4" s="1957"/>
      <c r="G4" s="763"/>
      <c r="H4" s="2049"/>
    </row>
    <row r="5" spans="1:11" ht="12.75" customHeight="1" x14ac:dyDescent="0.25">
      <c r="A5" s="763" t="s">
        <v>63</v>
      </c>
      <c r="B5" s="763"/>
      <c r="C5" s="766"/>
      <c r="D5" s="763"/>
      <c r="E5" s="763"/>
      <c r="F5" s="1957"/>
      <c r="G5" s="763"/>
      <c r="H5" s="767"/>
    </row>
    <row r="6" spans="1:11" s="230" customFormat="1" x14ac:dyDescent="0.25">
      <c r="A6" s="675" t="s">
        <v>26</v>
      </c>
      <c r="B6" s="675"/>
      <c r="C6" s="676" t="s">
        <v>27</v>
      </c>
      <c r="D6" s="675" t="s">
        <v>28</v>
      </c>
      <c r="E6" s="677" t="s">
        <v>29</v>
      </c>
      <c r="F6" s="1935" t="s">
        <v>30</v>
      </c>
      <c r="G6" s="678" t="s">
        <v>31</v>
      </c>
      <c r="H6" s="224"/>
      <c r="J6" s="231"/>
      <c r="K6" s="231"/>
    </row>
    <row r="7" spans="1:11" s="246" customFormat="1" ht="12" x14ac:dyDescent="0.25">
      <c r="A7" s="768"/>
      <c r="B7" s="769"/>
      <c r="C7" s="770"/>
      <c r="E7" s="771"/>
      <c r="F7" s="1957"/>
      <c r="G7" s="763"/>
    </row>
    <row r="8" spans="1:11" s="239" customFormat="1" ht="16.5" thickBot="1" x14ac:dyDescent="0.3">
      <c r="A8" s="342"/>
      <c r="B8" s="773" t="s">
        <v>20</v>
      </c>
      <c r="C8" s="236" t="s">
        <v>1011</v>
      </c>
      <c r="D8" s="680"/>
      <c r="E8" s="884"/>
      <c r="F8" s="1936"/>
      <c r="G8" s="682"/>
    </row>
    <row r="9" spans="1:11" x14ac:dyDescent="0.25">
      <c r="A9" s="240"/>
      <c r="B9" s="778"/>
      <c r="C9" s="233"/>
      <c r="D9" s="232"/>
      <c r="E9" s="885"/>
      <c r="F9" s="1938"/>
      <c r="G9" s="691"/>
    </row>
    <row r="10" spans="1:11" s="887" customFormat="1" ht="38.25" x14ac:dyDescent="0.2">
      <c r="A10" s="886">
        <v>1</v>
      </c>
      <c r="C10" s="888" t="s">
        <v>1389</v>
      </c>
      <c r="D10" s="705" t="s">
        <v>58</v>
      </c>
      <c r="E10" s="889">
        <v>1</v>
      </c>
      <c r="F10" s="1985"/>
      <c r="G10" s="783">
        <f>ROUND(F10*E10,2)</f>
        <v>0</v>
      </c>
    </row>
    <row r="11" spans="1:11" s="887" customFormat="1" x14ac:dyDescent="0.2">
      <c r="A11" s="886"/>
      <c r="C11" s="888"/>
      <c r="D11" s="890"/>
      <c r="E11" s="891"/>
      <c r="F11" s="1986"/>
      <c r="G11" s="892"/>
    </row>
    <row r="12" spans="1:11" s="887" customFormat="1" ht="63.75" x14ac:dyDescent="0.2">
      <c r="A12" s="886"/>
      <c r="C12" s="893" t="s">
        <v>1390</v>
      </c>
      <c r="D12" s="890"/>
      <c r="E12" s="891"/>
      <c r="F12" s="1986"/>
      <c r="G12" s="892"/>
    </row>
    <row r="13" spans="1:11" s="887" customFormat="1" ht="38.25" x14ac:dyDescent="0.2">
      <c r="A13" s="886"/>
      <c r="C13" s="894" t="s">
        <v>1391</v>
      </c>
      <c r="D13" s="890"/>
      <c r="E13" s="891"/>
      <c r="F13" s="1986"/>
      <c r="G13" s="892"/>
    </row>
    <row r="14" spans="1:11" s="887" customFormat="1" ht="63.75" x14ac:dyDescent="0.2">
      <c r="A14" s="886"/>
      <c r="C14" s="894" t="s">
        <v>1392</v>
      </c>
      <c r="D14" s="890"/>
      <c r="E14" s="891"/>
      <c r="F14" s="1986"/>
      <c r="G14" s="892"/>
    </row>
    <row r="15" spans="1:11" s="887" customFormat="1" ht="38.25" x14ac:dyDescent="0.2">
      <c r="A15" s="886"/>
      <c r="C15" s="894" t="s">
        <v>1393</v>
      </c>
      <c r="D15" s="890"/>
      <c r="E15" s="891"/>
      <c r="F15" s="1986"/>
      <c r="G15" s="892"/>
    </row>
    <row r="16" spans="1:11" s="887" customFormat="1" x14ac:dyDescent="0.2">
      <c r="A16" s="886"/>
      <c r="C16" s="894" t="s">
        <v>1394</v>
      </c>
      <c r="D16" s="890"/>
      <c r="E16" s="891"/>
      <c r="F16" s="1986"/>
      <c r="G16" s="892"/>
    </row>
    <row r="17" spans="1:7" s="887" customFormat="1" ht="25.5" x14ac:dyDescent="0.2">
      <c r="A17" s="886"/>
      <c r="C17" s="894" t="s">
        <v>1395</v>
      </c>
      <c r="D17" s="890"/>
      <c r="E17" s="891"/>
      <c r="F17" s="1986"/>
      <c r="G17" s="892"/>
    </row>
    <row r="18" spans="1:7" s="887" customFormat="1" x14ac:dyDescent="0.2">
      <c r="A18" s="886"/>
      <c r="C18" s="895" t="s">
        <v>1396</v>
      </c>
      <c r="D18" s="890"/>
      <c r="E18" s="891"/>
      <c r="F18" s="1986"/>
      <c r="G18" s="892"/>
    </row>
    <row r="19" spans="1:7" s="887" customFormat="1" ht="25.5" x14ac:dyDescent="0.2">
      <c r="A19" s="886"/>
      <c r="C19" s="895" t="s">
        <v>1397</v>
      </c>
      <c r="D19" s="890"/>
      <c r="E19" s="891"/>
      <c r="F19" s="1986"/>
      <c r="G19" s="892"/>
    </row>
    <row r="20" spans="1:7" s="887" customFormat="1" ht="25.5" x14ac:dyDescent="0.2">
      <c r="A20" s="886"/>
      <c r="C20" s="895" t="s">
        <v>1398</v>
      </c>
      <c r="D20" s="890"/>
      <c r="E20" s="891"/>
      <c r="F20" s="1986"/>
      <c r="G20" s="892"/>
    </row>
    <row r="21" spans="1:7" s="887" customFormat="1" ht="25.5" x14ac:dyDescent="0.2">
      <c r="A21" s="886"/>
      <c r="C21" s="894" t="s">
        <v>1399</v>
      </c>
      <c r="D21" s="890"/>
      <c r="E21" s="891"/>
      <c r="F21" s="1986"/>
      <c r="G21" s="892"/>
    </row>
    <row r="22" spans="1:7" s="887" customFormat="1" ht="13.5" customHeight="1" x14ac:dyDescent="0.2">
      <c r="A22" s="886"/>
      <c r="C22" s="895" t="s">
        <v>1400</v>
      </c>
      <c r="D22" s="890"/>
      <c r="E22" s="891"/>
      <c r="F22" s="1986"/>
      <c r="G22" s="892"/>
    </row>
    <row r="23" spans="1:7" s="887" customFormat="1" ht="25.5" x14ac:dyDescent="0.2">
      <c r="A23" s="886"/>
      <c r="C23" s="895" t="s">
        <v>1401</v>
      </c>
      <c r="D23" s="890"/>
      <c r="E23" s="891"/>
      <c r="F23" s="1986"/>
      <c r="G23" s="892"/>
    </row>
    <row r="24" spans="1:7" s="887" customFormat="1" ht="21.75" customHeight="1" x14ac:dyDescent="0.2">
      <c r="A24" s="886"/>
      <c r="C24" s="895" t="s">
        <v>1402</v>
      </c>
      <c r="D24" s="890"/>
      <c r="E24" s="891"/>
      <c r="F24" s="1986"/>
      <c r="G24" s="892"/>
    </row>
    <row r="25" spans="1:7" s="887" customFormat="1" ht="25.5" x14ac:dyDescent="0.2">
      <c r="A25" s="886"/>
      <c r="C25" s="894" t="s">
        <v>1403</v>
      </c>
      <c r="D25" s="890"/>
      <c r="E25" s="891"/>
      <c r="F25" s="1986"/>
      <c r="G25" s="892"/>
    </row>
    <row r="26" spans="1:7" s="887" customFormat="1" x14ac:dyDescent="0.2">
      <c r="A26" s="886"/>
      <c r="C26" s="894" t="s">
        <v>1404</v>
      </c>
      <c r="D26" s="890"/>
      <c r="E26" s="891"/>
      <c r="F26" s="1986"/>
      <c r="G26" s="892"/>
    </row>
    <row r="27" spans="1:7" s="887" customFormat="1" x14ac:dyDescent="0.2">
      <c r="A27" s="886"/>
      <c r="C27" s="895" t="s">
        <v>1405</v>
      </c>
      <c r="D27" s="890"/>
      <c r="E27" s="891"/>
      <c r="F27" s="1986"/>
      <c r="G27" s="892"/>
    </row>
    <row r="28" spans="1:7" s="887" customFormat="1" ht="25.5" x14ac:dyDescent="0.2">
      <c r="A28" s="886"/>
      <c r="C28" s="888" t="s">
        <v>1406</v>
      </c>
      <c r="F28" s="1987"/>
      <c r="G28" s="892"/>
    </row>
    <row r="29" spans="1:7" s="887" customFormat="1" ht="267.75" x14ac:dyDescent="0.2">
      <c r="A29" s="886"/>
      <c r="C29" s="896" t="s">
        <v>1407</v>
      </c>
      <c r="F29" s="1987"/>
      <c r="G29" s="892"/>
    </row>
    <row r="30" spans="1:7" s="887" customFormat="1" ht="99.75" customHeight="1" x14ac:dyDescent="0.2">
      <c r="A30" s="886"/>
      <c r="C30" s="897" t="s">
        <v>1408</v>
      </c>
      <c r="D30" s="890"/>
      <c r="F30" s="1986"/>
      <c r="G30" s="898"/>
    </row>
    <row r="31" spans="1:7" s="887" customFormat="1" x14ac:dyDescent="0.2">
      <c r="A31" s="886"/>
      <c r="C31" s="899"/>
      <c r="D31" s="890"/>
      <c r="E31" s="891"/>
      <c r="F31" s="1986"/>
      <c r="G31" s="898"/>
    </row>
    <row r="32" spans="1:7" s="369" customFormat="1" ht="13.5" thickBot="1" x14ac:dyDescent="0.3">
      <c r="A32" s="362"/>
      <c r="B32" s="363"/>
      <c r="C32" s="366" t="str">
        <f>CONCATENATE(B8," ",C8," - SKUPAJ:")</f>
        <v>I. ELEKTRO DEL - SKUPAJ:</v>
      </c>
      <c r="D32" s="366"/>
      <c r="E32" s="900"/>
      <c r="F32" s="1943"/>
      <c r="G32" s="712">
        <f>ROUND(G10,2)</f>
        <v>0</v>
      </c>
    </row>
    <row r="33" spans="1:11" s="633" customFormat="1" ht="15" x14ac:dyDescent="0.25">
      <c r="A33" s="630"/>
      <c r="B33" s="630"/>
      <c r="C33" s="629"/>
      <c r="D33" s="630"/>
      <c r="E33" s="901"/>
      <c r="F33" s="1944"/>
      <c r="G33" s="632"/>
    </row>
    <row r="34" spans="1:11" s="246" customFormat="1" ht="12" x14ac:dyDescent="0.25">
      <c r="A34" s="261"/>
      <c r="B34" s="261"/>
      <c r="C34" s="679"/>
      <c r="D34" s="261"/>
      <c r="E34" s="902"/>
      <c r="F34" s="1934"/>
      <c r="G34" s="218"/>
    </row>
    <row r="35" spans="1:11" s="720" customFormat="1" ht="19.5" thickBot="1" x14ac:dyDescent="0.3">
      <c r="A35" s="715" t="str">
        <f>CONCATENATE("DELNA REKAPITULACIJA - ",A2,C2)</f>
        <v>DELNA REKAPITULACIJA - 4.10DIESEL ELEKTRIČNI AGRAGAT</v>
      </c>
      <c r="B35" s="715"/>
      <c r="C35" s="716"/>
      <c r="D35" s="717"/>
      <c r="E35" s="903"/>
      <c r="F35" s="1945"/>
      <c r="G35" s="719"/>
    </row>
    <row r="36" spans="1:11" s="616" customFormat="1" ht="14.25" customHeight="1" x14ac:dyDescent="0.25">
      <c r="A36" s="721"/>
      <c r="B36" s="721"/>
      <c r="C36" s="722"/>
      <c r="D36" s="721"/>
      <c r="E36" s="904"/>
      <c r="F36" s="1946"/>
      <c r="G36" s="724"/>
    </row>
    <row r="37" spans="1:11" s="616" customFormat="1" ht="12.75" customHeight="1" x14ac:dyDescent="0.25">
      <c r="A37" s="218" t="s">
        <v>1044</v>
      </c>
      <c r="B37" s="612"/>
      <c r="C37" s="613"/>
      <c r="D37" s="612"/>
      <c r="E37" s="905"/>
      <c r="F37" s="1947"/>
      <c r="G37" s="612"/>
    </row>
    <row r="38" spans="1:11" s="369" customFormat="1" x14ac:dyDescent="0.25">
      <c r="A38" s="725"/>
      <c r="B38" s="725"/>
      <c r="C38" s="726"/>
      <c r="D38" s="727"/>
      <c r="E38" s="906"/>
      <c r="F38" s="1948"/>
      <c r="G38" s="729"/>
      <c r="H38" s="616"/>
      <c r="J38" s="628"/>
      <c r="K38" s="628"/>
    </row>
    <row r="39" spans="1:11" s="369" customFormat="1" x14ac:dyDescent="0.25">
      <c r="A39" s="625"/>
      <c r="B39" s="625"/>
      <c r="C39" s="626"/>
      <c r="E39" s="907"/>
      <c r="F39" s="1949"/>
      <c r="G39" s="628"/>
      <c r="H39" s="616"/>
      <c r="J39" s="628"/>
      <c r="K39" s="628"/>
    </row>
    <row r="40" spans="1:11" s="375" customFormat="1" x14ac:dyDescent="0.25">
      <c r="A40" s="370"/>
      <c r="B40" s="370" t="str">
        <f>+B8</f>
        <v>I.</v>
      </c>
      <c r="C40" s="371" t="str">
        <f>+C8</f>
        <v>ELEKTRO DEL</v>
      </c>
      <c r="D40" s="745"/>
      <c r="E40" s="908"/>
      <c r="F40" s="1952"/>
      <c r="G40" s="746">
        <f>ROUND(G32,2)</f>
        <v>0</v>
      </c>
    </row>
    <row r="41" spans="1:11" s="375" customFormat="1" ht="13.5" thickBot="1" x14ac:dyDescent="0.3">
      <c r="A41" s="731"/>
      <c r="B41" s="731"/>
      <c r="C41" s="732"/>
      <c r="D41" s="733"/>
      <c r="E41" s="909"/>
      <c r="F41" s="1950"/>
      <c r="G41" s="735"/>
    </row>
    <row r="42" spans="1:11" s="616" customFormat="1" ht="13.5" thickTop="1" x14ac:dyDescent="0.25">
      <c r="A42" s="736"/>
      <c r="B42" s="736"/>
      <c r="C42" s="737"/>
      <c r="D42" s="738"/>
      <c r="E42" s="910"/>
      <c r="F42" s="1951"/>
      <c r="G42" s="740"/>
      <c r="K42" s="814"/>
    </row>
    <row r="43" spans="1:11" s="375" customFormat="1" x14ac:dyDescent="0.25">
      <c r="A43" s="742"/>
      <c r="B43" s="742"/>
      <c r="C43" s="743" t="str">
        <f>CONCATENATE(A2," ",C2," - SKUPAJ:")</f>
        <v>4.10 DIESEL ELEKTRIČNI AGRAGAT - SKUPAJ:</v>
      </c>
      <c r="D43" s="744"/>
      <c r="E43" s="908"/>
      <c r="F43" s="1952"/>
      <c r="G43" s="911">
        <f>ROUND(G40,2)</f>
        <v>0</v>
      </c>
    </row>
  </sheetData>
  <sheetProtection algorithmName="SHA-512" hashValue="fMkCQJCBl3n5VOEsFrO4/rQpPnh//TJddl8OsJD9tpxWoUuKutlkzjADwkjBd8NB16lB/S/bUh2FLUrCCbQHvw==" saltValue="r70DUaf11ktFs1e8mmLR+Q==" spinCount="100000" sheet="1" objects="1" scenarios="1"/>
  <mergeCells count="1">
    <mergeCell ref="H3:H4"/>
  </mergeCells>
  <pageMargins left="0.98425196850393704" right="0.39370078740157483" top="0.98425196850393704" bottom="0.74803149606299213" header="0" footer="0.39370078740157483"/>
  <pageSetup paperSize="9" scale="98" firstPageNumber="0" orientation="portrait" r:id="rId1"/>
  <headerFooter alignWithMargins="0">
    <oddHeader>&amp;L
&amp;R&amp;"Projekt,Običajno"&amp;72p</oddHeader>
    <oddFooter>&amp;C&amp;6 &amp; List: &amp;A&amp;R &amp;  &amp; Stran: &amp;P/&amp;N</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tabColor theme="6" tint="-0.249977111117893"/>
  </sheetPr>
  <dimension ref="A1:H168"/>
  <sheetViews>
    <sheetView view="pageBreakPreview" zoomScaleNormal="85" zoomScaleSheetLayoutView="100" workbookViewId="0"/>
  </sheetViews>
  <sheetFormatPr defaultRowHeight="12.75" x14ac:dyDescent="0.25"/>
  <cols>
    <col min="1" max="1" width="2.5703125" style="224" customWidth="1"/>
    <col min="2" max="2" width="4.42578125" style="224" customWidth="1"/>
    <col min="3" max="3" width="43" style="818" customWidth="1"/>
    <col min="4" max="4" width="6.28515625" style="224" customWidth="1"/>
    <col min="5" max="5" width="7.5703125" style="764" customWidth="1"/>
    <col min="6" max="6" width="10.140625" style="1956" customWidth="1"/>
    <col min="7" max="7" width="13.28515625" style="765" customWidth="1"/>
    <col min="8" max="256" width="9.140625" style="224"/>
    <col min="257" max="257" width="2.5703125" style="224" customWidth="1"/>
    <col min="258" max="258" width="4.42578125" style="224" customWidth="1"/>
    <col min="259" max="259" width="43.7109375" style="224" customWidth="1"/>
    <col min="260" max="260" width="6.28515625" style="224" customWidth="1"/>
    <col min="261" max="261" width="7.5703125" style="224" customWidth="1"/>
    <col min="262" max="262" width="9.5703125" style="224" customWidth="1"/>
    <col min="263" max="263" width="13.28515625" style="224" customWidth="1"/>
    <col min="264" max="512" width="9.140625" style="224"/>
    <col min="513" max="513" width="2.5703125" style="224" customWidth="1"/>
    <col min="514" max="514" width="4.42578125" style="224" customWidth="1"/>
    <col min="515" max="515" width="43.7109375" style="224" customWidth="1"/>
    <col min="516" max="516" width="6.28515625" style="224" customWidth="1"/>
    <col min="517" max="517" width="7.5703125" style="224" customWidth="1"/>
    <col min="518" max="518" width="9.5703125" style="224" customWidth="1"/>
    <col min="519" max="519" width="13.28515625" style="224" customWidth="1"/>
    <col min="520" max="768" width="9.140625" style="224"/>
    <col min="769" max="769" width="2.5703125" style="224" customWidth="1"/>
    <col min="770" max="770" width="4.42578125" style="224" customWidth="1"/>
    <col min="771" max="771" width="43.7109375" style="224" customWidth="1"/>
    <col min="772" max="772" width="6.28515625" style="224" customWidth="1"/>
    <col min="773" max="773" width="7.5703125" style="224" customWidth="1"/>
    <col min="774" max="774" width="9.5703125" style="224" customWidth="1"/>
    <col min="775" max="775" width="13.28515625" style="224" customWidth="1"/>
    <col min="776" max="1024" width="9.140625" style="224"/>
    <col min="1025" max="1025" width="2.5703125" style="224" customWidth="1"/>
    <col min="1026" max="1026" width="4.42578125" style="224" customWidth="1"/>
    <col min="1027" max="1027" width="43.7109375" style="224" customWidth="1"/>
    <col min="1028" max="1028" width="6.28515625" style="224" customWidth="1"/>
    <col min="1029" max="1029" width="7.5703125" style="224" customWidth="1"/>
    <col min="1030" max="1030" width="9.5703125" style="224" customWidth="1"/>
    <col min="1031" max="1031" width="13.28515625" style="224" customWidth="1"/>
    <col min="1032" max="1280" width="9.140625" style="224"/>
    <col min="1281" max="1281" width="2.5703125" style="224" customWidth="1"/>
    <col min="1282" max="1282" width="4.42578125" style="224" customWidth="1"/>
    <col min="1283" max="1283" width="43.7109375" style="224" customWidth="1"/>
    <col min="1284" max="1284" width="6.28515625" style="224" customWidth="1"/>
    <col min="1285" max="1285" width="7.5703125" style="224" customWidth="1"/>
    <col min="1286" max="1286" width="9.5703125" style="224" customWidth="1"/>
    <col min="1287" max="1287" width="13.28515625" style="224" customWidth="1"/>
    <col min="1288" max="1536" width="9.140625" style="224"/>
    <col min="1537" max="1537" width="2.5703125" style="224" customWidth="1"/>
    <col min="1538" max="1538" width="4.42578125" style="224" customWidth="1"/>
    <col min="1539" max="1539" width="43.7109375" style="224" customWidth="1"/>
    <col min="1540" max="1540" width="6.28515625" style="224" customWidth="1"/>
    <col min="1541" max="1541" width="7.5703125" style="224" customWidth="1"/>
    <col min="1542" max="1542" width="9.5703125" style="224" customWidth="1"/>
    <col min="1543" max="1543" width="13.28515625" style="224" customWidth="1"/>
    <col min="1544" max="1792" width="9.140625" style="224"/>
    <col min="1793" max="1793" width="2.5703125" style="224" customWidth="1"/>
    <col min="1794" max="1794" width="4.42578125" style="224" customWidth="1"/>
    <col min="1795" max="1795" width="43.7109375" style="224" customWidth="1"/>
    <col min="1796" max="1796" width="6.28515625" style="224" customWidth="1"/>
    <col min="1797" max="1797" width="7.5703125" style="224" customWidth="1"/>
    <col min="1798" max="1798" width="9.5703125" style="224" customWidth="1"/>
    <col min="1799" max="1799" width="13.28515625" style="224" customWidth="1"/>
    <col min="1800" max="2048" width="9.140625" style="224"/>
    <col min="2049" max="2049" width="2.5703125" style="224" customWidth="1"/>
    <col min="2050" max="2050" width="4.42578125" style="224" customWidth="1"/>
    <col min="2051" max="2051" width="43.7109375" style="224" customWidth="1"/>
    <col min="2052" max="2052" width="6.28515625" style="224" customWidth="1"/>
    <col min="2053" max="2053" width="7.5703125" style="224" customWidth="1"/>
    <col min="2054" max="2054" width="9.5703125" style="224" customWidth="1"/>
    <col min="2055" max="2055" width="13.28515625" style="224" customWidth="1"/>
    <col min="2056" max="2304" width="9.140625" style="224"/>
    <col min="2305" max="2305" width="2.5703125" style="224" customWidth="1"/>
    <col min="2306" max="2306" width="4.42578125" style="224" customWidth="1"/>
    <col min="2307" max="2307" width="43.7109375" style="224" customWidth="1"/>
    <col min="2308" max="2308" width="6.28515625" style="224" customWidth="1"/>
    <col min="2309" max="2309" width="7.5703125" style="224" customWidth="1"/>
    <col min="2310" max="2310" width="9.5703125" style="224" customWidth="1"/>
    <col min="2311" max="2311" width="13.28515625" style="224" customWidth="1"/>
    <col min="2312" max="2560" width="9.140625" style="224"/>
    <col min="2561" max="2561" width="2.5703125" style="224" customWidth="1"/>
    <col min="2562" max="2562" width="4.42578125" style="224" customWidth="1"/>
    <col min="2563" max="2563" width="43.7109375" style="224" customWidth="1"/>
    <col min="2564" max="2564" width="6.28515625" style="224" customWidth="1"/>
    <col min="2565" max="2565" width="7.5703125" style="224" customWidth="1"/>
    <col min="2566" max="2566" width="9.5703125" style="224" customWidth="1"/>
    <col min="2567" max="2567" width="13.28515625" style="224" customWidth="1"/>
    <col min="2568" max="2816" width="9.140625" style="224"/>
    <col min="2817" max="2817" width="2.5703125" style="224" customWidth="1"/>
    <col min="2818" max="2818" width="4.42578125" style="224" customWidth="1"/>
    <col min="2819" max="2819" width="43.7109375" style="224" customWidth="1"/>
    <col min="2820" max="2820" width="6.28515625" style="224" customWidth="1"/>
    <col min="2821" max="2821" width="7.5703125" style="224" customWidth="1"/>
    <col min="2822" max="2822" width="9.5703125" style="224" customWidth="1"/>
    <col min="2823" max="2823" width="13.28515625" style="224" customWidth="1"/>
    <col min="2824" max="3072" width="9.140625" style="224"/>
    <col min="3073" max="3073" width="2.5703125" style="224" customWidth="1"/>
    <col min="3074" max="3074" width="4.42578125" style="224" customWidth="1"/>
    <col min="3075" max="3075" width="43.7109375" style="224" customWidth="1"/>
    <col min="3076" max="3076" width="6.28515625" style="224" customWidth="1"/>
    <col min="3077" max="3077" width="7.5703125" style="224" customWidth="1"/>
    <col min="3078" max="3078" width="9.5703125" style="224" customWidth="1"/>
    <col min="3079" max="3079" width="13.28515625" style="224" customWidth="1"/>
    <col min="3080" max="3328" width="9.140625" style="224"/>
    <col min="3329" max="3329" width="2.5703125" style="224" customWidth="1"/>
    <col min="3330" max="3330" width="4.42578125" style="224" customWidth="1"/>
    <col min="3331" max="3331" width="43.7109375" style="224" customWidth="1"/>
    <col min="3332" max="3332" width="6.28515625" style="224" customWidth="1"/>
    <col min="3333" max="3333" width="7.5703125" style="224" customWidth="1"/>
    <col min="3334" max="3334" width="9.5703125" style="224" customWidth="1"/>
    <col min="3335" max="3335" width="13.28515625" style="224" customWidth="1"/>
    <col min="3336" max="3584" width="9.140625" style="224"/>
    <col min="3585" max="3585" width="2.5703125" style="224" customWidth="1"/>
    <col min="3586" max="3586" width="4.42578125" style="224" customWidth="1"/>
    <col min="3587" max="3587" width="43.7109375" style="224" customWidth="1"/>
    <col min="3588" max="3588" width="6.28515625" style="224" customWidth="1"/>
    <col min="3589" max="3589" width="7.5703125" style="224" customWidth="1"/>
    <col min="3590" max="3590" width="9.5703125" style="224" customWidth="1"/>
    <col min="3591" max="3591" width="13.28515625" style="224" customWidth="1"/>
    <col min="3592" max="3840" width="9.140625" style="224"/>
    <col min="3841" max="3841" width="2.5703125" style="224" customWidth="1"/>
    <col min="3842" max="3842" width="4.42578125" style="224" customWidth="1"/>
    <col min="3843" max="3843" width="43.7109375" style="224" customWidth="1"/>
    <col min="3844" max="3844" width="6.28515625" style="224" customWidth="1"/>
    <col min="3845" max="3845" width="7.5703125" style="224" customWidth="1"/>
    <col min="3846" max="3846" width="9.5703125" style="224" customWidth="1"/>
    <col min="3847" max="3847" width="13.28515625" style="224" customWidth="1"/>
    <col min="3848" max="4096" width="9.140625" style="224"/>
    <col min="4097" max="4097" width="2.5703125" style="224" customWidth="1"/>
    <col min="4098" max="4098" width="4.42578125" style="224" customWidth="1"/>
    <col min="4099" max="4099" width="43.7109375" style="224" customWidth="1"/>
    <col min="4100" max="4100" width="6.28515625" style="224" customWidth="1"/>
    <col min="4101" max="4101" width="7.5703125" style="224" customWidth="1"/>
    <col min="4102" max="4102" width="9.5703125" style="224" customWidth="1"/>
    <col min="4103" max="4103" width="13.28515625" style="224" customWidth="1"/>
    <col min="4104" max="4352" width="9.140625" style="224"/>
    <col min="4353" max="4353" width="2.5703125" style="224" customWidth="1"/>
    <col min="4354" max="4354" width="4.42578125" style="224" customWidth="1"/>
    <col min="4355" max="4355" width="43.7109375" style="224" customWidth="1"/>
    <col min="4356" max="4356" width="6.28515625" style="224" customWidth="1"/>
    <col min="4357" max="4357" width="7.5703125" style="224" customWidth="1"/>
    <col min="4358" max="4358" width="9.5703125" style="224" customWidth="1"/>
    <col min="4359" max="4359" width="13.28515625" style="224" customWidth="1"/>
    <col min="4360" max="4608" width="9.140625" style="224"/>
    <col min="4609" max="4609" width="2.5703125" style="224" customWidth="1"/>
    <col min="4610" max="4610" width="4.42578125" style="224" customWidth="1"/>
    <col min="4611" max="4611" width="43.7109375" style="224" customWidth="1"/>
    <col min="4612" max="4612" width="6.28515625" style="224" customWidth="1"/>
    <col min="4613" max="4613" width="7.5703125" style="224" customWidth="1"/>
    <col min="4614" max="4614" width="9.5703125" style="224" customWidth="1"/>
    <col min="4615" max="4615" width="13.28515625" style="224" customWidth="1"/>
    <col min="4616" max="4864" width="9.140625" style="224"/>
    <col min="4865" max="4865" width="2.5703125" style="224" customWidth="1"/>
    <col min="4866" max="4866" width="4.42578125" style="224" customWidth="1"/>
    <col min="4867" max="4867" width="43.7109375" style="224" customWidth="1"/>
    <col min="4868" max="4868" width="6.28515625" style="224" customWidth="1"/>
    <col min="4869" max="4869" width="7.5703125" style="224" customWidth="1"/>
    <col min="4870" max="4870" width="9.5703125" style="224" customWidth="1"/>
    <col min="4871" max="4871" width="13.28515625" style="224" customWidth="1"/>
    <col min="4872" max="5120" width="9.140625" style="224"/>
    <col min="5121" max="5121" width="2.5703125" style="224" customWidth="1"/>
    <col min="5122" max="5122" width="4.42578125" style="224" customWidth="1"/>
    <col min="5123" max="5123" width="43.7109375" style="224" customWidth="1"/>
    <col min="5124" max="5124" width="6.28515625" style="224" customWidth="1"/>
    <col min="5125" max="5125" width="7.5703125" style="224" customWidth="1"/>
    <col min="5126" max="5126" width="9.5703125" style="224" customWidth="1"/>
    <col min="5127" max="5127" width="13.28515625" style="224" customWidth="1"/>
    <col min="5128" max="5376" width="9.140625" style="224"/>
    <col min="5377" max="5377" width="2.5703125" style="224" customWidth="1"/>
    <col min="5378" max="5378" width="4.42578125" style="224" customWidth="1"/>
    <col min="5379" max="5379" width="43.7109375" style="224" customWidth="1"/>
    <col min="5380" max="5380" width="6.28515625" style="224" customWidth="1"/>
    <col min="5381" max="5381" width="7.5703125" style="224" customWidth="1"/>
    <col min="5382" max="5382" width="9.5703125" style="224" customWidth="1"/>
    <col min="5383" max="5383" width="13.28515625" style="224" customWidth="1"/>
    <col min="5384" max="5632" width="9.140625" style="224"/>
    <col min="5633" max="5633" width="2.5703125" style="224" customWidth="1"/>
    <col min="5634" max="5634" width="4.42578125" style="224" customWidth="1"/>
    <col min="5635" max="5635" width="43.7109375" style="224" customWidth="1"/>
    <col min="5636" max="5636" width="6.28515625" style="224" customWidth="1"/>
    <col min="5637" max="5637" width="7.5703125" style="224" customWidth="1"/>
    <col min="5638" max="5638" width="9.5703125" style="224" customWidth="1"/>
    <col min="5639" max="5639" width="13.28515625" style="224" customWidth="1"/>
    <col min="5640" max="5888" width="9.140625" style="224"/>
    <col min="5889" max="5889" width="2.5703125" style="224" customWidth="1"/>
    <col min="5890" max="5890" width="4.42578125" style="224" customWidth="1"/>
    <col min="5891" max="5891" width="43.7109375" style="224" customWidth="1"/>
    <col min="5892" max="5892" width="6.28515625" style="224" customWidth="1"/>
    <col min="5893" max="5893" width="7.5703125" style="224" customWidth="1"/>
    <col min="5894" max="5894" width="9.5703125" style="224" customWidth="1"/>
    <col min="5895" max="5895" width="13.28515625" style="224" customWidth="1"/>
    <col min="5896" max="6144" width="9.140625" style="224"/>
    <col min="6145" max="6145" width="2.5703125" style="224" customWidth="1"/>
    <col min="6146" max="6146" width="4.42578125" style="224" customWidth="1"/>
    <col min="6147" max="6147" width="43.7109375" style="224" customWidth="1"/>
    <col min="6148" max="6148" width="6.28515625" style="224" customWidth="1"/>
    <col min="6149" max="6149" width="7.5703125" style="224" customWidth="1"/>
    <col min="6150" max="6150" width="9.5703125" style="224" customWidth="1"/>
    <col min="6151" max="6151" width="13.28515625" style="224" customWidth="1"/>
    <col min="6152" max="6400" width="9.140625" style="224"/>
    <col min="6401" max="6401" width="2.5703125" style="224" customWidth="1"/>
    <col min="6402" max="6402" width="4.42578125" style="224" customWidth="1"/>
    <col min="6403" max="6403" width="43.7109375" style="224" customWidth="1"/>
    <col min="6404" max="6404" width="6.28515625" style="224" customWidth="1"/>
    <col min="6405" max="6405" width="7.5703125" style="224" customWidth="1"/>
    <col min="6406" max="6406" width="9.5703125" style="224" customWidth="1"/>
    <col min="6407" max="6407" width="13.28515625" style="224" customWidth="1"/>
    <col min="6408" max="6656" width="9.140625" style="224"/>
    <col min="6657" max="6657" width="2.5703125" style="224" customWidth="1"/>
    <col min="6658" max="6658" width="4.42578125" style="224" customWidth="1"/>
    <col min="6659" max="6659" width="43.7109375" style="224" customWidth="1"/>
    <col min="6660" max="6660" width="6.28515625" style="224" customWidth="1"/>
    <col min="6661" max="6661" width="7.5703125" style="224" customWidth="1"/>
    <col min="6662" max="6662" width="9.5703125" style="224" customWidth="1"/>
    <col min="6663" max="6663" width="13.28515625" style="224" customWidth="1"/>
    <col min="6664" max="6912" width="9.140625" style="224"/>
    <col min="6913" max="6913" width="2.5703125" style="224" customWidth="1"/>
    <col min="6914" max="6914" width="4.42578125" style="224" customWidth="1"/>
    <col min="6915" max="6915" width="43.7109375" style="224" customWidth="1"/>
    <col min="6916" max="6916" width="6.28515625" style="224" customWidth="1"/>
    <col min="6917" max="6917" width="7.5703125" style="224" customWidth="1"/>
    <col min="6918" max="6918" width="9.5703125" style="224" customWidth="1"/>
    <col min="6919" max="6919" width="13.28515625" style="224" customWidth="1"/>
    <col min="6920" max="7168" width="9.140625" style="224"/>
    <col min="7169" max="7169" width="2.5703125" style="224" customWidth="1"/>
    <col min="7170" max="7170" width="4.42578125" style="224" customWidth="1"/>
    <col min="7171" max="7171" width="43.7109375" style="224" customWidth="1"/>
    <col min="7172" max="7172" width="6.28515625" style="224" customWidth="1"/>
    <col min="7173" max="7173" width="7.5703125" style="224" customWidth="1"/>
    <col min="7174" max="7174" width="9.5703125" style="224" customWidth="1"/>
    <col min="7175" max="7175" width="13.28515625" style="224" customWidth="1"/>
    <col min="7176" max="7424" width="9.140625" style="224"/>
    <col min="7425" max="7425" width="2.5703125" style="224" customWidth="1"/>
    <col min="7426" max="7426" width="4.42578125" style="224" customWidth="1"/>
    <col min="7427" max="7427" width="43.7109375" style="224" customWidth="1"/>
    <col min="7428" max="7428" width="6.28515625" style="224" customWidth="1"/>
    <col min="7429" max="7429" width="7.5703125" style="224" customWidth="1"/>
    <col min="7430" max="7430" width="9.5703125" style="224" customWidth="1"/>
    <col min="7431" max="7431" width="13.28515625" style="224" customWidth="1"/>
    <col min="7432" max="7680" width="9.140625" style="224"/>
    <col min="7681" max="7681" width="2.5703125" style="224" customWidth="1"/>
    <col min="7682" max="7682" width="4.42578125" style="224" customWidth="1"/>
    <col min="7683" max="7683" width="43.7109375" style="224" customWidth="1"/>
    <col min="7684" max="7684" width="6.28515625" style="224" customWidth="1"/>
    <col min="7685" max="7685" width="7.5703125" style="224" customWidth="1"/>
    <col min="7686" max="7686" width="9.5703125" style="224" customWidth="1"/>
    <col min="7687" max="7687" width="13.28515625" style="224" customWidth="1"/>
    <col min="7688" max="7936" width="9.140625" style="224"/>
    <col min="7937" max="7937" width="2.5703125" style="224" customWidth="1"/>
    <col min="7938" max="7938" width="4.42578125" style="224" customWidth="1"/>
    <col min="7939" max="7939" width="43.7109375" style="224" customWidth="1"/>
    <col min="7940" max="7940" width="6.28515625" style="224" customWidth="1"/>
    <col min="7941" max="7941" width="7.5703125" style="224" customWidth="1"/>
    <col min="7942" max="7942" width="9.5703125" style="224" customWidth="1"/>
    <col min="7943" max="7943" width="13.28515625" style="224" customWidth="1"/>
    <col min="7944" max="8192" width="9.140625" style="224"/>
    <col min="8193" max="8193" width="2.5703125" style="224" customWidth="1"/>
    <col min="8194" max="8194" width="4.42578125" style="224" customWidth="1"/>
    <col min="8195" max="8195" width="43.7109375" style="224" customWidth="1"/>
    <col min="8196" max="8196" width="6.28515625" style="224" customWidth="1"/>
    <col min="8197" max="8197" width="7.5703125" style="224" customWidth="1"/>
    <col min="8198" max="8198" width="9.5703125" style="224" customWidth="1"/>
    <col min="8199" max="8199" width="13.28515625" style="224" customWidth="1"/>
    <col min="8200" max="8448" width="9.140625" style="224"/>
    <col min="8449" max="8449" width="2.5703125" style="224" customWidth="1"/>
    <col min="8450" max="8450" width="4.42578125" style="224" customWidth="1"/>
    <col min="8451" max="8451" width="43.7109375" style="224" customWidth="1"/>
    <col min="8452" max="8452" width="6.28515625" style="224" customWidth="1"/>
    <col min="8453" max="8453" width="7.5703125" style="224" customWidth="1"/>
    <col min="8454" max="8454" width="9.5703125" style="224" customWidth="1"/>
    <col min="8455" max="8455" width="13.28515625" style="224" customWidth="1"/>
    <col min="8456" max="8704" width="9.140625" style="224"/>
    <col min="8705" max="8705" width="2.5703125" style="224" customWidth="1"/>
    <col min="8706" max="8706" width="4.42578125" style="224" customWidth="1"/>
    <col min="8707" max="8707" width="43.7109375" style="224" customWidth="1"/>
    <col min="8708" max="8708" width="6.28515625" style="224" customWidth="1"/>
    <col min="8709" max="8709" width="7.5703125" style="224" customWidth="1"/>
    <col min="8710" max="8710" width="9.5703125" style="224" customWidth="1"/>
    <col min="8711" max="8711" width="13.28515625" style="224" customWidth="1"/>
    <col min="8712" max="8960" width="9.140625" style="224"/>
    <col min="8961" max="8961" width="2.5703125" style="224" customWidth="1"/>
    <col min="8962" max="8962" width="4.42578125" style="224" customWidth="1"/>
    <col min="8963" max="8963" width="43.7109375" style="224" customWidth="1"/>
    <col min="8964" max="8964" width="6.28515625" style="224" customWidth="1"/>
    <col min="8965" max="8965" width="7.5703125" style="224" customWidth="1"/>
    <col min="8966" max="8966" width="9.5703125" style="224" customWidth="1"/>
    <col min="8967" max="8967" width="13.28515625" style="224" customWidth="1"/>
    <col min="8968" max="9216" width="9.140625" style="224"/>
    <col min="9217" max="9217" width="2.5703125" style="224" customWidth="1"/>
    <col min="9218" max="9218" width="4.42578125" style="224" customWidth="1"/>
    <col min="9219" max="9219" width="43.7109375" style="224" customWidth="1"/>
    <col min="9220" max="9220" width="6.28515625" style="224" customWidth="1"/>
    <col min="9221" max="9221" width="7.5703125" style="224" customWidth="1"/>
    <col min="9222" max="9222" width="9.5703125" style="224" customWidth="1"/>
    <col min="9223" max="9223" width="13.28515625" style="224" customWidth="1"/>
    <col min="9224" max="9472" width="9.140625" style="224"/>
    <col min="9473" max="9473" width="2.5703125" style="224" customWidth="1"/>
    <col min="9474" max="9474" width="4.42578125" style="224" customWidth="1"/>
    <col min="9475" max="9475" width="43.7109375" style="224" customWidth="1"/>
    <col min="9476" max="9476" width="6.28515625" style="224" customWidth="1"/>
    <col min="9477" max="9477" width="7.5703125" style="224" customWidth="1"/>
    <col min="9478" max="9478" width="9.5703125" style="224" customWidth="1"/>
    <col min="9479" max="9479" width="13.28515625" style="224" customWidth="1"/>
    <col min="9480" max="9728" width="9.140625" style="224"/>
    <col min="9729" max="9729" width="2.5703125" style="224" customWidth="1"/>
    <col min="9730" max="9730" width="4.42578125" style="224" customWidth="1"/>
    <col min="9731" max="9731" width="43.7109375" style="224" customWidth="1"/>
    <col min="9732" max="9732" width="6.28515625" style="224" customWidth="1"/>
    <col min="9733" max="9733" width="7.5703125" style="224" customWidth="1"/>
    <col min="9734" max="9734" width="9.5703125" style="224" customWidth="1"/>
    <col min="9735" max="9735" width="13.28515625" style="224" customWidth="1"/>
    <col min="9736" max="9984" width="9.140625" style="224"/>
    <col min="9985" max="9985" width="2.5703125" style="224" customWidth="1"/>
    <col min="9986" max="9986" width="4.42578125" style="224" customWidth="1"/>
    <col min="9987" max="9987" width="43.7109375" style="224" customWidth="1"/>
    <col min="9988" max="9988" width="6.28515625" style="224" customWidth="1"/>
    <col min="9989" max="9989" width="7.5703125" style="224" customWidth="1"/>
    <col min="9990" max="9990" width="9.5703125" style="224" customWidth="1"/>
    <col min="9991" max="9991" width="13.28515625" style="224" customWidth="1"/>
    <col min="9992" max="10240" width="9.140625" style="224"/>
    <col min="10241" max="10241" width="2.5703125" style="224" customWidth="1"/>
    <col min="10242" max="10242" width="4.42578125" style="224" customWidth="1"/>
    <col min="10243" max="10243" width="43.7109375" style="224" customWidth="1"/>
    <col min="10244" max="10244" width="6.28515625" style="224" customWidth="1"/>
    <col min="10245" max="10245" width="7.5703125" style="224" customWidth="1"/>
    <col min="10246" max="10246" width="9.5703125" style="224" customWidth="1"/>
    <col min="10247" max="10247" width="13.28515625" style="224" customWidth="1"/>
    <col min="10248" max="10496" width="9.140625" style="224"/>
    <col min="10497" max="10497" width="2.5703125" style="224" customWidth="1"/>
    <col min="10498" max="10498" width="4.42578125" style="224" customWidth="1"/>
    <col min="10499" max="10499" width="43.7109375" style="224" customWidth="1"/>
    <col min="10500" max="10500" width="6.28515625" style="224" customWidth="1"/>
    <col min="10501" max="10501" width="7.5703125" style="224" customWidth="1"/>
    <col min="10502" max="10502" width="9.5703125" style="224" customWidth="1"/>
    <col min="10503" max="10503" width="13.28515625" style="224" customWidth="1"/>
    <col min="10504" max="10752" width="9.140625" style="224"/>
    <col min="10753" max="10753" width="2.5703125" style="224" customWidth="1"/>
    <col min="10754" max="10754" width="4.42578125" style="224" customWidth="1"/>
    <col min="10755" max="10755" width="43.7109375" style="224" customWidth="1"/>
    <col min="10756" max="10756" width="6.28515625" style="224" customWidth="1"/>
    <col min="10757" max="10757" width="7.5703125" style="224" customWidth="1"/>
    <col min="10758" max="10758" width="9.5703125" style="224" customWidth="1"/>
    <col min="10759" max="10759" width="13.28515625" style="224" customWidth="1"/>
    <col min="10760" max="11008" width="9.140625" style="224"/>
    <col min="11009" max="11009" width="2.5703125" style="224" customWidth="1"/>
    <col min="11010" max="11010" width="4.42578125" style="224" customWidth="1"/>
    <col min="11011" max="11011" width="43.7109375" style="224" customWidth="1"/>
    <col min="11012" max="11012" width="6.28515625" style="224" customWidth="1"/>
    <col min="11013" max="11013" width="7.5703125" style="224" customWidth="1"/>
    <col min="11014" max="11014" width="9.5703125" style="224" customWidth="1"/>
    <col min="11015" max="11015" width="13.28515625" style="224" customWidth="1"/>
    <col min="11016" max="11264" width="9.140625" style="224"/>
    <col min="11265" max="11265" width="2.5703125" style="224" customWidth="1"/>
    <col min="11266" max="11266" width="4.42578125" style="224" customWidth="1"/>
    <col min="11267" max="11267" width="43.7109375" style="224" customWidth="1"/>
    <col min="11268" max="11268" width="6.28515625" style="224" customWidth="1"/>
    <col min="11269" max="11269" width="7.5703125" style="224" customWidth="1"/>
    <col min="11270" max="11270" width="9.5703125" style="224" customWidth="1"/>
    <col min="11271" max="11271" width="13.28515625" style="224" customWidth="1"/>
    <col min="11272" max="11520" width="9.140625" style="224"/>
    <col min="11521" max="11521" width="2.5703125" style="224" customWidth="1"/>
    <col min="11522" max="11522" width="4.42578125" style="224" customWidth="1"/>
    <col min="11523" max="11523" width="43.7109375" style="224" customWidth="1"/>
    <col min="11524" max="11524" width="6.28515625" style="224" customWidth="1"/>
    <col min="11525" max="11525" width="7.5703125" style="224" customWidth="1"/>
    <col min="11526" max="11526" width="9.5703125" style="224" customWidth="1"/>
    <col min="11527" max="11527" width="13.28515625" style="224" customWidth="1"/>
    <col min="11528" max="11776" width="9.140625" style="224"/>
    <col min="11777" max="11777" width="2.5703125" style="224" customWidth="1"/>
    <col min="11778" max="11778" width="4.42578125" style="224" customWidth="1"/>
    <col min="11779" max="11779" width="43.7109375" style="224" customWidth="1"/>
    <col min="11780" max="11780" width="6.28515625" style="224" customWidth="1"/>
    <col min="11781" max="11781" width="7.5703125" style="224" customWidth="1"/>
    <col min="11782" max="11782" width="9.5703125" style="224" customWidth="1"/>
    <col min="11783" max="11783" width="13.28515625" style="224" customWidth="1"/>
    <col min="11784" max="12032" width="9.140625" style="224"/>
    <col min="12033" max="12033" width="2.5703125" style="224" customWidth="1"/>
    <col min="12034" max="12034" width="4.42578125" style="224" customWidth="1"/>
    <col min="12035" max="12035" width="43.7109375" style="224" customWidth="1"/>
    <col min="12036" max="12036" width="6.28515625" style="224" customWidth="1"/>
    <col min="12037" max="12037" width="7.5703125" style="224" customWidth="1"/>
    <col min="12038" max="12038" width="9.5703125" style="224" customWidth="1"/>
    <col min="12039" max="12039" width="13.28515625" style="224" customWidth="1"/>
    <col min="12040" max="12288" width="9.140625" style="224"/>
    <col min="12289" max="12289" width="2.5703125" style="224" customWidth="1"/>
    <col min="12290" max="12290" width="4.42578125" style="224" customWidth="1"/>
    <col min="12291" max="12291" width="43.7109375" style="224" customWidth="1"/>
    <col min="12292" max="12292" width="6.28515625" style="224" customWidth="1"/>
    <col min="12293" max="12293" width="7.5703125" style="224" customWidth="1"/>
    <col min="12294" max="12294" width="9.5703125" style="224" customWidth="1"/>
    <col min="12295" max="12295" width="13.28515625" style="224" customWidth="1"/>
    <col min="12296" max="12544" width="9.140625" style="224"/>
    <col min="12545" max="12545" width="2.5703125" style="224" customWidth="1"/>
    <col min="12546" max="12546" width="4.42578125" style="224" customWidth="1"/>
    <col min="12547" max="12547" width="43.7109375" style="224" customWidth="1"/>
    <col min="12548" max="12548" width="6.28515625" style="224" customWidth="1"/>
    <col min="12549" max="12549" width="7.5703125" style="224" customWidth="1"/>
    <col min="12550" max="12550" width="9.5703125" style="224" customWidth="1"/>
    <col min="12551" max="12551" width="13.28515625" style="224" customWidth="1"/>
    <col min="12552" max="12800" width="9.140625" style="224"/>
    <col min="12801" max="12801" width="2.5703125" style="224" customWidth="1"/>
    <col min="12802" max="12802" width="4.42578125" style="224" customWidth="1"/>
    <col min="12803" max="12803" width="43.7109375" style="224" customWidth="1"/>
    <col min="12804" max="12804" width="6.28515625" style="224" customWidth="1"/>
    <col min="12805" max="12805" width="7.5703125" style="224" customWidth="1"/>
    <col min="12806" max="12806" width="9.5703125" style="224" customWidth="1"/>
    <col min="12807" max="12807" width="13.28515625" style="224" customWidth="1"/>
    <col min="12808" max="13056" width="9.140625" style="224"/>
    <col min="13057" max="13057" width="2.5703125" style="224" customWidth="1"/>
    <col min="13058" max="13058" width="4.42578125" style="224" customWidth="1"/>
    <col min="13059" max="13059" width="43.7109375" style="224" customWidth="1"/>
    <col min="13060" max="13060" width="6.28515625" style="224" customWidth="1"/>
    <col min="13061" max="13061" width="7.5703125" style="224" customWidth="1"/>
    <col min="13062" max="13062" width="9.5703125" style="224" customWidth="1"/>
    <col min="13063" max="13063" width="13.28515625" style="224" customWidth="1"/>
    <col min="13064" max="13312" width="9.140625" style="224"/>
    <col min="13313" max="13313" width="2.5703125" style="224" customWidth="1"/>
    <col min="13314" max="13314" width="4.42578125" style="224" customWidth="1"/>
    <col min="13315" max="13315" width="43.7109375" style="224" customWidth="1"/>
    <col min="13316" max="13316" width="6.28515625" style="224" customWidth="1"/>
    <col min="13317" max="13317" width="7.5703125" style="224" customWidth="1"/>
    <col min="13318" max="13318" width="9.5703125" style="224" customWidth="1"/>
    <col min="13319" max="13319" width="13.28515625" style="224" customWidth="1"/>
    <col min="13320" max="13568" width="9.140625" style="224"/>
    <col min="13569" max="13569" width="2.5703125" style="224" customWidth="1"/>
    <col min="13570" max="13570" width="4.42578125" style="224" customWidth="1"/>
    <col min="13571" max="13571" width="43.7109375" style="224" customWidth="1"/>
    <col min="13572" max="13572" width="6.28515625" style="224" customWidth="1"/>
    <col min="13573" max="13573" width="7.5703125" style="224" customWidth="1"/>
    <col min="13574" max="13574" width="9.5703125" style="224" customWidth="1"/>
    <col min="13575" max="13575" width="13.28515625" style="224" customWidth="1"/>
    <col min="13576" max="13824" width="9.140625" style="224"/>
    <col min="13825" max="13825" width="2.5703125" style="224" customWidth="1"/>
    <col min="13826" max="13826" width="4.42578125" style="224" customWidth="1"/>
    <col min="13827" max="13827" width="43.7109375" style="224" customWidth="1"/>
    <col min="13828" max="13828" width="6.28515625" style="224" customWidth="1"/>
    <col min="13829" max="13829" width="7.5703125" style="224" customWidth="1"/>
    <col min="13830" max="13830" width="9.5703125" style="224" customWidth="1"/>
    <col min="13831" max="13831" width="13.28515625" style="224" customWidth="1"/>
    <col min="13832" max="14080" width="9.140625" style="224"/>
    <col min="14081" max="14081" width="2.5703125" style="224" customWidth="1"/>
    <col min="14082" max="14082" width="4.42578125" style="224" customWidth="1"/>
    <col min="14083" max="14083" width="43.7109375" style="224" customWidth="1"/>
    <col min="14084" max="14084" width="6.28515625" style="224" customWidth="1"/>
    <col min="14085" max="14085" width="7.5703125" style="224" customWidth="1"/>
    <col min="14086" max="14086" width="9.5703125" style="224" customWidth="1"/>
    <col min="14087" max="14087" width="13.28515625" style="224" customWidth="1"/>
    <col min="14088" max="14336" width="9.140625" style="224"/>
    <col min="14337" max="14337" width="2.5703125" style="224" customWidth="1"/>
    <col min="14338" max="14338" width="4.42578125" style="224" customWidth="1"/>
    <col min="14339" max="14339" width="43.7109375" style="224" customWidth="1"/>
    <col min="14340" max="14340" width="6.28515625" style="224" customWidth="1"/>
    <col min="14341" max="14341" width="7.5703125" style="224" customWidth="1"/>
    <col min="14342" max="14342" width="9.5703125" style="224" customWidth="1"/>
    <col min="14343" max="14343" width="13.28515625" style="224" customWidth="1"/>
    <col min="14344" max="14592" width="9.140625" style="224"/>
    <col min="14593" max="14593" width="2.5703125" style="224" customWidth="1"/>
    <col min="14594" max="14594" width="4.42578125" style="224" customWidth="1"/>
    <col min="14595" max="14595" width="43.7109375" style="224" customWidth="1"/>
    <col min="14596" max="14596" width="6.28515625" style="224" customWidth="1"/>
    <col min="14597" max="14597" width="7.5703125" style="224" customWidth="1"/>
    <col min="14598" max="14598" width="9.5703125" style="224" customWidth="1"/>
    <col min="14599" max="14599" width="13.28515625" style="224" customWidth="1"/>
    <col min="14600" max="14848" width="9.140625" style="224"/>
    <col min="14849" max="14849" width="2.5703125" style="224" customWidth="1"/>
    <col min="14850" max="14850" width="4.42578125" style="224" customWidth="1"/>
    <col min="14851" max="14851" width="43.7109375" style="224" customWidth="1"/>
    <col min="14852" max="14852" width="6.28515625" style="224" customWidth="1"/>
    <col min="14853" max="14853" width="7.5703125" style="224" customWidth="1"/>
    <col min="14854" max="14854" width="9.5703125" style="224" customWidth="1"/>
    <col min="14855" max="14855" width="13.28515625" style="224" customWidth="1"/>
    <col min="14856" max="15104" width="9.140625" style="224"/>
    <col min="15105" max="15105" width="2.5703125" style="224" customWidth="1"/>
    <col min="15106" max="15106" width="4.42578125" style="224" customWidth="1"/>
    <col min="15107" max="15107" width="43.7109375" style="224" customWidth="1"/>
    <col min="15108" max="15108" width="6.28515625" style="224" customWidth="1"/>
    <col min="15109" max="15109" width="7.5703125" style="224" customWidth="1"/>
    <col min="15110" max="15110" width="9.5703125" style="224" customWidth="1"/>
    <col min="15111" max="15111" width="13.28515625" style="224" customWidth="1"/>
    <col min="15112" max="15360" width="9.140625" style="224"/>
    <col min="15361" max="15361" width="2.5703125" style="224" customWidth="1"/>
    <col min="15362" max="15362" width="4.42578125" style="224" customWidth="1"/>
    <col min="15363" max="15363" width="43.7109375" style="224" customWidth="1"/>
    <col min="15364" max="15364" width="6.28515625" style="224" customWidth="1"/>
    <col min="15365" max="15365" width="7.5703125" style="224" customWidth="1"/>
    <col min="15366" max="15366" width="9.5703125" style="224" customWidth="1"/>
    <col min="15367" max="15367" width="13.28515625" style="224" customWidth="1"/>
    <col min="15368" max="15616" width="9.140625" style="224"/>
    <col min="15617" max="15617" width="2.5703125" style="224" customWidth="1"/>
    <col min="15618" max="15618" width="4.42578125" style="224" customWidth="1"/>
    <col min="15619" max="15619" width="43.7109375" style="224" customWidth="1"/>
    <col min="15620" max="15620" width="6.28515625" style="224" customWidth="1"/>
    <col min="15621" max="15621" width="7.5703125" style="224" customWidth="1"/>
    <col min="15622" max="15622" width="9.5703125" style="224" customWidth="1"/>
    <col min="15623" max="15623" width="13.28515625" style="224" customWidth="1"/>
    <col min="15624" max="15872" width="9.140625" style="224"/>
    <col min="15873" max="15873" width="2.5703125" style="224" customWidth="1"/>
    <col min="15874" max="15874" width="4.42578125" style="224" customWidth="1"/>
    <col min="15875" max="15875" width="43.7109375" style="224" customWidth="1"/>
    <col min="15876" max="15876" width="6.28515625" style="224" customWidth="1"/>
    <col min="15877" max="15877" width="7.5703125" style="224" customWidth="1"/>
    <col min="15878" max="15878" width="9.5703125" style="224" customWidth="1"/>
    <col min="15879" max="15879" width="13.28515625" style="224" customWidth="1"/>
    <col min="15880" max="16128" width="9.140625" style="224"/>
    <col min="16129" max="16129" width="2.5703125" style="224" customWidth="1"/>
    <col min="16130" max="16130" width="4.42578125" style="224" customWidth="1"/>
    <col min="16131" max="16131" width="43.7109375" style="224" customWidth="1"/>
    <col min="16132" max="16132" width="6.28515625" style="224" customWidth="1"/>
    <col min="16133" max="16133" width="7.5703125" style="224" customWidth="1"/>
    <col min="16134" max="16134" width="9.5703125" style="224" customWidth="1"/>
    <col min="16135" max="16135" width="13.28515625" style="224" customWidth="1"/>
    <col min="16136" max="16384" width="9.140625" style="224"/>
  </cols>
  <sheetData>
    <row r="1" spans="1:8" s="213" customFormat="1" ht="18" x14ac:dyDescent="0.25">
      <c r="A1" s="753"/>
      <c r="B1" s="757"/>
      <c r="C1" s="753"/>
      <c r="E1" s="754"/>
      <c r="F1" s="1954"/>
      <c r="G1" s="755"/>
    </row>
    <row r="2" spans="1:8" s="330" customFormat="1" ht="18" x14ac:dyDescent="0.25">
      <c r="A2" s="819" t="s">
        <v>1055</v>
      </c>
      <c r="B2" s="758"/>
      <c r="C2" s="759" t="s">
        <v>1430</v>
      </c>
      <c r="E2" s="760"/>
      <c r="F2" s="1955"/>
      <c r="G2" s="761"/>
    </row>
    <row r="3" spans="1:8" ht="14.25" customHeight="1" x14ac:dyDescent="0.25">
      <c r="A3" s="763" t="s">
        <v>561</v>
      </c>
      <c r="B3" s="763"/>
    </row>
    <row r="4" spans="1:8" x14ac:dyDescent="0.25">
      <c r="C4" s="766"/>
      <c r="D4" s="763"/>
      <c r="E4" s="763"/>
      <c r="F4" s="1957"/>
      <c r="G4" s="763"/>
    </row>
    <row r="5" spans="1:8" ht="12.75" customHeight="1" x14ac:dyDescent="0.25">
      <c r="A5" s="763" t="s">
        <v>63</v>
      </c>
      <c r="B5" s="763"/>
      <c r="C5" s="766"/>
      <c r="D5" s="763"/>
      <c r="E5" s="763"/>
      <c r="F5" s="1957"/>
      <c r="G5" s="763"/>
    </row>
    <row r="6" spans="1:8" s="230" customFormat="1" x14ac:dyDescent="0.25">
      <c r="A6" s="675" t="s">
        <v>26</v>
      </c>
      <c r="B6" s="675"/>
      <c r="C6" s="676" t="s">
        <v>27</v>
      </c>
      <c r="D6" s="675" t="s">
        <v>28</v>
      </c>
      <c r="E6" s="677" t="s">
        <v>29</v>
      </c>
      <c r="F6" s="1935" t="s">
        <v>30</v>
      </c>
      <c r="G6" s="678" t="s">
        <v>31</v>
      </c>
    </row>
    <row r="7" spans="1:8" s="246" customFormat="1" ht="12" x14ac:dyDescent="0.25">
      <c r="A7" s="768"/>
      <c r="B7" s="769"/>
      <c r="C7" s="770"/>
      <c r="E7" s="771"/>
      <c r="F7" s="1957"/>
      <c r="G7" s="763"/>
    </row>
    <row r="8" spans="1:8" s="239" customFormat="1" ht="16.5" thickBot="1" x14ac:dyDescent="0.3">
      <c r="A8" s="772"/>
      <c r="B8" s="773" t="s">
        <v>20</v>
      </c>
      <c r="C8" s="774" t="s">
        <v>1011</v>
      </c>
      <c r="D8" s="235"/>
      <c r="E8" s="775"/>
      <c r="F8" s="1958"/>
      <c r="G8" s="776"/>
    </row>
    <row r="9" spans="1:8" x14ac:dyDescent="0.25">
      <c r="A9" s="240"/>
      <c r="B9" s="688"/>
      <c r="C9" s="689"/>
      <c r="D9" s="232"/>
      <c r="E9" s="690"/>
      <c r="F9" s="1938"/>
      <c r="G9" s="691"/>
    </row>
    <row r="10" spans="1:8" ht="60" x14ac:dyDescent="0.25">
      <c r="A10" s="693" t="str">
        <f>$B$8</f>
        <v>I.</v>
      </c>
      <c r="B10" s="348">
        <f>1</f>
        <v>1</v>
      </c>
      <c r="C10" s="708" t="s">
        <v>1409</v>
      </c>
      <c r="D10" s="695" t="s">
        <v>69</v>
      </c>
      <c r="E10" s="696">
        <v>3</v>
      </c>
      <c r="F10" s="1959"/>
      <c r="G10" s="697">
        <f>ROUND(E10*F10,2)</f>
        <v>0</v>
      </c>
    </row>
    <row r="11" spans="1:8" x14ac:dyDescent="0.25">
      <c r="A11" s="240"/>
      <c r="B11" s="688"/>
      <c r="C11" s="912"/>
      <c r="D11" s="695"/>
      <c r="E11" s="696"/>
      <c r="F11" s="1889"/>
      <c r="G11" s="697"/>
    </row>
    <row r="12" spans="1:8" s="246" customFormat="1" ht="36" x14ac:dyDescent="0.25">
      <c r="A12" s="693" t="str">
        <f>$B$8</f>
        <v>I.</v>
      </c>
      <c r="B12" s="348">
        <f>COUNT($A9:B$11)+1</f>
        <v>2</v>
      </c>
      <c r="C12" s="708" t="s">
        <v>1410</v>
      </c>
      <c r="D12" s="695" t="s">
        <v>69</v>
      </c>
      <c r="E12" s="913">
        <v>73.099999999999994</v>
      </c>
      <c r="F12" s="1959"/>
      <c r="G12" s="697">
        <f>ROUND(E12*F12,2)</f>
        <v>0</v>
      </c>
      <c r="H12" s="251"/>
    </row>
    <row r="13" spans="1:8" s="246" customFormat="1" ht="36" x14ac:dyDescent="0.25">
      <c r="A13" s="245"/>
      <c r="B13" s="348"/>
      <c r="C13" s="708" t="s">
        <v>1411</v>
      </c>
      <c r="D13" s="695" t="s">
        <v>69</v>
      </c>
      <c r="E13" s="913">
        <v>6.3</v>
      </c>
      <c r="F13" s="1959"/>
      <c r="G13" s="697">
        <f>ROUND(E13*F13,2)</f>
        <v>0</v>
      </c>
      <c r="H13" s="251"/>
    </row>
    <row r="14" spans="1:8" s="246" customFormat="1" ht="24" x14ac:dyDescent="0.25">
      <c r="A14" s="245"/>
      <c r="B14" s="348"/>
      <c r="C14" s="708" t="s">
        <v>1412</v>
      </c>
      <c r="D14" s="695" t="s">
        <v>69</v>
      </c>
      <c r="E14" s="913">
        <v>10.4</v>
      </c>
      <c r="F14" s="1959"/>
      <c r="G14" s="697">
        <f>ROUND(E14*F14,2)</f>
        <v>0</v>
      </c>
      <c r="H14" s="251"/>
    </row>
    <row r="15" spans="1:8" s="246" customFormat="1" ht="24" x14ac:dyDescent="0.25">
      <c r="A15" s="245"/>
      <c r="B15" s="348"/>
      <c r="C15" s="708" t="s">
        <v>1413</v>
      </c>
      <c r="D15" s="695" t="s">
        <v>69</v>
      </c>
      <c r="E15" s="913">
        <v>55.7</v>
      </c>
      <c r="F15" s="1959"/>
      <c r="G15" s="697">
        <f>ROUND(E15*F15,2)</f>
        <v>0</v>
      </c>
      <c r="H15" s="251"/>
    </row>
    <row r="16" spans="1:8" s="246" customFormat="1" ht="36" x14ac:dyDescent="0.25">
      <c r="A16" s="245"/>
      <c r="B16" s="348"/>
      <c r="C16" s="708" t="s">
        <v>1414</v>
      </c>
      <c r="D16" s="695" t="s">
        <v>69</v>
      </c>
      <c r="E16" s="913">
        <v>17.399999999999999</v>
      </c>
      <c r="F16" s="1959"/>
      <c r="G16" s="697">
        <f>ROUND(E16*F16,2)</f>
        <v>0</v>
      </c>
      <c r="H16" s="251"/>
    </row>
    <row r="17" spans="1:8" x14ac:dyDescent="0.25">
      <c r="A17" s="240"/>
      <c r="B17" s="241"/>
      <c r="C17" s="233"/>
      <c r="D17" s="232"/>
      <c r="E17" s="914"/>
      <c r="F17" s="1988"/>
      <c r="G17" s="697"/>
    </row>
    <row r="18" spans="1:8" s="246" customFormat="1" ht="25.5" customHeight="1" x14ac:dyDescent="0.25">
      <c r="A18" s="693" t="str">
        <f>$B$8</f>
        <v>I.</v>
      </c>
      <c r="B18" s="348">
        <f>COUNT($A$11:B15)+1</f>
        <v>2</v>
      </c>
      <c r="C18" s="708" t="s">
        <v>1415</v>
      </c>
      <c r="D18" s="695" t="s">
        <v>69</v>
      </c>
      <c r="E18" s="913">
        <v>71.900000000000006</v>
      </c>
      <c r="F18" s="1959"/>
      <c r="G18" s="697">
        <f>ROUND(E18*F18,2)</f>
        <v>0</v>
      </c>
      <c r="H18" s="251"/>
    </row>
    <row r="19" spans="1:8" s="246" customFormat="1" ht="36" x14ac:dyDescent="0.25">
      <c r="A19" s="245"/>
      <c r="B19" s="348"/>
      <c r="C19" s="708" t="s">
        <v>1416</v>
      </c>
      <c r="D19" s="695" t="s">
        <v>69</v>
      </c>
      <c r="E19" s="913">
        <v>6</v>
      </c>
      <c r="F19" s="1959"/>
      <c r="G19" s="697">
        <f>ROUND(E19*F19,2)</f>
        <v>0</v>
      </c>
      <c r="H19" s="251"/>
    </row>
    <row r="20" spans="1:8" s="246" customFormat="1" ht="24" x14ac:dyDescent="0.25">
      <c r="A20" s="245"/>
      <c r="B20" s="348"/>
      <c r="C20" s="708" t="s">
        <v>1412</v>
      </c>
      <c r="D20" s="695" t="s">
        <v>69</v>
      </c>
      <c r="E20" s="913">
        <v>9.8000000000000007</v>
      </c>
      <c r="F20" s="1959"/>
      <c r="G20" s="697">
        <f>ROUND(E20*F20,2)</f>
        <v>0</v>
      </c>
      <c r="H20" s="251"/>
    </row>
    <row r="21" spans="1:8" s="246" customFormat="1" ht="24" x14ac:dyDescent="0.25">
      <c r="A21" s="245"/>
      <c r="B21" s="348"/>
      <c r="C21" s="708" t="s">
        <v>1413</v>
      </c>
      <c r="D21" s="695" t="s">
        <v>69</v>
      </c>
      <c r="E21" s="913">
        <v>54.2</v>
      </c>
      <c r="F21" s="1959"/>
      <c r="G21" s="697">
        <f>ROUND(E21*F21,2)</f>
        <v>0</v>
      </c>
      <c r="H21" s="251"/>
    </row>
    <row r="22" spans="1:8" s="246" customFormat="1" ht="36" x14ac:dyDescent="0.25">
      <c r="A22" s="245"/>
      <c r="B22" s="348"/>
      <c r="C22" s="708" t="s">
        <v>1414</v>
      </c>
      <c r="D22" s="695" t="s">
        <v>69</v>
      </c>
      <c r="E22" s="913">
        <v>17.7</v>
      </c>
      <c r="F22" s="1959"/>
      <c r="G22" s="697">
        <f>ROUND(E22*F22,2)</f>
        <v>0</v>
      </c>
      <c r="H22" s="251"/>
    </row>
    <row r="23" spans="1:8" x14ac:dyDescent="0.25">
      <c r="A23" s="240"/>
      <c r="B23" s="241"/>
      <c r="C23" s="233"/>
      <c r="D23" s="232"/>
      <c r="E23" s="914"/>
      <c r="F23" s="1988"/>
      <c r="G23" s="697"/>
    </row>
    <row r="24" spans="1:8" s="246" customFormat="1" ht="25.5" customHeight="1" x14ac:dyDescent="0.25">
      <c r="A24" s="693" t="str">
        <f>$B$8</f>
        <v>I.</v>
      </c>
      <c r="B24" s="348">
        <f>COUNT($A$11:B21)+1</f>
        <v>3</v>
      </c>
      <c r="C24" s="708" t="s">
        <v>1417</v>
      </c>
      <c r="D24" s="695" t="s">
        <v>69</v>
      </c>
      <c r="E24" s="913">
        <v>129.6</v>
      </c>
      <c r="F24" s="1959"/>
      <c r="G24" s="697">
        <f>ROUND(E24*F24,2)</f>
        <v>0</v>
      </c>
      <c r="H24" s="251"/>
    </row>
    <row r="25" spans="1:8" s="246" customFormat="1" ht="48" x14ac:dyDescent="0.25">
      <c r="A25" s="245"/>
      <c r="B25" s="348"/>
      <c r="C25" s="708" t="s">
        <v>1418</v>
      </c>
      <c r="D25" s="695" t="s">
        <v>69</v>
      </c>
      <c r="E25" s="913">
        <v>10.5</v>
      </c>
      <c r="F25" s="1959"/>
      <c r="G25" s="697">
        <f>ROUND(E25*F25,2)</f>
        <v>0</v>
      </c>
      <c r="H25" s="251"/>
    </row>
    <row r="26" spans="1:8" s="246" customFormat="1" ht="24" x14ac:dyDescent="0.25">
      <c r="A26" s="245"/>
      <c r="B26" s="348"/>
      <c r="C26" s="708" t="s">
        <v>1412</v>
      </c>
      <c r="D26" s="695" t="s">
        <v>69</v>
      </c>
      <c r="E26" s="913">
        <v>17</v>
      </c>
      <c r="F26" s="1959"/>
      <c r="G26" s="697">
        <f>ROUND(E26*F26,2)</f>
        <v>0</v>
      </c>
      <c r="H26" s="251"/>
    </row>
    <row r="27" spans="1:8" s="246" customFormat="1" ht="24" x14ac:dyDescent="0.25">
      <c r="A27" s="245"/>
      <c r="B27" s="348"/>
      <c r="C27" s="708" t="s">
        <v>1413</v>
      </c>
      <c r="D27" s="695" t="s">
        <v>69</v>
      </c>
      <c r="E27" s="913">
        <v>101.2</v>
      </c>
      <c r="F27" s="1959"/>
      <c r="G27" s="697">
        <f>ROUND(E27*F27,2)</f>
        <v>0</v>
      </c>
      <c r="H27" s="251"/>
    </row>
    <row r="28" spans="1:8" s="246" customFormat="1" ht="36" x14ac:dyDescent="0.25">
      <c r="A28" s="245"/>
      <c r="B28" s="348"/>
      <c r="C28" s="708" t="s">
        <v>1414</v>
      </c>
      <c r="D28" s="695" t="s">
        <v>69</v>
      </c>
      <c r="E28" s="913">
        <v>28.4</v>
      </c>
      <c r="F28" s="1959"/>
      <c r="G28" s="697">
        <f>ROUND(E28*F28,2)</f>
        <v>0</v>
      </c>
      <c r="H28" s="251"/>
    </row>
    <row r="29" spans="1:8" x14ac:dyDescent="0.25">
      <c r="A29" s="240"/>
      <c r="B29" s="241"/>
      <c r="C29" s="233"/>
      <c r="D29" s="232"/>
      <c r="E29" s="914"/>
      <c r="F29" s="1988"/>
      <c r="G29" s="697"/>
    </row>
    <row r="30" spans="1:8" s="246" customFormat="1" ht="25.5" customHeight="1" x14ac:dyDescent="0.25">
      <c r="A30" s="693" t="str">
        <f>$B$8</f>
        <v>I.</v>
      </c>
      <c r="B30" s="348">
        <f>COUNT($A$11:B27)+1</f>
        <v>4</v>
      </c>
      <c r="C30" s="708" t="s">
        <v>1417</v>
      </c>
      <c r="D30" s="695" t="s">
        <v>69</v>
      </c>
      <c r="E30" s="913">
        <v>173.3</v>
      </c>
      <c r="F30" s="1959"/>
      <c r="G30" s="697">
        <f>ROUND(E30*F30,2)</f>
        <v>0</v>
      </c>
      <c r="H30" s="251"/>
    </row>
    <row r="31" spans="1:8" s="246" customFormat="1" ht="48" x14ac:dyDescent="0.25">
      <c r="A31" s="245"/>
      <c r="B31" s="348"/>
      <c r="C31" s="708" t="s">
        <v>1419</v>
      </c>
      <c r="D31" s="695" t="s">
        <v>69</v>
      </c>
      <c r="E31" s="913">
        <v>13.2</v>
      </c>
      <c r="F31" s="1959"/>
      <c r="G31" s="697">
        <f>ROUND(E31*F31,2)</f>
        <v>0</v>
      </c>
      <c r="H31" s="251"/>
    </row>
    <row r="32" spans="1:8" s="246" customFormat="1" ht="24" x14ac:dyDescent="0.25">
      <c r="A32" s="245"/>
      <c r="B32" s="348"/>
      <c r="C32" s="708" t="s">
        <v>1412</v>
      </c>
      <c r="D32" s="695" t="s">
        <v>69</v>
      </c>
      <c r="E32" s="913">
        <v>21</v>
      </c>
      <c r="F32" s="1959"/>
      <c r="G32" s="697">
        <f>ROUND(E32*F32,2)</f>
        <v>0</v>
      </c>
      <c r="H32" s="251"/>
    </row>
    <row r="33" spans="1:8" s="246" customFormat="1" ht="24" x14ac:dyDescent="0.25">
      <c r="A33" s="245"/>
      <c r="B33" s="348"/>
      <c r="C33" s="708" t="s">
        <v>1413</v>
      </c>
      <c r="D33" s="695" t="s">
        <v>69</v>
      </c>
      <c r="E33" s="913">
        <v>136.19999999999999</v>
      </c>
      <c r="F33" s="1959"/>
      <c r="G33" s="697">
        <f>ROUND(E33*F33,2)</f>
        <v>0</v>
      </c>
      <c r="H33" s="251"/>
    </row>
    <row r="34" spans="1:8" s="246" customFormat="1" ht="36" x14ac:dyDescent="0.25">
      <c r="A34" s="245"/>
      <c r="B34" s="348"/>
      <c r="C34" s="708" t="s">
        <v>1414</v>
      </c>
      <c r="D34" s="695" t="s">
        <v>69</v>
      </c>
      <c r="E34" s="913">
        <v>37.1</v>
      </c>
      <c r="F34" s="1959"/>
      <c r="G34" s="697">
        <f>ROUND(E34*F34,2)</f>
        <v>0</v>
      </c>
      <c r="H34" s="251"/>
    </row>
    <row r="35" spans="1:8" x14ac:dyDescent="0.25">
      <c r="A35" s="240"/>
      <c r="B35" s="241"/>
      <c r="C35" s="233"/>
      <c r="D35" s="232"/>
      <c r="E35" s="914"/>
      <c r="F35" s="1988"/>
      <c r="G35" s="697"/>
    </row>
    <row r="36" spans="1:8" s="246" customFormat="1" ht="25.5" customHeight="1" x14ac:dyDescent="0.25">
      <c r="A36" s="693" t="str">
        <f>$B$8</f>
        <v>I.</v>
      </c>
      <c r="B36" s="348">
        <f>COUNT($A9:B$17)+1</f>
        <v>3</v>
      </c>
      <c r="C36" s="708" t="s">
        <v>1420</v>
      </c>
      <c r="D36" s="695" t="s">
        <v>69</v>
      </c>
      <c r="E36" s="913">
        <v>10</v>
      </c>
      <c r="F36" s="1959"/>
      <c r="G36" s="697">
        <f>ROUND(E36*F36,2)</f>
        <v>0</v>
      </c>
      <c r="H36" s="251"/>
    </row>
    <row r="37" spans="1:8" s="260" customFormat="1" ht="72" x14ac:dyDescent="0.25">
      <c r="A37" s="784"/>
      <c r="C37" s="708" t="s">
        <v>1421</v>
      </c>
      <c r="D37" s="695" t="s">
        <v>69</v>
      </c>
      <c r="E37" s="913">
        <v>2</v>
      </c>
      <c r="F37" s="1959"/>
      <c r="G37" s="697">
        <f>ROUND(E37*F37,2)</f>
        <v>0</v>
      </c>
      <c r="H37" s="644"/>
    </row>
    <row r="38" spans="1:8" s="260" customFormat="1" ht="24" x14ac:dyDescent="0.25">
      <c r="A38" s="784"/>
      <c r="B38" s="785"/>
      <c r="C38" s="708" t="s">
        <v>1422</v>
      </c>
      <c r="D38" s="695" t="s">
        <v>69</v>
      </c>
      <c r="E38" s="913">
        <v>8</v>
      </c>
      <c r="F38" s="1959"/>
      <c r="G38" s="697">
        <f>ROUND(E38*F38,2)</f>
        <v>0</v>
      </c>
      <c r="H38" s="644"/>
    </row>
    <row r="39" spans="1:8" s="260" customFormat="1" ht="36" x14ac:dyDescent="0.25">
      <c r="A39" s="784"/>
      <c r="B39" s="785"/>
      <c r="C39" s="708" t="s">
        <v>1414</v>
      </c>
      <c r="D39" s="695" t="s">
        <v>69</v>
      </c>
      <c r="E39" s="913">
        <v>10</v>
      </c>
      <c r="F39" s="1959"/>
      <c r="G39" s="697">
        <f>ROUND(E39*F39,2)</f>
        <v>0</v>
      </c>
      <c r="H39" s="644"/>
    </row>
    <row r="40" spans="1:8" s="260" customFormat="1" ht="12" x14ac:dyDescent="0.25">
      <c r="A40" s="784"/>
      <c r="B40" s="785"/>
      <c r="C40" s="708"/>
      <c r="D40" s="695"/>
      <c r="E40" s="696"/>
      <c r="F40" s="1939"/>
      <c r="G40" s="697"/>
      <c r="H40" s="644"/>
    </row>
    <row r="41" spans="1:8" ht="36" x14ac:dyDescent="0.25">
      <c r="A41" s="693" t="str">
        <f>$B$8</f>
        <v>I.</v>
      </c>
      <c r="B41" s="348">
        <f>COUNT($A9:B$39)+1</f>
        <v>7</v>
      </c>
      <c r="C41" s="708" t="s">
        <v>1423</v>
      </c>
      <c r="D41" s="695" t="s">
        <v>58</v>
      </c>
      <c r="E41" s="696">
        <v>11</v>
      </c>
      <c r="F41" s="1959"/>
      <c r="G41" s="697">
        <f>ROUND(E41*F41,2)</f>
        <v>0</v>
      </c>
    </row>
    <row r="42" spans="1:8" x14ac:dyDescent="0.25">
      <c r="A42" s="240"/>
      <c r="B42" s="688"/>
      <c r="C42" s="689"/>
      <c r="D42" s="232"/>
      <c r="E42" s="690"/>
      <c r="F42" s="1889"/>
      <c r="G42" s="697"/>
    </row>
    <row r="43" spans="1:8" ht="36" x14ac:dyDescent="0.25">
      <c r="A43" s="693" t="str">
        <f>$B$8</f>
        <v>I.</v>
      </c>
      <c r="B43" s="348">
        <f>COUNT($A$9:B42)+1</f>
        <v>8</v>
      </c>
      <c r="C43" s="708" t="s">
        <v>1424</v>
      </c>
      <c r="D43" s="695" t="s">
        <v>58</v>
      </c>
      <c r="E43" s="696">
        <v>4</v>
      </c>
      <c r="F43" s="1959"/>
      <c r="G43" s="697">
        <f>ROUND(E43*F43,2)</f>
        <v>0</v>
      </c>
    </row>
    <row r="44" spans="1:8" x14ac:dyDescent="0.25">
      <c r="A44" s="240"/>
      <c r="B44" s="688"/>
      <c r="C44" s="689"/>
      <c r="D44" s="232"/>
      <c r="E44" s="690"/>
      <c r="F44" s="1889"/>
      <c r="G44" s="697"/>
    </row>
    <row r="45" spans="1:8" s="246" customFormat="1" ht="36" x14ac:dyDescent="0.25">
      <c r="A45" s="693" t="str">
        <f>$B$8</f>
        <v>I.</v>
      </c>
      <c r="B45" s="348">
        <f>COUNT($A$9:B44)+1</f>
        <v>9</v>
      </c>
      <c r="C45" s="916" t="s">
        <v>1425</v>
      </c>
      <c r="D45" s="705" t="s">
        <v>58</v>
      </c>
      <c r="E45" s="706">
        <v>1</v>
      </c>
      <c r="F45" s="1959"/>
      <c r="G45" s="697">
        <f>ROUND(E45*F45,2)</f>
        <v>0</v>
      </c>
    </row>
    <row r="46" spans="1:8" s="246" customFormat="1" x14ac:dyDescent="0.25">
      <c r="A46" s="693"/>
      <c r="B46" s="348"/>
      <c r="C46" s="708"/>
      <c r="D46" s="705"/>
      <c r="E46" s="706"/>
      <c r="F46" s="1889"/>
      <c r="G46" s="697"/>
    </row>
    <row r="47" spans="1:8" s="246" customFormat="1" ht="24" x14ac:dyDescent="0.25">
      <c r="A47" s="693" t="str">
        <f>$B$8</f>
        <v>I.</v>
      </c>
      <c r="B47" s="348">
        <f>COUNT($A$9:B46)+1</f>
        <v>10</v>
      </c>
      <c r="C47" s="782" t="s">
        <v>1426</v>
      </c>
      <c r="D47" s="695" t="s">
        <v>109</v>
      </c>
      <c r="E47" s="696">
        <v>10</v>
      </c>
      <c r="F47" s="1959"/>
      <c r="G47" s="697">
        <f>ROUND(E47*F47,2)</f>
        <v>0</v>
      </c>
    </row>
    <row r="48" spans="1:8" s="246" customFormat="1" ht="12" x14ac:dyDescent="0.25">
      <c r="A48" s="781"/>
      <c r="B48" s="769"/>
      <c r="C48" s="708"/>
      <c r="D48" s="695"/>
      <c r="E48" s="696"/>
      <c r="F48" s="1959"/>
      <c r="G48" s="697"/>
    </row>
    <row r="49" spans="1:7" s="246" customFormat="1" ht="48" x14ac:dyDescent="0.25">
      <c r="A49" s="693" t="str">
        <f>$B$8</f>
        <v>I.</v>
      </c>
      <c r="B49" s="348">
        <f>COUNT($A$9:B48)+1</f>
        <v>11</v>
      </c>
      <c r="C49" s="782" t="s">
        <v>1427</v>
      </c>
      <c r="D49" s="695" t="s">
        <v>58</v>
      </c>
      <c r="E49" s="696">
        <v>1</v>
      </c>
      <c r="F49" s="1959"/>
      <c r="G49" s="697">
        <f>ROUND(E49*F49,2)</f>
        <v>0</v>
      </c>
    </row>
    <row r="50" spans="1:7" s="246" customFormat="1" x14ac:dyDescent="0.25">
      <c r="A50" s="781"/>
      <c r="B50" s="769"/>
      <c r="C50" s="708"/>
      <c r="D50" s="695"/>
      <c r="E50" s="696"/>
      <c r="F50" s="1889"/>
      <c r="G50" s="697"/>
    </row>
    <row r="51" spans="1:7" s="246" customFormat="1" ht="36" x14ac:dyDescent="0.25">
      <c r="A51" s="693" t="str">
        <f>$B$8</f>
        <v>I.</v>
      </c>
      <c r="B51" s="348">
        <f>COUNT($A$9:B49)+1</f>
        <v>12</v>
      </c>
      <c r="C51" s="782" t="s">
        <v>1428</v>
      </c>
      <c r="D51" s="695" t="s">
        <v>58</v>
      </c>
      <c r="E51" s="696">
        <v>1</v>
      </c>
      <c r="F51" s="1959"/>
      <c r="G51" s="697">
        <f>ROUND(E51*F51,2)</f>
        <v>0</v>
      </c>
    </row>
    <row r="52" spans="1:7" s="246" customFormat="1" x14ac:dyDescent="0.25">
      <c r="A52" s="781"/>
      <c r="B52" s="769"/>
      <c r="C52" s="708"/>
      <c r="D52" s="695"/>
      <c r="E52" s="696"/>
      <c r="F52" s="1889"/>
      <c r="G52" s="783"/>
    </row>
    <row r="53" spans="1:7" s="369" customFormat="1" ht="13.5" thickBot="1" x14ac:dyDescent="0.3">
      <c r="A53" s="790"/>
      <c r="B53" s="791"/>
      <c r="C53" s="366" t="str">
        <f>CONCATENATE(B8," ",C8," - SKUPAJ:")</f>
        <v>I. ELEKTRO DEL - SKUPAJ:</v>
      </c>
      <c r="D53" s="366"/>
      <c r="E53" s="366"/>
      <c r="F53" s="1961"/>
      <c r="G53" s="792">
        <f>ROUND(SUM(G10:G51),2)</f>
        <v>0</v>
      </c>
    </row>
    <row r="54" spans="1:7" s="633" customFormat="1" ht="15" x14ac:dyDescent="0.25">
      <c r="C54" s="629"/>
      <c r="E54" s="631"/>
      <c r="F54" s="1968"/>
      <c r="G54" s="825"/>
    </row>
    <row r="55" spans="1:7" s="246" customFormat="1" ht="12" x14ac:dyDescent="0.25">
      <c r="C55" s="770"/>
      <c r="E55" s="771"/>
      <c r="F55" s="1957"/>
      <c r="G55" s="763"/>
    </row>
    <row r="56" spans="1:7" s="720" customFormat="1" ht="19.5" thickBot="1" x14ac:dyDescent="0.3">
      <c r="A56" s="793" t="str">
        <f>CONCATENATE("DELNA REKAPITULACIJA - ",A2,C2)</f>
        <v>DELNA REKAPITULACIJA - 4.11OSTALO</v>
      </c>
      <c r="B56" s="794"/>
      <c r="C56" s="795"/>
      <c r="D56" s="796"/>
      <c r="E56" s="797"/>
      <c r="F56" s="1962"/>
      <c r="G56" s="798"/>
    </row>
    <row r="57" spans="1:7" s="616" customFormat="1" ht="14.25" customHeight="1" x14ac:dyDescent="0.25">
      <c r="A57" s="799"/>
      <c r="B57" s="799"/>
      <c r="C57" s="800"/>
      <c r="D57" s="799"/>
      <c r="E57" s="801"/>
      <c r="F57" s="1963"/>
      <c r="G57" s="802"/>
    </row>
    <row r="58" spans="1:7" s="616" customFormat="1" ht="12.75" customHeight="1" x14ac:dyDescent="0.25">
      <c r="A58" s="763" t="s">
        <v>1044</v>
      </c>
      <c r="B58" s="803"/>
      <c r="C58" s="804"/>
      <c r="D58" s="803"/>
      <c r="E58" s="803"/>
      <c r="F58" s="1964"/>
      <c r="G58" s="803"/>
    </row>
    <row r="59" spans="1:7" s="369" customFormat="1" x14ac:dyDescent="0.25">
      <c r="A59" s="725"/>
      <c r="B59" s="725"/>
      <c r="C59" s="727"/>
      <c r="D59" s="727"/>
      <c r="E59" s="728"/>
      <c r="F59" s="1948"/>
      <c r="G59" s="729"/>
    </row>
    <row r="60" spans="1:7" s="616" customFormat="1" x14ac:dyDescent="0.25">
      <c r="A60" s="805"/>
      <c r="B60" s="805"/>
      <c r="C60" s="806"/>
      <c r="E60" s="807"/>
      <c r="F60" s="1965"/>
      <c r="G60" s="808"/>
    </row>
    <row r="61" spans="1:7" s="375" customFormat="1" x14ac:dyDescent="0.25">
      <c r="A61" s="809"/>
      <c r="B61" s="809" t="str">
        <f>+B8</f>
        <v>I.</v>
      </c>
      <c r="C61" s="371" t="str">
        <f>+C8</f>
        <v>ELEKTRO DEL</v>
      </c>
      <c r="E61" s="744"/>
      <c r="F61" s="1966"/>
      <c r="G61" s="810">
        <f>ROUND(G53,2)</f>
        <v>0</v>
      </c>
    </row>
    <row r="62" spans="1:7" s="375" customFormat="1" ht="13.5" thickBot="1" x14ac:dyDescent="0.3">
      <c r="A62" s="811"/>
      <c r="B62" s="811"/>
      <c r="C62" s="732"/>
      <c r="D62" s="812"/>
      <c r="E62" s="734"/>
      <c r="F62" s="1967"/>
      <c r="G62" s="813"/>
    </row>
    <row r="63" spans="1:7" s="616" customFormat="1" ht="13.5" thickTop="1" x14ac:dyDescent="0.25">
      <c r="A63" s="736"/>
      <c r="B63" s="736"/>
      <c r="C63" s="737"/>
      <c r="D63" s="738"/>
      <c r="E63" s="739"/>
      <c r="F63" s="1951"/>
      <c r="G63" s="740"/>
    </row>
    <row r="64" spans="1:7" s="375" customFormat="1" x14ac:dyDescent="0.25">
      <c r="A64" s="815"/>
      <c r="B64" s="815"/>
      <c r="C64" s="743" t="str">
        <f>CONCATENATE(A2," ",C2," - SKUPAJ:")</f>
        <v>4.11 OSTALO - SKUPAJ:</v>
      </c>
      <c r="D64" s="744"/>
      <c r="E64" s="744"/>
      <c r="F64" s="1966"/>
      <c r="G64" s="810">
        <f>ROUND(G61,2)</f>
        <v>0</v>
      </c>
    </row>
    <row r="65" spans="3:7" s="616" customFormat="1" x14ac:dyDescent="0.25">
      <c r="C65" s="806"/>
      <c r="E65" s="816"/>
      <c r="F65" s="1965"/>
      <c r="G65" s="803"/>
    </row>
    <row r="66" spans="3:7" s="246" customFormat="1" ht="12" x14ac:dyDescent="0.25">
      <c r="C66" s="817"/>
      <c r="E66" s="771"/>
      <c r="F66" s="1957"/>
      <c r="G66" s="763"/>
    </row>
    <row r="67" spans="3:7" s="246" customFormat="1" ht="12" x14ac:dyDescent="0.25">
      <c r="C67" s="817"/>
      <c r="E67" s="771"/>
      <c r="F67" s="1957"/>
      <c r="G67" s="763"/>
    </row>
    <row r="68" spans="3:7" s="246" customFormat="1" ht="12" x14ac:dyDescent="0.25">
      <c r="C68" s="817"/>
      <c r="E68" s="771"/>
      <c r="F68" s="1957"/>
      <c r="G68" s="763"/>
    </row>
    <row r="69" spans="3:7" s="246" customFormat="1" ht="12" x14ac:dyDescent="0.25">
      <c r="C69" s="817"/>
      <c r="E69" s="771"/>
      <c r="F69" s="1957"/>
      <c r="G69" s="763"/>
    </row>
    <row r="70" spans="3:7" s="246" customFormat="1" ht="12" x14ac:dyDescent="0.25">
      <c r="C70" s="817"/>
      <c r="E70" s="771"/>
      <c r="F70" s="1957"/>
      <c r="G70" s="763"/>
    </row>
    <row r="71" spans="3:7" s="246" customFormat="1" ht="12" x14ac:dyDescent="0.25">
      <c r="C71" s="817"/>
      <c r="E71" s="771"/>
      <c r="F71" s="1957"/>
      <c r="G71" s="763"/>
    </row>
    <row r="72" spans="3:7" s="246" customFormat="1" ht="12" x14ac:dyDescent="0.25">
      <c r="C72" s="817"/>
      <c r="E72" s="771"/>
      <c r="F72" s="1957"/>
      <c r="G72" s="763"/>
    </row>
    <row r="73" spans="3:7" s="246" customFormat="1" ht="12" x14ac:dyDescent="0.25">
      <c r="C73" s="817"/>
      <c r="E73" s="771"/>
      <c r="F73" s="1957"/>
      <c r="G73" s="763"/>
    </row>
    <row r="74" spans="3:7" s="246" customFormat="1" ht="12" x14ac:dyDescent="0.25">
      <c r="C74" s="817"/>
      <c r="E74" s="771"/>
      <c r="F74" s="1957"/>
      <c r="G74" s="763"/>
    </row>
    <row r="75" spans="3:7" s="246" customFormat="1" ht="12" x14ac:dyDescent="0.25">
      <c r="C75" s="817"/>
      <c r="E75" s="771"/>
      <c r="F75" s="1957"/>
      <c r="G75" s="763"/>
    </row>
    <row r="76" spans="3:7" s="246" customFormat="1" ht="12" x14ac:dyDescent="0.25">
      <c r="C76" s="817"/>
      <c r="E76" s="771"/>
      <c r="F76" s="1957"/>
      <c r="G76" s="763"/>
    </row>
    <row r="77" spans="3:7" s="246" customFormat="1" ht="12" x14ac:dyDescent="0.25">
      <c r="C77" s="817"/>
      <c r="E77" s="771"/>
      <c r="F77" s="1957"/>
      <c r="G77" s="763"/>
    </row>
    <row r="78" spans="3:7" s="246" customFormat="1" ht="12" x14ac:dyDescent="0.25">
      <c r="C78" s="817"/>
      <c r="E78" s="771"/>
      <c r="F78" s="1957"/>
      <c r="G78" s="763"/>
    </row>
    <row r="79" spans="3:7" s="246" customFormat="1" ht="12" x14ac:dyDescent="0.25">
      <c r="C79" s="817"/>
      <c r="E79" s="771"/>
      <c r="F79" s="1957"/>
      <c r="G79" s="763"/>
    </row>
    <row r="80" spans="3:7" s="246" customFormat="1" ht="12" x14ac:dyDescent="0.25">
      <c r="C80" s="817"/>
      <c r="E80" s="771"/>
      <c r="F80" s="1957"/>
      <c r="G80" s="763"/>
    </row>
    <row r="81" spans="3:7" s="246" customFormat="1" ht="12" x14ac:dyDescent="0.25">
      <c r="C81" s="817"/>
      <c r="E81" s="771"/>
      <c r="F81" s="1957"/>
      <c r="G81" s="763"/>
    </row>
    <row r="82" spans="3:7" s="246" customFormat="1" ht="12" x14ac:dyDescent="0.25">
      <c r="C82" s="817"/>
      <c r="E82" s="771"/>
      <c r="F82" s="1957"/>
      <c r="G82" s="763"/>
    </row>
    <row r="83" spans="3:7" s="246" customFormat="1" ht="12" x14ac:dyDescent="0.25">
      <c r="C83" s="817"/>
      <c r="E83" s="771"/>
      <c r="F83" s="1957"/>
      <c r="G83" s="763"/>
    </row>
    <row r="84" spans="3:7" s="246" customFormat="1" ht="12" x14ac:dyDescent="0.25">
      <c r="C84" s="817"/>
      <c r="E84" s="771"/>
      <c r="F84" s="1957"/>
      <c r="G84" s="763"/>
    </row>
    <row r="85" spans="3:7" s="246" customFormat="1" ht="12" x14ac:dyDescent="0.25">
      <c r="C85" s="817"/>
      <c r="E85" s="771"/>
      <c r="F85" s="1957"/>
      <c r="G85" s="763"/>
    </row>
    <row r="86" spans="3:7" s="246" customFormat="1" ht="12" x14ac:dyDescent="0.25">
      <c r="C86" s="817"/>
      <c r="E86" s="771"/>
      <c r="F86" s="1957"/>
      <c r="G86" s="763"/>
    </row>
    <row r="87" spans="3:7" s="246" customFormat="1" ht="12" x14ac:dyDescent="0.25">
      <c r="C87" s="817"/>
      <c r="E87" s="771"/>
      <c r="F87" s="1957"/>
      <c r="G87" s="763"/>
    </row>
    <row r="88" spans="3:7" s="246" customFormat="1" ht="12" x14ac:dyDescent="0.25">
      <c r="C88" s="817"/>
      <c r="E88" s="771"/>
      <c r="F88" s="1957"/>
      <c r="G88" s="763"/>
    </row>
    <row r="89" spans="3:7" s="246" customFormat="1" ht="12" x14ac:dyDescent="0.25">
      <c r="C89" s="817"/>
      <c r="E89" s="771"/>
      <c r="F89" s="1957"/>
      <c r="G89" s="763"/>
    </row>
    <row r="90" spans="3:7" s="246" customFormat="1" ht="12" x14ac:dyDescent="0.25">
      <c r="C90" s="817"/>
      <c r="E90" s="771"/>
      <c r="F90" s="1957"/>
      <c r="G90" s="763"/>
    </row>
    <row r="91" spans="3:7" s="246" customFormat="1" ht="12" x14ac:dyDescent="0.25">
      <c r="C91" s="817"/>
      <c r="E91" s="771"/>
      <c r="F91" s="1957"/>
      <c r="G91" s="763"/>
    </row>
    <row r="92" spans="3:7" s="246" customFormat="1" ht="12" x14ac:dyDescent="0.25">
      <c r="C92" s="817"/>
      <c r="E92" s="771"/>
      <c r="F92" s="1957"/>
      <c r="G92" s="763"/>
    </row>
    <row r="93" spans="3:7" s="246" customFormat="1" ht="12" x14ac:dyDescent="0.25">
      <c r="C93" s="817"/>
      <c r="E93" s="771"/>
      <c r="F93" s="1957"/>
      <c r="G93" s="763"/>
    </row>
    <row r="94" spans="3:7" s="246" customFormat="1" ht="12" x14ac:dyDescent="0.25">
      <c r="C94" s="817"/>
      <c r="E94" s="771"/>
      <c r="F94" s="1957"/>
      <c r="G94" s="763"/>
    </row>
    <row r="95" spans="3:7" s="246" customFormat="1" ht="12" x14ac:dyDescent="0.25">
      <c r="C95" s="817"/>
      <c r="E95" s="771"/>
      <c r="F95" s="1957"/>
      <c r="G95" s="763"/>
    </row>
    <row r="96" spans="3:7" s="246" customFormat="1" ht="12" x14ac:dyDescent="0.25">
      <c r="C96" s="817"/>
      <c r="E96" s="771"/>
      <c r="F96" s="1957"/>
      <c r="G96" s="763"/>
    </row>
    <row r="97" spans="3:7" s="246" customFormat="1" ht="12" x14ac:dyDescent="0.25">
      <c r="C97" s="817"/>
      <c r="E97" s="771"/>
      <c r="F97" s="1957"/>
      <c r="G97" s="763"/>
    </row>
    <row r="98" spans="3:7" s="246" customFormat="1" ht="12" x14ac:dyDescent="0.25">
      <c r="C98" s="817"/>
      <c r="E98" s="771"/>
      <c r="F98" s="1957"/>
      <c r="G98" s="763"/>
    </row>
    <row r="99" spans="3:7" s="246" customFormat="1" ht="12" x14ac:dyDescent="0.25">
      <c r="C99" s="817"/>
      <c r="E99" s="771"/>
      <c r="F99" s="1957"/>
      <c r="G99" s="763"/>
    </row>
    <row r="100" spans="3:7" s="246" customFormat="1" ht="12" x14ac:dyDescent="0.25">
      <c r="C100" s="817"/>
      <c r="E100" s="771"/>
      <c r="F100" s="1957"/>
      <c r="G100" s="763"/>
    </row>
    <row r="101" spans="3:7" s="246" customFormat="1" ht="12" x14ac:dyDescent="0.25">
      <c r="C101" s="817"/>
      <c r="E101" s="771"/>
      <c r="F101" s="1957"/>
      <c r="G101" s="763"/>
    </row>
    <row r="102" spans="3:7" s="246" customFormat="1" ht="12" x14ac:dyDescent="0.25">
      <c r="C102" s="817"/>
      <c r="E102" s="771"/>
      <c r="F102" s="1957"/>
      <c r="G102" s="763"/>
    </row>
    <row r="103" spans="3:7" s="246" customFormat="1" ht="12" x14ac:dyDescent="0.25">
      <c r="C103" s="817"/>
      <c r="E103" s="771"/>
      <c r="F103" s="1957"/>
      <c r="G103" s="763"/>
    </row>
    <row r="104" spans="3:7" s="246" customFormat="1" ht="12" x14ac:dyDescent="0.25">
      <c r="C104" s="817"/>
      <c r="E104" s="771"/>
      <c r="F104" s="1957"/>
      <c r="G104" s="763"/>
    </row>
    <row r="105" spans="3:7" s="246" customFormat="1" ht="12" x14ac:dyDescent="0.25">
      <c r="C105" s="817"/>
      <c r="E105" s="771"/>
      <c r="F105" s="1957"/>
      <c r="G105" s="763"/>
    </row>
    <row r="106" spans="3:7" s="246" customFormat="1" ht="12" x14ac:dyDescent="0.25">
      <c r="C106" s="817"/>
      <c r="E106" s="771"/>
      <c r="F106" s="1957"/>
      <c r="G106" s="763"/>
    </row>
    <row r="107" spans="3:7" s="246" customFormat="1" ht="12" x14ac:dyDescent="0.25">
      <c r="C107" s="817"/>
      <c r="E107" s="771"/>
      <c r="F107" s="1957"/>
      <c r="G107" s="763"/>
    </row>
    <row r="108" spans="3:7" s="246" customFormat="1" ht="12" x14ac:dyDescent="0.25">
      <c r="C108" s="817"/>
      <c r="E108" s="771"/>
      <c r="F108" s="1957"/>
      <c r="G108" s="763"/>
    </row>
    <row r="109" spans="3:7" s="246" customFormat="1" ht="12" x14ac:dyDescent="0.25">
      <c r="C109" s="817"/>
      <c r="E109" s="771"/>
      <c r="F109" s="1957"/>
      <c r="G109" s="763"/>
    </row>
    <row r="110" spans="3:7" s="246" customFormat="1" ht="12" x14ac:dyDescent="0.25">
      <c r="C110" s="817"/>
      <c r="E110" s="771"/>
      <c r="F110" s="1957"/>
      <c r="G110" s="763"/>
    </row>
    <row r="111" spans="3:7" s="246" customFormat="1" ht="12" x14ac:dyDescent="0.25">
      <c r="C111" s="817"/>
      <c r="E111" s="771"/>
      <c r="F111" s="1957"/>
      <c r="G111" s="763"/>
    </row>
    <row r="112" spans="3:7" s="246" customFormat="1" ht="12" x14ac:dyDescent="0.25">
      <c r="C112" s="817"/>
      <c r="E112" s="771"/>
      <c r="F112" s="1957"/>
      <c r="G112" s="763"/>
    </row>
    <row r="113" spans="3:7" s="246" customFormat="1" ht="12" x14ac:dyDescent="0.25">
      <c r="C113" s="817"/>
      <c r="E113" s="771"/>
      <c r="F113" s="1957"/>
      <c r="G113" s="763"/>
    </row>
    <row r="114" spans="3:7" s="246" customFormat="1" ht="12" x14ac:dyDescent="0.25">
      <c r="C114" s="817"/>
      <c r="E114" s="771"/>
      <c r="F114" s="1957"/>
      <c r="G114" s="763"/>
    </row>
    <row r="115" spans="3:7" s="246" customFormat="1" ht="12" x14ac:dyDescent="0.25">
      <c r="C115" s="817"/>
      <c r="E115" s="771"/>
      <c r="F115" s="1957"/>
      <c r="G115" s="763"/>
    </row>
    <row r="116" spans="3:7" s="246" customFormat="1" ht="12" x14ac:dyDescent="0.25">
      <c r="C116" s="817"/>
      <c r="E116" s="771"/>
      <c r="F116" s="1957"/>
      <c r="G116" s="763"/>
    </row>
    <row r="117" spans="3:7" s="246" customFormat="1" ht="12" x14ac:dyDescent="0.25">
      <c r="C117" s="817"/>
      <c r="E117" s="771"/>
      <c r="F117" s="1957"/>
      <c r="G117" s="763"/>
    </row>
    <row r="118" spans="3:7" s="246" customFormat="1" ht="12" x14ac:dyDescent="0.25">
      <c r="C118" s="817"/>
      <c r="E118" s="771"/>
      <c r="F118" s="1957"/>
      <c r="G118" s="763"/>
    </row>
    <row r="119" spans="3:7" s="246" customFormat="1" ht="12" x14ac:dyDescent="0.25">
      <c r="C119" s="817"/>
      <c r="E119" s="771"/>
      <c r="F119" s="1957"/>
      <c r="G119" s="763"/>
    </row>
    <row r="120" spans="3:7" s="246" customFormat="1" ht="12" x14ac:dyDescent="0.25">
      <c r="C120" s="817"/>
      <c r="E120" s="771"/>
      <c r="F120" s="1957"/>
      <c r="G120" s="763"/>
    </row>
    <row r="121" spans="3:7" s="246" customFormat="1" ht="12" x14ac:dyDescent="0.25">
      <c r="C121" s="817"/>
      <c r="E121" s="771"/>
      <c r="F121" s="1957"/>
      <c r="G121" s="763"/>
    </row>
    <row r="122" spans="3:7" s="246" customFormat="1" ht="12" x14ac:dyDescent="0.25">
      <c r="C122" s="817"/>
      <c r="E122" s="771"/>
      <c r="F122" s="1957"/>
      <c r="G122" s="763"/>
    </row>
    <row r="123" spans="3:7" s="246" customFormat="1" ht="12" x14ac:dyDescent="0.25">
      <c r="C123" s="817"/>
      <c r="E123" s="771"/>
      <c r="F123" s="1957"/>
      <c r="G123" s="763"/>
    </row>
    <row r="124" spans="3:7" s="246" customFormat="1" ht="12" x14ac:dyDescent="0.25">
      <c r="C124" s="817"/>
      <c r="E124" s="771"/>
      <c r="F124" s="1957"/>
      <c r="G124" s="763"/>
    </row>
    <row r="125" spans="3:7" s="246" customFormat="1" ht="12" x14ac:dyDescent="0.25">
      <c r="C125" s="817"/>
      <c r="E125" s="771"/>
      <c r="F125" s="1957"/>
      <c r="G125" s="763"/>
    </row>
    <row r="126" spans="3:7" s="246" customFormat="1" ht="12" x14ac:dyDescent="0.25">
      <c r="C126" s="817"/>
      <c r="E126" s="771"/>
      <c r="F126" s="1957"/>
      <c r="G126" s="763"/>
    </row>
    <row r="127" spans="3:7" s="246" customFormat="1" ht="12" x14ac:dyDescent="0.25">
      <c r="C127" s="817"/>
      <c r="E127" s="771"/>
      <c r="F127" s="1957"/>
      <c r="G127" s="763"/>
    </row>
    <row r="128" spans="3:7" s="246" customFormat="1" ht="12" x14ac:dyDescent="0.25">
      <c r="C128" s="817"/>
      <c r="E128" s="771"/>
      <c r="F128" s="1957"/>
      <c r="G128" s="763"/>
    </row>
    <row r="129" spans="3:7" s="246" customFormat="1" ht="12" x14ac:dyDescent="0.25">
      <c r="C129" s="817"/>
      <c r="E129" s="771"/>
      <c r="F129" s="1957"/>
      <c r="G129" s="763"/>
    </row>
    <row r="130" spans="3:7" s="246" customFormat="1" ht="12" x14ac:dyDescent="0.25">
      <c r="C130" s="817"/>
      <c r="E130" s="771"/>
      <c r="F130" s="1957"/>
      <c r="G130" s="763"/>
    </row>
    <row r="131" spans="3:7" s="246" customFormat="1" ht="12" x14ac:dyDescent="0.25">
      <c r="C131" s="817"/>
      <c r="E131" s="771"/>
      <c r="F131" s="1957"/>
      <c r="G131" s="763"/>
    </row>
    <row r="132" spans="3:7" s="246" customFormat="1" ht="12" x14ac:dyDescent="0.25">
      <c r="C132" s="817"/>
      <c r="E132" s="771"/>
      <c r="F132" s="1957"/>
      <c r="G132" s="763"/>
    </row>
    <row r="133" spans="3:7" s="246" customFormat="1" ht="12" x14ac:dyDescent="0.25">
      <c r="C133" s="817"/>
      <c r="E133" s="771"/>
      <c r="F133" s="1957"/>
      <c r="G133" s="763"/>
    </row>
    <row r="134" spans="3:7" s="246" customFormat="1" ht="12" x14ac:dyDescent="0.25">
      <c r="C134" s="817"/>
      <c r="E134" s="771"/>
      <c r="F134" s="1957"/>
      <c r="G134" s="763"/>
    </row>
    <row r="135" spans="3:7" s="246" customFormat="1" ht="12" x14ac:dyDescent="0.25">
      <c r="C135" s="817"/>
      <c r="E135" s="771"/>
      <c r="F135" s="1957"/>
      <c r="G135" s="763"/>
    </row>
    <row r="136" spans="3:7" s="246" customFormat="1" ht="12" x14ac:dyDescent="0.25">
      <c r="C136" s="817"/>
      <c r="E136" s="771"/>
      <c r="F136" s="1957"/>
      <c r="G136" s="763"/>
    </row>
    <row r="137" spans="3:7" s="246" customFormat="1" ht="12" x14ac:dyDescent="0.25">
      <c r="C137" s="817"/>
      <c r="E137" s="771"/>
      <c r="F137" s="1957"/>
      <c r="G137" s="763"/>
    </row>
    <row r="138" spans="3:7" s="246" customFormat="1" ht="12" x14ac:dyDescent="0.25">
      <c r="C138" s="817"/>
      <c r="E138" s="771"/>
      <c r="F138" s="1957"/>
      <c r="G138" s="763"/>
    </row>
    <row r="139" spans="3:7" s="246" customFormat="1" ht="12" x14ac:dyDescent="0.25">
      <c r="C139" s="817"/>
      <c r="E139" s="771"/>
      <c r="F139" s="1957"/>
      <c r="G139" s="763"/>
    </row>
    <row r="140" spans="3:7" s="246" customFormat="1" ht="12" x14ac:dyDescent="0.25">
      <c r="C140" s="817"/>
      <c r="E140" s="771"/>
      <c r="F140" s="1957"/>
      <c r="G140" s="763"/>
    </row>
    <row r="141" spans="3:7" s="246" customFormat="1" ht="12" x14ac:dyDescent="0.25">
      <c r="C141" s="817"/>
      <c r="E141" s="771"/>
      <c r="F141" s="1957"/>
      <c r="G141" s="763"/>
    </row>
    <row r="142" spans="3:7" s="246" customFormat="1" ht="12" x14ac:dyDescent="0.25">
      <c r="C142" s="817"/>
      <c r="E142" s="771"/>
      <c r="F142" s="1957"/>
      <c r="G142" s="763"/>
    </row>
    <row r="143" spans="3:7" s="246" customFormat="1" ht="12" x14ac:dyDescent="0.25">
      <c r="C143" s="817"/>
      <c r="E143" s="771"/>
      <c r="F143" s="1957"/>
      <c r="G143" s="763"/>
    </row>
    <row r="144" spans="3:7" s="246" customFormat="1" ht="12" x14ac:dyDescent="0.25">
      <c r="C144" s="817"/>
      <c r="E144" s="771"/>
      <c r="F144" s="1957"/>
      <c r="G144" s="763"/>
    </row>
    <row r="145" spans="3:7" s="246" customFormat="1" ht="12" x14ac:dyDescent="0.25">
      <c r="C145" s="817"/>
      <c r="E145" s="771"/>
      <c r="F145" s="1957"/>
      <c r="G145" s="763"/>
    </row>
    <row r="146" spans="3:7" s="246" customFormat="1" ht="12" x14ac:dyDescent="0.25">
      <c r="C146" s="817"/>
      <c r="E146" s="771"/>
      <c r="F146" s="1957"/>
      <c r="G146" s="763"/>
    </row>
    <row r="147" spans="3:7" s="246" customFormat="1" ht="12" x14ac:dyDescent="0.25">
      <c r="C147" s="817"/>
      <c r="E147" s="771"/>
      <c r="F147" s="1957"/>
      <c r="G147" s="763"/>
    </row>
    <row r="148" spans="3:7" s="246" customFormat="1" ht="12" x14ac:dyDescent="0.25">
      <c r="C148" s="817"/>
      <c r="E148" s="771"/>
      <c r="F148" s="1957"/>
      <c r="G148" s="763"/>
    </row>
    <row r="149" spans="3:7" s="246" customFormat="1" ht="12" x14ac:dyDescent="0.25">
      <c r="C149" s="817"/>
      <c r="E149" s="771"/>
      <c r="F149" s="1957"/>
      <c r="G149" s="763"/>
    </row>
    <row r="150" spans="3:7" s="246" customFormat="1" ht="12" x14ac:dyDescent="0.25">
      <c r="C150" s="817"/>
      <c r="E150" s="771"/>
      <c r="F150" s="1957"/>
      <c r="G150" s="763"/>
    </row>
    <row r="151" spans="3:7" s="246" customFormat="1" ht="12" x14ac:dyDescent="0.25">
      <c r="C151" s="817"/>
      <c r="E151" s="771"/>
      <c r="F151" s="1957"/>
      <c r="G151" s="763"/>
    </row>
    <row r="152" spans="3:7" s="246" customFormat="1" ht="12" x14ac:dyDescent="0.25">
      <c r="C152" s="817"/>
      <c r="E152" s="771"/>
      <c r="F152" s="1957"/>
      <c r="G152" s="763"/>
    </row>
    <row r="153" spans="3:7" s="246" customFormat="1" ht="12" x14ac:dyDescent="0.25">
      <c r="C153" s="817"/>
      <c r="E153" s="771"/>
      <c r="F153" s="1957"/>
      <c r="G153" s="763"/>
    </row>
    <row r="154" spans="3:7" s="246" customFormat="1" ht="12" x14ac:dyDescent="0.25">
      <c r="C154" s="817"/>
      <c r="E154" s="771"/>
      <c r="F154" s="1957"/>
      <c r="G154" s="763"/>
    </row>
    <row r="155" spans="3:7" s="246" customFormat="1" ht="12" x14ac:dyDescent="0.25">
      <c r="C155" s="817"/>
      <c r="E155" s="771"/>
      <c r="F155" s="1957"/>
      <c r="G155" s="763"/>
    </row>
    <row r="156" spans="3:7" s="246" customFormat="1" ht="12" x14ac:dyDescent="0.25">
      <c r="C156" s="817"/>
      <c r="E156" s="771"/>
      <c r="F156" s="1957"/>
      <c r="G156" s="763"/>
    </row>
    <row r="157" spans="3:7" s="246" customFormat="1" ht="12" x14ac:dyDescent="0.25">
      <c r="C157" s="817"/>
      <c r="E157" s="771"/>
      <c r="F157" s="1957"/>
      <c r="G157" s="763"/>
    </row>
    <row r="158" spans="3:7" s="246" customFormat="1" ht="12" x14ac:dyDescent="0.25">
      <c r="C158" s="817"/>
      <c r="E158" s="771"/>
      <c r="F158" s="1957"/>
      <c r="G158" s="763"/>
    </row>
    <row r="159" spans="3:7" s="246" customFormat="1" ht="12" x14ac:dyDescent="0.25">
      <c r="C159" s="817"/>
      <c r="E159" s="771"/>
      <c r="F159" s="1957"/>
      <c r="G159" s="763"/>
    </row>
    <row r="160" spans="3:7" s="246" customFormat="1" ht="12" x14ac:dyDescent="0.25">
      <c r="C160" s="817"/>
      <c r="E160" s="771"/>
      <c r="F160" s="1957"/>
      <c r="G160" s="763"/>
    </row>
    <row r="161" spans="3:7" s="246" customFormat="1" ht="12" x14ac:dyDescent="0.25">
      <c r="C161" s="817"/>
      <c r="E161" s="771"/>
      <c r="F161" s="1957"/>
      <c r="G161" s="763"/>
    </row>
    <row r="162" spans="3:7" s="246" customFormat="1" ht="12" x14ac:dyDescent="0.25">
      <c r="C162" s="817"/>
      <c r="E162" s="771"/>
      <c r="F162" s="1957"/>
      <c r="G162" s="763"/>
    </row>
    <row r="163" spans="3:7" s="246" customFormat="1" ht="12" x14ac:dyDescent="0.25">
      <c r="C163" s="817"/>
      <c r="E163" s="771"/>
      <c r="F163" s="1957"/>
      <c r="G163" s="763"/>
    </row>
    <row r="164" spans="3:7" s="246" customFormat="1" ht="12" x14ac:dyDescent="0.25">
      <c r="C164" s="817"/>
      <c r="E164" s="771"/>
      <c r="F164" s="1957"/>
      <c r="G164" s="763"/>
    </row>
    <row r="165" spans="3:7" s="246" customFormat="1" ht="12" x14ac:dyDescent="0.25">
      <c r="C165" s="817"/>
      <c r="E165" s="771"/>
      <c r="F165" s="1957"/>
      <c r="G165" s="763"/>
    </row>
    <row r="166" spans="3:7" s="246" customFormat="1" ht="12" x14ac:dyDescent="0.25">
      <c r="C166" s="817"/>
      <c r="E166" s="771"/>
      <c r="F166" s="1957"/>
      <c r="G166" s="763"/>
    </row>
    <row r="167" spans="3:7" s="246" customFormat="1" ht="12" x14ac:dyDescent="0.25">
      <c r="C167" s="817"/>
      <c r="E167" s="771"/>
      <c r="F167" s="1957"/>
      <c r="G167" s="763"/>
    </row>
    <row r="168" spans="3:7" s="246" customFormat="1" ht="12" x14ac:dyDescent="0.25">
      <c r="C168" s="817"/>
      <c r="E168" s="771"/>
      <c r="F168" s="1957"/>
      <c r="G168" s="763"/>
    </row>
  </sheetData>
  <sheetProtection algorithmName="SHA-512" hashValue="Aj+woR4ZZKVO6rzcwW2CgX8czh+A4Ao1KXX5KufmrP99grer7a0SFb0odwYF53R5wnsi92rmAfL4tyjP26yf3g==" saltValue="1kB/KHtjMVEoIwUjjE25GQ==" spinCount="100000" sheet="1" objects="1" scenarios="1"/>
  <pageMargins left="0.98425196850393704" right="0.39370078740157483" top="0.98425196850393704" bottom="0.74803149606299213" header="0" footer="0.39370078740157483"/>
  <pageSetup paperSize="9" firstPageNumber="0" orientation="portrait" r:id="rId1"/>
  <headerFooter alignWithMargins="0">
    <oddHeader>&amp;L
&amp;R&amp;"Projekt,Običajno"&amp;72p</oddHeader>
    <oddFooter>&amp;C&amp;6 &amp; List: &amp;A&amp;R &amp;  &amp; Stran: &amp;P/&amp;N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21"/>
  <sheetViews>
    <sheetView view="pageBreakPreview" zoomScale="115" zoomScaleNormal="100" zoomScaleSheetLayoutView="115" workbookViewId="0"/>
  </sheetViews>
  <sheetFormatPr defaultRowHeight="12.75" x14ac:dyDescent="0.25"/>
  <cols>
    <col min="1" max="1" width="5.85546875" style="232" customWidth="1"/>
    <col min="2" max="2" width="47.85546875" style="269" customWidth="1"/>
    <col min="3" max="3" width="6.28515625" style="232" customWidth="1"/>
    <col min="4" max="4" width="2.140625" style="241" customWidth="1"/>
    <col min="5" max="5" width="3" style="650" customWidth="1"/>
    <col min="6" max="6" width="20" style="650" customWidth="1"/>
    <col min="7" max="7" width="19.42578125" style="232" customWidth="1"/>
    <col min="8" max="8" width="11" style="224" customWidth="1"/>
    <col min="9" max="9" width="10.140625" style="224" customWidth="1"/>
    <col min="10" max="10" width="9.140625" style="224"/>
    <col min="11" max="11" width="16.7109375" style="224" customWidth="1"/>
    <col min="12" max="12" width="9.85546875" style="224" customWidth="1"/>
    <col min="13" max="13" width="2.5703125" style="224" bestFit="1" customWidth="1"/>
    <col min="14" max="14" width="9.140625" style="224"/>
    <col min="15" max="15" width="9" style="224" customWidth="1"/>
    <col min="16" max="256" width="9.140625" style="224"/>
    <col min="257" max="257" width="5.5703125" style="224" customWidth="1"/>
    <col min="258" max="258" width="44.7109375" style="224" customWidth="1"/>
    <col min="259" max="259" width="6.28515625" style="224" customWidth="1"/>
    <col min="260" max="260" width="7.5703125" style="224" customWidth="1"/>
    <col min="261" max="261" width="3" style="224" customWidth="1"/>
    <col min="262" max="262" width="20" style="224" customWidth="1"/>
    <col min="263" max="263" width="19.42578125" style="224" customWidth="1"/>
    <col min="264" max="264" width="11" style="224" customWidth="1"/>
    <col min="265" max="265" width="10.140625" style="224" customWidth="1"/>
    <col min="266" max="266" width="9.140625" style="224"/>
    <col min="267" max="267" width="16.7109375" style="224" customWidth="1"/>
    <col min="268" max="268" width="9.85546875" style="224" customWidth="1"/>
    <col min="269" max="269" width="2.5703125" style="224" bestFit="1" customWidth="1"/>
    <col min="270" max="270" width="9.140625" style="224"/>
    <col min="271" max="271" width="9" style="224" customWidth="1"/>
    <col min="272" max="512" width="9.140625" style="224"/>
    <col min="513" max="513" width="5.5703125" style="224" customWidth="1"/>
    <col min="514" max="514" width="44.7109375" style="224" customWidth="1"/>
    <col min="515" max="515" width="6.28515625" style="224" customWidth="1"/>
    <col min="516" max="516" width="7.5703125" style="224" customWidth="1"/>
    <col min="517" max="517" width="3" style="224" customWidth="1"/>
    <col min="518" max="518" width="20" style="224" customWidth="1"/>
    <col min="519" max="519" width="19.42578125" style="224" customWidth="1"/>
    <col min="520" max="520" width="11" style="224" customWidth="1"/>
    <col min="521" max="521" width="10.140625" style="224" customWidth="1"/>
    <col min="522" max="522" width="9.140625" style="224"/>
    <col min="523" max="523" width="16.7109375" style="224" customWidth="1"/>
    <col min="524" max="524" width="9.85546875" style="224" customWidth="1"/>
    <col min="525" max="525" width="2.5703125" style="224" bestFit="1" customWidth="1"/>
    <col min="526" max="526" width="9.140625" style="224"/>
    <col min="527" max="527" width="9" style="224" customWidth="1"/>
    <col min="528" max="768" width="9.140625" style="224"/>
    <col min="769" max="769" width="5.5703125" style="224" customWidth="1"/>
    <col min="770" max="770" width="44.7109375" style="224" customWidth="1"/>
    <col min="771" max="771" width="6.28515625" style="224" customWidth="1"/>
    <col min="772" max="772" width="7.5703125" style="224" customWidth="1"/>
    <col min="773" max="773" width="3" style="224" customWidth="1"/>
    <col min="774" max="774" width="20" style="224" customWidth="1"/>
    <col min="775" max="775" width="19.42578125" style="224" customWidth="1"/>
    <col min="776" max="776" width="11" style="224" customWidth="1"/>
    <col min="777" max="777" width="10.140625" style="224" customWidth="1"/>
    <col min="778" max="778" width="9.140625" style="224"/>
    <col min="779" max="779" width="16.7109375" style="224" customWidth="1"/>
    <col min="780" max="780" width="9.85546875" style="224" customWidth="1"/>
    <col min="781" max="781" width="2.5703125" style="224" bestFit="1" customWidth="1"/>
    <col min="782" max="782" width="9.140625" style="224"/>
    <col min="783" max="783" width="9" style="224" customWidth="1"/>
    <col min="784" max="1024" width="9.140625" style="224"/>
    <col min="1025" max="1025" width="5.5703125" style="224" customWidth="1"/>
    <col min="1026" max="1026" width="44.7109375" style="224" customWidth="1"/>
    <col min="1027" max="1027" width="6.28515625" style="224" customWidth="1"/>
    <col min="1028" max="1028" width="7.5703125" style="224" customWidth="1"/>
    <col min="1029" max="1029" width="3" style="224" customWidth="1"/>
    <col min="1030" max="1030" width="20" style="224" customWidth="1"/>
    <col min="1031" max="1031" width="19.42578125" style="224" customWidth="1"/>
    <col min="1032" max="1032" width="11" style="224" customWidth="1"/>
    <col min="1033" max="1033" width="10.140625" style="224" customWidth="1"/>
    <col min="1034" max="1034" width="9.140625" style="224"/>
    <col min="1035" max="1035" width="16.7109375" style="224" customWidth="1"/>
    <col min="1036" max="1036" width="9.85546875" style="224" customWidth="1"/>
    <col min="1037" max="1037" width="2.5703125" style="224" bestFit="1" customWidth="1"/>
    <col min="1038" max="1038" width="9.140625" style="224"/>
    <col min="1039" max="1039" width="9" style="224" customWidth="1"/>
    <col min="1040" max="1280" width="9.140625" style="224"/>
    <col min="1281" max="1281" width="5.5703125" style="224" customWidth="1"/>
    <col min="1282" max="1282" width="44.7109375" style="224" customWidth="1"/>
    <col min="1283" max="1283" width="6.28515625" style="224" customWidth="1"/>
    <col min="1284" max="1284" width="7.5703125" style="224" customWidth="1"/>
    <col min="1285" max="1285" width="3" style="224" customWidth="1"/>
    <col min="1286" max="1286" width="20" style="224" customWidth="1"/>
    <col min="1287" max="1287" width="19.42578125" style="224" customWidth="1"/>
    <col min="1288" max="1288" width="11" style="224" customWidth="1"/>
    <col min="1289" max="1289" width="10.140625" style="224" customWidth="1"/>
    <col min="1290" max="1290" width="9.140625" style="224"/>
    <col min="1291" max="1291" width="16.7109375" style="224" customWidth="1"/>
    <col min="1292" max="1292" width="9.85546875" style="224" customWidth="1"/>
    <col min="1293" max="1293" width="2.5703125" style="224" bestFit="1" customWidth="1"/>
    <col min="1294" max="1294" width="9.140625" style="224"/>
    <col min="1295" max="1295" width="9" style="224" customWidth="1"/>
    <col min="1296" max="1536" width="9.140625" style="224"/>
    <col min="1537" max="1537" width="5.5703125" style="224" customWidth="1"/>
    <col min="1538" max="1538" width="44.7109375" style="224" customWidth="1"/>
    <col min="1539" max="1539" width="6.28515625" style="224" customWidth="1"/>
    <col min="1540" max="1540" width="7.5703125" style="224" customWidth="1"/>
    <col min="1541" max="1541" width="3" style="224" customWidth="1"/>
    <col min="1542" max="1542" width="20" style="224" customWidth="1"/>
    <col min="1543" max="1543" width="19.42578125" style="224" customWidth="1"/>
    <col min="1544" max="1544" width="11" style="224" customWidth="1"/>
    <col min="1545" max="1545" width="10.140625" style="224" customWidth="1"/>
    <col min="1546" max="1546" width="9.140625" style="224"/>
    <col min="1547" max="1547" width="16.7109375" style="224" customWidth="1"/>
    <col min="1548" max="1548" width="9.85546875" style="224" customWidth="1"/>
    <col min="1549" max="1549" width="2.5703125" style="224" bestFit="1" customWidth="1"/>
    <col min="1550" max="1550" width="9.140625" style="224"/>
    <col min="1551" max="1551" width="9" style="224" customWidth="1"/>
    <col min="1552" max="1792" width="9.140625" style="224"/>
    <col min="1793" max="1793" width="5.5703125" style="224" customWidth="1"/>
    <col min="1794" max="1794" width="44.7109375" style="224" customWidth="1"/>
    <col min="1795" max="1795" width="6.28515625" style="224" customWidth="1"/>
    <col min="1796" max="1796" width="7.5703125" style="224" customWidth="1"/>
    <col min="1797" max="1797" width="3" style="224" customWidth="1"/>
    <col min="1798" max="1798" width="20" style="224" customWidth="1"/>
    <col min="1799" max="1799" width="19.42578125" style="224" customWidth="1"/>
    <col min="1800" max="1800" width="11" style="224" customWidth="1"/>
    <col min="1801" max="1801" width="10.140625" style="224" customWidth="1"/>
    <col min="1802" max="1802" width="9.140625" style="224"/>
    <col min="1803" max="1803" width="16.7109375" style="224" customWidth="1"/>
    <col min="1804" max="1804" width="9.85546875" style="224" customWidth="1"/>
    <col min="1805" max="1805" width="2.5703125" style="224" bestFit="1" customWidth="1"/>
    <col min="1806" max="1806" width="9.140625" style="224"/>
    <col min="1807" max="1807" width="9" style="224" customWidth="1"/>
    <col min="1808" max="2048" width="9.140625" style="224"/>
    <col min="2049" max="2049" width="5.5703125" style="224" customWidth="1"/>
    <col min="2050" max="2050" width="44.7109375" style="224" customWidth="1"/>
    <col min="2051" max="2051" width="6.28515625" style="224" customWidth="1"/>
    <col min="2052" max="2052" width="7.5703125" style="224" customWidth="1"/>
    <col min="2053" max="2053" width="3" style="224" customWidth="1"/>
    <col min="2054" max="2054" width="20" style="224" customWidth="1"/>
    <col min="2055" max="2055" width="19.42578125" style="224" customWidth="1"/>
    <col min="2056" max="2056" width="11" style="224" customWidth="1"/>
    <col min="2057" max="2057" width="10.140625" style="224" customWidth="1"/>
    <col min="2058" max="2058" width="9.140625" style="224"/>
    <col min="2059" max="2059" width="16.7109375" style="224" customWidth="1"/>
    <col min="2060" max="2060" width="9.85546875" style="224" customWidth="1"/>
    <col min="2061" max="2061" width="2.5703125" style="224" bestFit="1" customWidth="1"/>
    <col min="2062" max="2062" width="9.140625" style="224"/>
    <col min="2063" max="2063" width="9" style="224" customWidth="1"/>
    <col min="2064" max="2304" width="9.140625" style="224"/>
    <col min="2305" max="2305" width="5.5703125" style="224" customWidth="1"/>
    <col min="2306" max="2306" width="44.7109375" style="224" customWidth="1"/>
    <col min="2307" max="2307" width="6.28515625" style="224" customWidth="1"/>
    <col min="2308" max="2308" width="7.5703125" style="224" customWidth="1"/>
    <col min="2309" max="2309" width="3" style="224" customWidth="1"/>
    <col min="2310" max="2310" width="20" style="224" customWidth="1"/>
    <col min="2311" max="2311" width="19.42578125" style="224" customWidth="1"/>
    <col min="2312" max="2312" width="11" style="224" customWidth="1"/>
    <col min="2313" max="2313" width="10.140625" style="224" customWidth="1"/>
    <col min="2314" max="2314" width="9.140625" style="224"/>
    <col min="2315" max="2315" width="16.7109375" style="224" customWidth="1"/>
    <col min="2316" max="2316" width="9.85546875" style="224" customWidth="1"/>
    <col min="2317" max="2317" width="2.5703125" style="224" bestFit="1" customWidth="1"/>
    <col min="2318" max="2318" width="9.140625" style="224"/>
    <col min="2319" max="2319" width="9" style="224" customWidth="1"/>
    <col min="2320" max="2560" width="9.140625" style="224"/>
    <col min="2561" max="2561" width="5.5703125" style="224" customWidth="1"/>
    <col min="2562" max="2562" width="44.7109375" style="224" customWidth="1"/>
    <col min="2563" max="2563" width="6.28515625" style="224" customWidth="1"/>
    <col min="2564" max="2564" width="7.5703125" style="224" customWidth="1"/>
    <col min="2565" max="2565" width="3" style="224" customWidth="1"/>
    <col min="2566" max="2566" width="20" style="224" customWidth="1"/>
    <col min="2567" max="2567" width="19.42578125" style="224" customWidth="1"/>
    <col min="2568" max="2568" width="11" style="224" customWidth="1"/>
    <col min="2569" max="2569" width="10.140625" style="224" customWidth="1"/>
    <col min="2570" max="2570" width="9.140625" style="224"/>
    <col min="2571" max="2571" width="16.7109375" style="224" customWidth="1"/>
    <col min="2572" max="2572" width="9.85546875" style="224" customWidth="1"/>
    <col min="2573" max="2573" width="2.5703125" style="224" bestFit="1" customWidth="1"/>
    <col min="2574" max="2574" width="9.140625" style="224"/>
    <col min="2575" max="2575" width="9" style="224" customWidth="1"/>
    <col min="2576" max="2816" width="9.140625" style="224"/>
    <col min="2817" max="2817" width="5.5703125" style="224" customWidth="1"/>
    <col min="2818" max="2818" width="44.7109375" style="224" customWidth="1"/>
    <col min="2819" max="2819" width="6.28515625" style="224" customWidth="1"/>
    <col min="2820" max="2820" width="7.5703125" style="224" customWidth="1"/>
    <col min="2821" max="2821" width="3" style="224" customWidth="1"/>
    <col min="2822" max="2822" width="20" style="224" customWidth="1"/>
    <col min="2823" max="2823" width="19.42578125" style="224" customWidth="1"/>
    <col min="2824" max="2824" width="11" style="224" customWidth="1"/>
    <col min="2825" max="2825" width="10.140625" style="224" customWidth="1"/>
    <col min="2826" max="2826" width="9.140625" style="224"/>
    <col min="2827" max="2827" width="16.7109375" style="224" customWidth="1"/>
    <col min="2828" max="2828" width="9.85546875" style="224" customWidth="1"/>
    <col min="2829" max="2829" width="2.5703125" style="224" bestFit="1" customWidth="1"/>
    <col min="2830" max="2830" width="9.140625" style="224"/>
    <col min="2831" max="2831" width="9" style="224" customWidth="1"/>
    <col min="2832" max="3072" width="9.140625" style="224"/>
    <col min="3073" max="3073" width="5.5703125" style="224" customWidth="1"/>
    <col min="3074" max="3074" width="44.7109375" style="224" customWidth="1"/>
    <col min="3075" max="3075" width="6.28515625" style="224" customWidth="1"/>
    <col min="3076" max="3076" width="7.5703125" style="224" customWidth="1"/>
    <col min="3077" max="3077" width="3" style="224" customWidth="1"/>
    <col min="3078" max="3078" width="20" style="224" customWidth="1"/>
    <col min="3079" max="3079" width="19.42578125" style="224" customWidth="1"/>
    <col min="3080" max="3080" width="11" style="224" customWidth="1"/>
    <col min="3081" max="3081" width="10.140625" style="224" customWidth="1"/>
    <col min="3082" max="3082" width="9.140625" style="224"/>
    <col min="3083" max="3083" width="16.7109375" style="224" customWidth="1"/>
    <col min="3084" max="3084" width="9.85546875" style="224" customWidth="1"/>
    <col min="3085" max="3085" width="2.5703125" style="224" bestFit="1" customWidth="1"/>
    <col min="3086" max="3086" width="9.140625" style="224"/>
    <col min="3087" max="3087" width="9" style="224" customWidth="1"/>
    <col min="3088" max="3328" width="9.140625" style="224"/>
    <col min="3329" max="3329" width="5.5703125" style="224" customWidth="1"/>
    <col min="3330" max="3330" width="44.7109375" style="224" customWidth="1"/>
    <col min="3331" max="3331" width="6.28515625" style="224" customWidth="1"/>
    <col min="3332" max="3332" width="7.5703125" style="224" customWidth="1"/>
    <col min="3333" max="3333" width="3" style="224" customWidth="1"/>
    <col min="3334" max="3334" width="20" style="224" customWidth="1"/>
    <col min="3335" max="3335" width="19.42578125" style="224" customWidth="1"/>
    <col min="3336" max="3336" width="11" style="224" customWidth="1"/>
    <col min="3337" max="3337" width="10.140625" style="224" customWidth="1"/>
    <col min="3338" max="3338" width="9.140625" style="224"/>
    <col min="3339" max="3339" width="16.7109375" style="224" customWidth="1"/>
    <col min="3340" max="3340" width="9.85546875" style="224" customWidth="1"/>
    <col min="3341" max="3341" width="2.5703125" style="224" bestFit="1" customWidth="1"/>
    <col min="3342" max="3342" width="9.140625" style="224"/>
    <col min="3343" max="3343" width="9" style="224" customWidth="1"/>
    <col min="3344" max="3584" width="9.140625" style="224"/>
    <col min="3585" max="3585" width="5.5703125" style="224" customWidth="1"/>
    <col min="3586" max="3586" width="44.7109375" style="224" customWidth="1"/>
    <col min="3587" max="3587" width="6.28515625" style="224" customWidth="1"/>
    <col min="3588" max="3588" width="7.5703125" style="224" customWidth="1"/>
    <col min="3589" max="3589" width="3" style="224" customWidth="1"/>
    <col min="3590" max="3590" width="20" style="224" customWidth="1"/>
    <col min="3591" max="3591" width="19.42578125" style="224" customWidth="1"/>
    <col min="3592" max="3592" width="11" style="224" customWidth="1"/>
    <col min="3593" max="3593" width="10.140625" style="224" customWidth="1"/>
    <col min="3594" max="3594" width="9.140625" style="224"/>
    <col min="3595" max="3595" width="16.7109375" style="224" customWidth="1"/>
    <col min="3596" max="3596" width="9.85546875" style="224" customWidth="1"/>
    <col min="3597" max="3597" width="2.5703125" style="224" bestFit="1" customWidth="1"/>
    <col min="3598" max="3598" width="9.140625" style="224"/>
    <col min="3599" max="3599" width="9" style="224" customWidth="1"/>
    <col min="3600" max="3840" width="9.140625" style="224"/>
    <col min="3841" max="3841" width="5.5703125" style="224" customWidth="1"/>
    <col min="3842" max="3842" width="44.7109375" style="224" customWidth="1"/>
    <col min="3843" max="3843" width="6.28515625" style="224" customWidth="1"/>
    <col min="3844" max="3844" width="7.5703125" style="224" customWidth="1"/>
    <col min="3845" max="3845" width="3" style="224" customWidth="1"/>
    <col min="3846" max="3846" width="20" style="224" customWidth="1"/>
    <col min="3847" max="3847" width="19.42578125" style="224" customWidth="1"/>
    <col min="3848" max="3848" width="11" style="224" customWidth="1"/>
    <col min="3849" max="3849" width="10.140625" style="224" customWidth="1"/>
    <col min="3850" max="3850" width="9.140625" style="224"/>
    <col min="3851" max="3851" width="16.7109375" style="224" customWidth="1"/>
    <col min="3852" max="3852" width="9.85546875" style="224" customWidth="1"/>
    <col min="3853" max="3853" width="2.5703125" style="224" bestFit="1" customWidth="1"/>
    <col min="3854" max="3854" width="9.140625" style="224"/>
    <col min="3855" max="3855" width="9" style="224" customWidth="1"/>
    <col min="3856" max="4096" width="9.140625" style="224"/>
    <col min="4097" max="4097" width="5.5703125" style="224" customWidth="1"/>
    <col min="4098" max="4098" width="44.7109375" style="224" customWidth="1"/>
    <col min="4099" max="4099" width="6.28515625" style="224" customWidth="1"/>
    <col min="4100" max="4100" width="7.5703125" style="224" customWidth="1"/>
    <col min="4101" max="4101" width="3" style="224" customWidth="1"/>
    <col min="4102" max="4102" width="20" style="224" customWidth="1"/>
    <col min="4103" max="4103" width="19.42578125" style="224" customWidth="1"/>
    <col min="4104" max="4104" width="11" style="224" customWidth="1"/>
    <col min="4105" max="4105" width="10.140625" style="224" customWidth="1"/>
    <col min="4106" max="4106" width="9.140625" style="224"/>
    <col min="4107" max="4107" width="16.7109375" style="224" customWidth="1"/>
    <col min="4108" max="4108" width="9.85546875" style="224" customWidth="1"/>
    <col min="4109" max="4109" width="2.5703125" style="224" bestFit="1" customWidth="1"/>
    <col min="4110" max="4110" width="9.140625" style="224"/>
    <col min="4111" max="4111" width="9" style="224" customWidth="1"/>
    <col min="4112" max="4352" width="9.140625" style="224"/>
    <col min="4353" max="4353" width="5.5703125" style="224" customWidth="1"/>
    <col min="4354" max="4354" width="44.7109375" style="224" customWidth="1"/>
    <col min="4355" max="4355" width="6.28515625" style="224" customWidth="1"/>
    <col min="4356" max="4356" width="7.5703125" style="224" customWidth="1"/>
    <col min="4357" max="4357" width="3" style="224" customWidth="1"/>
    <col min="4358" max="4358" width="20" style="224" customWidth="1"/>
    <col min="4359" max="4359" width="19.42578125" style="224" customWidth="1"/>
    <col min="4360" max="4360" width="11" style="224" customWidth="1"/>
    <col min="4361" max="4361" width="10.140625" style="224" customWidth="1"/>
    <col min="4362" max="4362" width="9.140625" style="224"/>
    <col min="4363" max="4363" width="16.7109375" style="224" customWidth="1"/>
    <col min="4364" max="4364" width="9.85546875" style="224" customWidth="1"/>
    <col min="4365" max="4365" width="2.5703125" style="224" bestFit="1" customWidth="1"/>
    <col min="4366" max="4366" width="9.140625" style="224"/>
    <col min="4367" max="4367" width="9" style="224" customWidth="1"/>
    <col min="4368" max="4608" width="9.140625" style="224"/>
    <col min="4609" max="4609" width="5.5703125" style="224" customWidth="1"/>
    <col min="4610" max="4610" width="44.7109375" style="224" customWidth="1"/>
    <col min="4611" max="4611" width="6.28515625" style="224" customWidth="1"/>
    <col min="4612" max="4612" width="7.5703125" style="224" customWidth="1"/>
    <col min="4613" max="4613" width="3" style="224" customWidth="1"/>
    <col min="4614" max="4614" width="20" style="224" customWidth="1"/>
    <col min="4615" max="4615" width="19.42578125" style="224" customWidth="1"/>
    <col min="4616" max="4616" width="11" style="224" customWidth="1"/>
    <col min="4617" max="4617" width="10.140625" style="224" customWidth="1"/>
    <col min="4618" max="4618" width="9.140625" style="224"/>
    <col min="4619" max="4619" width="16.7109375" style="224" customWidth="1"/>
    <col min="4620" max="4620" width="9.85546875" style="224" customWidth="1"/>
    <col min="4621" max="4621" width="2.5703125" style="224" bestFit="1" customWidth="1"/>
    <col min="4622" max="4622" width="9.140625" style="224"/>
    <col min="4623" max="4623" width="9" style="224" customWidth="1"/>
    <col min="4624" max="4864" width="9.140625" style="224"/>
    <col min="4865" max="4865" width="5.5703125" style="224" customWidth="1"/>
    <col min="4866" max="4866" width="44.7109375" style="224" customWidth="1"/>
    <col min="4867" max="4867" width="6.28515625" style="224" customWidth="1"/>
    <col min="4868" max="4868" width="7.5703125" style="224" customWidth="1"/>
    <col min="4869" max="4869" width="3" style="224" customWidth="1"/>
    <col min="4870" max="4870" width="20" style="224" customWidth="1"/>
    <col min="4871" max="4871" width="19.42578125" style="224" customWidth="1"/>
    <col min="4872" max="4872" width="11" style="224" customWidth="1"/>
    <col min="4873" max="4873" width="10.140625" style="224" customWidth="1"/>
    <col min="4874" max="4874" width="9.140625" style="224"/>
    <col min="4875" max="4875" width="16.7109375" style="224" customWidth="1"/>
    <col min="4876" max="4876" width="9.85546875" style="224" customWidth="1"/>
    <col min="4877" max="4877" width="2.5703125" style="224" bestFit="1" customWidth="1"/>
    <col min="4878" max="4878" width="9.140625" style="224"/>
    <col min="4879" max="4879" width="9" style="224" customWidth="1"/>
    <col min="4880" max="5120" width="9.140625" style="224"/>
    <col min="5121" max="5121" width="5.5703125" style="224" customWidth="1"/>
    <col min="5122" max="5122" width="44.7109375" style="224" customWidth="1"/>
    <col min="5123" max="5123" width="6.28515625" style="224" customWidth="1"/>
    <col min="5124" max="5124" width="7.5703125" style="224" customWidth="1"/>
    <col min="5125" max="5125" width="3" style="224" customWidth="1"/>
    <col min="5126" max="5126" width="20" style="224" customWidth="1"/>
    <col min="5127" max="5127" width="19.42578125" style="224" customWidth="1"/>
    <col min="5128" max="5128" width="11" style="224" customWidth="1"/>
    <col min="5129" max="5129" width="10.140625" style="224" customWidth="1"/>
    <col min="5130" max="5130" width="9.140625" style="224"/>
    <col min="5131" max="5131" width="16.7109375" style="224" customWidth="1"/>
    <col min="5132" max="5132" width="9.85546875" style="224" customWidth="1"/>
    <col min="5133" max="5133" width="2.5703125" style="224" bestFit="1" customWidth="1"/>
    <col min="5134" max="5134" width="9.140625" style="224"/>
    <col min="5135" max="5135" width="9" style="224" customWidth="1"/>
    <col min="5136" max="5376" width="9.140625" style="224"/>
    <col min="5377" max="5377" width="5.5703125" style="224" customWidth="1"/>
    <col min="5378" max="5378" width="44.7109375" style="224" customWidth="1"/>
    <col min="5379" max="5379" width="6.28515625" style="224" customWidth="1"/>
    <col min="5380" max="5380" width="7.5703125" style="224" customWidth="1"/>
    <col min="5381" max="5381" width="3" style="224" customWidth="1"/>
    <col min="5382" max="5382" width="20" style="224" customWidth="1"/>
    <col min="5383" max="5383" width="19.42578125" style="224" customWidth="1"/>
    <col min="5384" max="5384" width="11" style="224" customWidth="1"/>
    <col min="5385" max="5385" width="10.140625" style="224" customWidth="1"/>
    <col min="5386" max="5386" width="9.140625" style="224"/>
    <col min="5387" max="5387" width="16.7109375" style="224" customWidth="1"/>
    <col min="5388" max="5388" width="9.85546875" style="224" customWidth="1"/>
    <col min="5389" max="5389" width="2.5703125" style="224" bestFit="1" customWidth="1"/>
    <col min="5390" max="5390" width="9.140625" style="224"/>
    <col min="5391" max="5391" width="9" style="224" customWidth="1"/>
    <col min="5392" max="5632" width="9.140625" style="224"/>
    <col min="5633" max="5633" width="5.5703125" style="224" customWidth="1"/>
    <col min="5634" max="5634" width="44.7109375" style="224" customWidth="1"/>
    <col min="5635" max="5635" width="6.28515625" style="224" customWidth="1"/>
    <col min="5636" max="5636" width="7.5703125" style="224" customWidth="1"/>
    <col min="5637" max="5637" width="3" style="224" customWidth="1"/>
    <col min="5638" max="5638" width="20" style="224" customWidth="1"/>
    <col min="5639" max="5639" width="19.42578125" style="224" customWidth="1"/>
    <col min="5640" max="5640" width="11" style="224" customWidth="1"/>
    <col min="5641" max="5641" width="10.140625" style="224" customWidth="1"/>
    <col min="5642" max="5642" width="9.140625" style="224"/>
    <col min="5643" max="5643" width="16.7109375" style="224" customWidth="1"/>
    <col min="5644" max="5644" width="9.85546875" style="224" customWidth="1"/>
    <col min="5645" max="5645" width="2.5703125" style="224" bestFit="1" customWidth="1"/>
    <col min="5646" max="5646" width="9.140625" style="224"/>
    <col min="5647" max="5647" width="9" style="224" customWidth="1"/>
    <col min="5648" max="5888" width="9.140625" style="224"/>
    <col min="5889" max="5889" width="5.5703125" style="224" customWidth="1"/>
    <col min="5890" max="5890" width="44.7109375" style="224" customWidth="1"/>
    <col min="5891" max="5891" width="6.28515625" style="224" customWidth="1"/>
    <col min="5892" max="5892" width="7.5703125" style="224" customWidth="1"/>
    <col min="5893" max="5893" width="3" style="224" customWidth="1"/>
    <col min="5894" max="5894" width="20" style="224" customWidth="1"/>
    <col min="5895" max="5895" width="19.42578125" style="224" customWidth="1"/>
    <col min="5896" max="5896" width="11" style="224" customWidth="1"/>
    <col min="5897" max="5897" width="10.140625" style="224" customWidth="1"/>
    <col min="5898" max="5898" width="9.140625" style="224"/>
    <col min="5899" max="5899" width="16.7109375" style="224" customWidth="1"/>
    <col min="5900" max="5900" width="9.85546875" style="224" customWidth="1"/>
    <col min="5901" max="5901" width="2.5703125" style="224" bestFit="1" customWidth="1"/>
    <col min="5902" max="5902" width="9.140625" style="224"/>
    <col min="5903" max="5903" width="9" style="224" customWidth="1"/>
    <col min="5904" max="6144" width="9.140625" style="224"/>
    <col min="6145" max="6145" width="5.5703125" style="224" customWidth="1"/>
    <col min="6146" max="6146" width="44.7109375" style="224" customWidth="1"/>
    <col min="6147" max="6147" width="6.28515625" style="224" customWidth="1"/>
    <col min="6148" max="6148" width="7.5703125" style="224" customWidth="1"/>
    <col min="6149" max="6149" width="3" style="224" customWidth="1"/>
    <col min="6150" max="6150" width="20" style="224" customWidth="1"/>
    <col min="6151" max="6151" width="19.42578125" style="224" customWidth="1"/>
    <col min="6152" max="6152" width="11" style="224" customWidth="1"/>
    <col min="6153" max="6153" width="10.140625" style="224" customWidth="1"/>
    <col min="6154" max="6154" width="9.140625" style="224"/>
    <col min="6155" max="6155" width="16.7109375" style="224" customWidth="1"/>
    <col min="6156" max="6156" width="9.85546875" style="224" customWidth="1"/>
    <col min="6157" max="6157" width="2.5703125" style="224" bestFit="1" customWidth="1"/>
    <col min="6158" max="6158" width="9.140625" style="224"/>
    <col min="6159" max="6159" width="9" style="224" customWidth="1"/>
    <col min="6160" max="6400" width="9.140625" style="224"/>
    <col min="6401" max="6401" width="5.5703125" style="224" customWidth="1"/>
    <col min="6402" max="6402" width="44.7109375" style="224" customWidth="1"/>
    <col min="6403" max="6403" width="6.28515625" style="224" customWidth="1"/>
    <col min="6404" max="6404" width="7.5703125" style="224" customWidth="1"/>
    <col min="6405" max="6405" width="3" style="224" customWidth="1"/>
    <col min="6406" max="6406" width="20" style="224" customWidth="1"/>
    <col min="6407" max="6407" width="19.42578125" style="224" customWidth="1"/>
    <col min="6408" max="6408" width="11" style="224" customWidth="1"/>
    <col min="6409" max="6409" width="10.140625" style="224" customWidth="1"/>
    <col min="6410" max="6410" width="9.140625" style="224"/>
    <col min="6411" max="6411" width="16.7109375" style="224" customWidth="1"/>
    <col min="6412" max="6412" width="9.85546875" style="224" customWidth="1"/>
    <col min="6413" max="6413" width="2.5703125" style="224" bestFit="1" customWidth="1"/>
    <col min="6414" max="6414" width="9.140625" style="224"/>
    <col min="6415" max="6415" width="9" style="224" customWidth="1"/>
    <col min="6416" max="6656" width="9.140625" style="224"/>
    <col min="6657" max="6657" width="5.5703125" style="224" customWidth="1"/>
    <col min="6658" max="6658" width="44.7109375" style="224" customWidth="1"/>
    <col min="6659" max="6659" width="6.28515625" style="224" customWidth="1"/>
    <col min="6660" max="6660" width="7.5703125" style="224" customWidth="1"/>
    <col min="6661" max="6661" width="3" style="224" customWidth="1"/>
    <col min="6662" max="6662" width="20" style="224" customWidth="1"/>
    <col min="6663" max="6663" width="19.42578125" style="224" customWidth="1"/>
    <col min="6664" max="6664" width="11" style="224" customWidth="1"/>
    <col min="6665" max="6665" width="10.140625" style="224" customWidth="1"/>
    <col min="6666" max="6666" width="9.140625" style="224"/>
    <col min="6667" max="6667" width="16.7109375" style="224" customWidth="1"/>
    <col min="6668" max="6668" width="9.85546875" style="224" customWidth="1"/>
    <col min="6669" max="6669" width="2.5703125" style="224" bestFit="1" customWidth="1"/>
    <col min="6670" max="6670" width="9.140625" style="224"/>
    <col min="6671" max="6671" width="9" style="224" customWidth="1"/>
    <col min="6672" max="6912" width="9.140625" style="224"/>
    <col min="6913" max="6913" width="5.5703125" style="224" customWidth="1"/>
    <col min="6914" max="6914" width="44.7109375" style="224" customWidth="1"/>
    <col min="6915" max="6915" width="6.28515625" style="224" customWidth="1"/>
    <col min="6916" max="6916" width="7.5703125" style="224" customWidth="1"/>
    <col min="6917" max="6917" width="3" style="224" customWidth="1"/>
    <col min="6918" max="6918" width="20" style="224" customWidth="1"/>
    <col min="6919" max="6919" width="19.42578125" style="224" customWidth="1"/>
    <col min="6920" max="6920" width="11" style="224" customWidth="1"/>
    <col min="6921" max="6921" width="10.140625" style="224" customWidth="1"/>
    <col min="6922" max="6922" width="9.140625" style="224"/>
    <col min="6923" max="6923" width="16.7109375" style="224" customWidth="1"/>
    <col min="6924" max="6924" width="9.85546875" style="224" customWidth="1"/>
    <col min="6925" max="6925" width="2.5703125" style="224" bestFit="1" customWidth="1"/>
    <col min="6926" max="6926" width="9.140625" style="224"/>
    <col min="6927" max="6927" width="9" style="224" customWidth="1"/>
    <col min="6928" max="7168" width="9.140625" style="224"/>
    <col min="7169" max="7169" width="5.5703125" style="224" customWidth="1"/>
    <col min="7170" max="7170" width="44.7109375" style="224" customWidth="1"/>
    <col min="7171" max="7171" width="6.28515625" style="224" customWidth="1"/>
    <col min="7172" max="7172" width="7.5703125" style="224" customWidth="1"/>
    <col min="7173" max="7173" width="3" style="224" customWidth="1"/>
    <col min="7174" max="7174" width="20" style="224" customWidth="1"/>
    <col min="7175" max="7175" width="19.42578125" style="224" customWidth="1"/>
    <col min="7176" max="7176" width="11" style="224" customWidth="1"/>
    <col min="7177" max="7177" width="10.140625" style="224" customWidth="1"/>
    <col min="7178" max="7178" width="9.140625" style="224"/>
    <col min="7179" max="7179" width="16.7109375" style="224" customWidth="1"/>
    <col min="7180" max="7180" width="9.85546875" style="224" customWidth="1"/>
    <col min="7181" max="7181" width="2.5703125" style="224" bestFit="1" customWidth="1"/>
    <col min="7182" max="7182" width="9.140625" style="224"/>
    <col min="7183" max="7183" width="9" style="224" customWidth="1"/>
    <col min="7184" max="7424" width="9.140625" style="224"/>
    <col min="7425" max="7425" width="5.5703125" style="224" customWidth="1"/>
    <col min="7426" max="7426" width="44.7109375" style="224" customWidth="1"/>
    <col min="7427" max="7427" width="6.28515625" style="224" customWidth="1"/>
    <col min="7428" max="7428" width="7.5703125" style="224" customWidth="1"/>
    <col min="7429" max="7429" width="3" style="224" customWidth="1"/>
    <col min="7430" max="7430" width="20" style="224" customWidth="1"/>
    <col min="7431" max="7431" width="19.42578125" style="224" customWidth="1"/>
    <col min="7432" max="7432" width="11" style="224" customWidth="1"/>
    <col min="7433" max="7433" width="10.140625" style="224" customWidth="1"/>
    <col min="7434" max="7434" width="9.140625" style="224"/>
    <col min="7435" max="7435" width="16.7109375" style="224" customWidth="1"/>
    <col min="7436" max="7436" width="9.85546875" style="224" customWidth="1"/>
    <col min="7437" max="7437" width="2.5703125" style="224" bestFit="1" customWidth="1"/>
    <col min="7438" max="7438" width="9.140625" style="224"/>
    <col min="7439" max="7439" width="9" style="224" customWidth="1"/>
    <col min="7440" max="7680" width="9.140625" style="224"/>
    <col min="7681" max="7681" width="5.5703125" style="224" customWidth="1"/>
    <col min="7682" max="7682" width="44.7109375" style="224" customWidth="1"/>
    <col min="7683" max="7683" width="6.28515625" style="224" customWidth="1"/>
    <col min="7684" max="7684" width="7.5703125" style="224" customWidth="1"/>
    <col min="7685" max="7685" width="3" style="224" customWidth="1"/>
    <col min="7686" max="7686" width="20" style="224" customWidth="1"/>
    <col min="7687" max="7687" width="19.42578125" style="224" customWidth="1"/>
    <col min="7688" max="7688" width="11" style="224" customWidth="1"/>
    <col min="7689" max="7689" width="10.140625" style="224" customWidth="1"/>
    <col min="7690" max="7690" width="9.140625" style="224"/>
    <col min="7691" max="7691" width="16.7109375" style="224" customWidth="1"/>
    <col min="7692" max="7692" width="9.85546875" style="224" customWidth="1"/>
    <col min="7693" max="7693" width="2.5703125" style="224" bestFit="1" customWidth="1"/>
    <col min="7694" max="7694" width="9.140625" style="224"/>
    <col min="7695" max="7695" width="9" style="224" customWidth="1"/>
    <col min="7696" max="7936" width="9.140625" style="224"/>
    <col min="7937" max="7937" width="5.5703125" style="224" customWidth="1"/>
    <col min="7938" max="7938" width="44.7109375" style="224" customWidth="1"/>
    <col min="7939" max="7939" width="6.28515625" style="224" customWidth="1"/>
    <col min="7940" max="7940" width="7.5703125" style="224" customWidth="1"/>
    <col min="7941" max="7941" width="3" style="224" customWidth="1"/>
    <col min="7942" max="7942" width="20" style="224" customWidth="1"/>
    <col min="7943" max="7943" width="19.42578125" style="224" customWidth="1"/>
    <col min="7944" max="7944" width="11" style="224" customWidth="1"/>
    <col min="7945" max="7945" width="10.140625" style="224" customWidth="1"/>
    <col min="7946" max="7946" width="9.140625" style="224"/>
    <col min="7947" max="7947" width="16.7109375" style="224" customWidth="1"/>
    <col min="7948" max="7948" width="9.85546875" style="224" customWidth="1"/>
    <col min="7949" max="7949" width="2.5703125" style="224" bestFit="1" customWidth="1"/>
    <col min="7950" max="7950" width="9.140625" style="224"/>
    <col min="7951" max="7951" width="9" style="224" customWidth="1"/>
    <col min="7952" max="8192" width="9.140625" style="224"/>
    <col min="8193" max="8193" width="5.5703125" style="224" customWidth="1"/>
    <col min="8194" max="8194" width="44.7109375" style="224" customWidth="1"/>
    <col min="8195" max="8195" width="6.28515625" style="224" customWidth="1"/>
    <col min="8196" max="8196" width="7.5703125" style="224" customWidth="1"/>
    <col min="8197" max="8197" width="3" style="224" customWidth="1"/>
    <col min="8198" max="8198" width="20" style="224" customWidth="1"/>
    <col min="8199" max="8199" width="19.42578125" style="224" customWidth="1"/>
    <col min="8200" max="8200" width="11" style="224" customWidth="1"/>
    <col min="8201" max="8201" width="10.140625" style="224" customWidth="1"/>
    <col min="8202" max="8202" width="9.140625" style="224"/>
    <col min="8203" max="8203" width="16.7109375" style="224" customWidth="1"/>
    <col min="8204" max="8204" width="9.85546875" style="224" customWidth="1"/>
    <col min="8205" max="8205" width="2.5703125" style="224" bestFit="1" customWidth="1"/>
    <col min="8206" max="8206" width="9.140625" style="224"/>
    <col min="8207" max="8207" width="9" style="224" customWidth="1"/>
    <col min="8208" max="8448" width="9.140625" style="224"/>
    <col min="8449" max="8449" width="5.5703125" style="224" customWidth="1"/>
    <col min="8450" max="8450" width="44.7109375" style="224" customWidth="1"/>
    <col min="8451" max="8451" width="6.28515625" style="224" customWidth="1"/>
    <col min="8452" max="8452" width="7.5703125" style="224" customWidth="1"/>
    <col min="8453" max="8453" width="3" style="224" customWidth="1"/>
    <col min="8454" max="8454" width="20" style="224" customWidth="1"/>
    <col min="8455" max="8455" width="19.42578125" style="224" customWidth="1"/>
    <col min="8456" max="8456" width="11" style="224" customWidth="1"/>
    <col min="8457" max="8457" width="10.140625" style="224" customWidth="1"/>
    <col min="8458" max="8458" width="9.140625" style="224"/>
    <col min="8459" max="8459" width="16.7109375" style="224" customWidth="1"/>
    <col min="8460" max="8460" width="9.85546875" style="224" customWidth="1"/>
    <col min="8461" max="8461" width="2.5703125" style="224" bestFit="1" customWidth="1"/>
    <col min="8462" max="8462" width="9.140625" style="224"/>
    <col min="8463" max="8463" width="9" style="224" customWidth="1"/>
    <col min="8464" max="8704" width="9.140625" style="224"/>
    <col min="8705" max="8705" width="5.5703125" style="224" customWidth="1"/>
    <col min="8706" max="8706" width="44.7109375" style="224" customWidth="1"/>
    <col min="8707" max="8707" width="6.28515625" style="224" customWidth="1"/>
    <col min="8708" max="8708" width="7.5703125" style="224" customWidth="1"/>
    <col min="8709" max="8709" width="3" style="224" customWidth="1"/>
    <col min="8710" max="8710" width="20" style="224" customWidth="1"/>
    <col min="8711" max="8711" width="19.42578125" style="224" customWidth="1"/>
    <col min="8712" max="8712" width="11" style="224" customWidth="1"/>
    <col min="8713" max="8713" width="10.140625" style="224" customWidth="1"/>
    <col min="8714" max="8714" width="9.140625" style="224"/>
    <col min="8715" max="8715" width="16.7109375" style="224" customWidth="1"/>
    <col min="8716" max="8716" width="9.85546875" style="224" customWidth="1"/>
    <col min="8717" max="8717" width="2.5703125" style="224" bestFit="1" customWidth="1"/>
    <col min="8718" max="8718" width="9.140625" style="224"/>
    <col min="8719" max="8719" width="9" style="224" customWidth="1"/>
    <col min="8720" max="8960" width="9.140625" style="224"/>
    <col min="8961" max="8961" width="5.5703125" style="224" customWidth="1"/>
    <col min="8962" max="8962" width="44.7109375" style="224" customWidth="1"/>
    <col min="8963" max="8963" width="6.28515625" style="224" customWidth="1"/>
    <col min="8964" max="8964" width="7.5703125" style="224" customWidth="1"/>
    <col min="8965" max="8965" width="3" style="224" customWidth="1"/>
    <col min="8966" max="8966" width="20" style="224" customWidth="1"/>
    <col min="8967" max="8967" width="19.42578125" style="224" customWidth="1"/>
    <col min="8968" max="8968" width="11" style="224" customWidth="1"/>
    <col min="8969" max="8969" width="10.140625" style="224" customWidth="1"/>
    <col min="8970" max="8970" width="9.140625" style="224"/>
    <col min="8971" max="8971" width="16.7109375" style="224" customWidth="1"/>
    <col min="8972" max="8972" width="9.85546875" style="224" customWidth="1"/>
    <col min="8973" max="8973" width="2.5703125" style="224" bestFit="1" customWidth="1"/>
    <col min="8974" max="8974" width="9.140625" style="224"/>
    <col min="8975" max="8975" width="9" style="224" customWidth="1"/>
    <col min="8976" max="9216" width="9.140625" style="224"/>
    <col min="9217" max="9217" width="5.5703125" style="224" customWidth="1"/>
    <col min="9218" max="9218" width="44.7109375" style="224" customWidth="1"/>
    <col min="9219" max="9219" width="6.28515625" style="224" customWidth="1"/>
    <col min="9220" max="9220" width="7.5703125" style="224" customWidth="1"/>
    <col min="9221" max="9221" width="3" style="224" customWidth="1"/>
    <col min="9222" max="9222" width="20" style="224" customWidth="1"/>
    <col min="9223" max="9223" width="19.42578125" style="224" customWidth="1"/>
    <col min="9224" max="9224" width="11" style="224" customWidth="1"/>
    <col min="9225" max="9225" width="10.140625" style="224" customWidth="1"/>
    <col min="9226" max="9226" width="9.140625" style="224"/>
    <col min="9227" max="9227" width="16.7109375" style="224" customWidth="1"/>
    <col min="9228" max="9228" width="9.85546875" style="224" customWidth="1"/>
    <col min="9229" max="9229" width="2.5703125" style="224" bestFit="1" customWidth="1"/>
    <col min="9230" max="9230" width="9.140625" style="224"/>
    <col min="9231" max="9231" width="9" style="224" customWidth="1"/>
    <col min="9232" max="9472" width="9.140625" style="224"/>
    <col min="9473" max="9473" width="5.5703125" style="224" customWidth="1"/>
    <col min="9474" max="9474" width="44.7109375" style="224" customWidth="1"/>
    <col min="9475" max="9475" width="6.28515625" style="224" customWidth="1"/>
    <col min="9476" max="9476" width="7.5703125" style="224" customWidth="1"/>
    <col min="9477" max="9477" width="3" style="224" customWidth="1"/>
    <col min="9478" max="9478" width="20" style="224" customWidth="1"/>
    <col min="9479" max="9479" width="19.42578125" style="224" customWidth="1"/>
    <col min="9480" max="9480" width="11" style="224" customWidth="1"/>
    <col min="9481" max="9481" width="10.140625" style="224" customWidth="1"/>
    <col min="9482" max="9482" width="9.140625" style="224"/>
    <col min="9483" max="9483" width="16.7109375" style="224" customWidth="1"/>
    <col min="9484" max="9484" width="9.85546875" style="224" customWidth="1"/>
    <col min="9485" max="9485" width="2.5703125" style="224" bestFit="1" customWidth="1"/>
    <col min="9486" max="9486" width="9.140625" style="224"/>
    <col min="9487" max="9487" width="9" style="224" customWidth="1"/>
    <col min="9488" max="9728" width="9.140625" style="224"/>
    <col min="9729" max="9729" width="5.5703125" style="224" customWidth="1"/>
    <col min="9730" max="9730" width="44.7109375" style="224" customWidth="1"/>
    <col min="9731" max="9731" width="6.28515625" style="224" customWidth="1"/>
    <col min="9732" max="9732" width="7.5703125" style="224" customWidth="1"/>
    <col min="9733" max="9733" width="3" style="224" customWidth="1"/>
    <col min="9734" max="9734" width="20" style="224" customWidth="1"/>
    <col min="9735" max="9735" width="19.42578125" style="224" customWidth="1"/>
    <col min="9736" max="9736" width="11" style="224" customWidth="1"/>
    <col min="9737" max="9737" width="10.140625" style="224" customWidth="1"/>
    <col min="9738" max="9738" width="9.140625" style="224"/>
    <col min="9739" max="9739" width="16.7109375" style="224" customWidth="1"/>
    <col min="9740" max="9740" width="9.85546875" style="224" customWidth="1"/>
    <col min="9741" max="9741" width="2.5703125" style="224" bestFit="1" customWidth="1"/>
    <col min="9742" max="9742" width="9.140625" style="224"/>
    <col min="9743" max="9743" width="9" style="224" customWidth="1"/>
    <col min="9744" max="9984" width="9.140625" style="224"/>
    <col min="9985" max="9985" width="5.5703125" style="224" customWidth="1"/>
    <col min="9986" max="9986" width="44.7109375" style="224" customWidth="1"/>
    <col min="9987" max="9987" width="6.28515625" style="224" customWidth="1"/>
    <col min="9988" max="9988" width="7.5703125" style="224" customWidth="1"/>
    <col min="9989" max="9989" width="3" style="224" customWidth="1"/>
    <col min="9990" max="9990" width="20" style="224" customWidth="1"/>
    <col min="9991" max="9991" width="19.42578125" style="224" customWidth="1"/>
    <col min="9992" max="9992" width="11" style="224" customWidth="1"/>
    <col min="9993" max="9993" width="10.140625" style="224" customWidth="1"/>
    <col min="9994" max="9994" width="9.140625" style="224"/>
    <col min="9995" max="9995" width="16.7109375" style="224" customWidth="1"/>
    <col min="9996" max="9996" width="9.85546875" style="224" customWidth="1"/>
    <col min="9997" max="9997" width="2.5703125" style="224" bestFit="1" customWidth="1"/>
    <col min="9998" max="9998" width="9.140625" style="224"/>
    <col min="9999" max="9999" width="9" style="224" customWidth="1"/>
    <col min="10000" max="10240" width="9.140625" style="224"/>
    <col min="10241" max="10241" width="5.5703125" style="224" customWidth="1"/>
    <col min="10242" max="10242" width="44.7109375" style="224" customWidth="1"/>
    <col min="10243" max="10243" width="6.28515625" style="224" customWidth="1"/>
    <col min="10244" max="10244" width="7.5703125" style="224" customWidth="1"/>
    <col min="10245" max="10245" width="3" style="224" customWidth="1"/>
    <col min="10246" max="10246" width="20" style="224" customWidth="1"/>
    <col min="10247" max="10247" width="19.42578125" style="224" customWidth="1"/>
    <col min="10248" max="10248" width="11" style="224" customWidth="1"/>
    <col min="10249" max="10249" width="10.140625" style="224" customWidth="1"/>
    <col min="10250" max="10250" width="9.140625" style="224"/>
    <col min="10251" max="10251" width="16.7109375" style="224" customWidth="1"/>
    <col min="10252" max="10252" width="9.85546875" style="224" customWidth="1"/>
    <col min="10253" max="10253" width="2.5703125" style="224" bestFit="1" customWidth="1"/>
    <col min="10254" max="10254" width="9.140625" style="224"/>
    <col min="10255" max="10255" width="9" style="224" customWidth="1"/>
    <col min="10256" max="10496" width="9.140625" style="224"/>
    <col min="10497" max="10497" width="5.5703125" style="224" customWidth="1"/>
    <col min="10498" max="10498" width="44.7109375" style="224" customWidth="1"/>
    <col min="10499" max="10499" width="6.28515625" style="224" customWidth="1"/>
    <col min="10500" max="10500" width="7.5703125" style="224" customWidth="1"/>
    <col min="10501" max="10501" width="3" style="224" customWidth="1"/>
    <col min="10502" max="10502" width="20" style="224" customWidth="1"/>
    <col min="10503" max="10503" width="19.42578125" style="224" customWidth="1"/>
    <col min="10504" max="10504" width="11" style="224" customWidth="1"/>
    <col min="10505" max="10505" width="10.140625" style="224" customWidth="1"/>
    <col min="10506" max="10506" width="9.140625" style="224"/>
    <col min="10507" max="10507" width="16.7109375" style="224" customWidth="1"/>
    <col min="10508" max="10508" width="9.85546875" style="224" customWidth="1"/>
    <col min="10509" max="10509" width="2.5703125" style="224" bestFit="1" customWidth="1"/>
    <col min="10510" max="10510" width="9.140625" style="224"/>
    <col min="10511" max="10511" width="9" style="224" customWidth="1"/>
    <col min="10512" max="10752" width="9.140625" style="224"/>
    <col min="10753" max="10753" width="5.5703125" style="224" customWidth="1"/>
    <col min="10754" max="10754" width="44.7109375" style="224" customWidth="1"/>
    <col min="10755" max="10755" width="6.28515625" style="224" customWidth="1"/>
    <col min="10756" max="10756" width="7.5703125" style="224" customWidth="1"/>
    <col min="10757" max="10757" width="3" style="224" customWidth="1"/>
    <col min="10758" max="10758" width="20" style="224" customWidth="1"/>
    <col min="10759" max="10759" width="19.42578125" style="224" customWidth="1"/>
    <col min="10760" max="10760" width="11" style="224" customWidth="1"/>
    <col min="10761" max="10761" width="10.140625" style="224" customWidth="1"/>
    <col min="10762" max="10762" width="9.140625" style="224"/>
    <col min="10763" max="10763" width="16.7109375" style="224" customWidth="1"/>
    <col min="10764" max="10764" width="9.85546875" style="224" customWidth="1"/>
    <col min="10765" max="10765" width="2.5703125" style="224" bestFit="1" customWidth="1"/>
    <col min="10766" max="10766" width="9.140625" style="224"/>
    <col min="10767" max="10767" width="9" style="224" customWidth="1"/>
    <col min="10768" max="11008" width="9.140625" style="224"/>
    <col min="11009" max="11009" width="5.5703125" style="224" customWidth="1"/>
    <col min="11010" max="11010" width="44.7109375" style="224" customWidth="1"/>
    <col min="11011" max="11011" width="6.28515625" style="224" customWidth="1"/>
    <col min="11012" max="11012" width="7.5703125" style="224" customWidth="1"/>
    <col min="11013" max="11013" width="3" style="224" customWidth="1"/>
    <col min="11014" max="11014" width="20" style="224" customWidth="1"/>
    <col min="11015" max="11015" width="19.42578125" style="224" customWidth="1"/>
    <col min="11016" max="11016" width="11" style="224" customWidth="1"/>
    <col min="11017" max="11017" width="10.140625" style="224" customWidth="1"/>
    <col min="11018" max="11018" width="9.140625" style="224"/>
    <col min="11019" max="11019" width="16.7109375" style="224" customWidth="1"/>
    <col min="11020" max="11020" width="9.85546875" style="224" customWidth="1"/>
    <col min="11021" max="11021" width="2.5703125" style="224" bestFit="1" customWidth="1"/>
    <col min="11022" max="11022" width="9.140625" style="224"/>
    <col min="11023" max="11023" width="9" style="224" customWidth="1"/>
    <col min="11024" max="11264" width="9.140625" style="224"/>
    <col min="11265" max="11265" width="5.5703125" style="224" customWidth="1"/>
    <col min="11266" max="11266" width="44.7109375" style="224" customWidth="1"/>
    <col min="11267" max="11267" width="6.28515625" style="224" customWidth="1"/>
    <col min="11268" max="11268" width="7.5703125" style="224" customWidth="1"/>
    <col min="11269" max="11269" width="3" style="224" customWidth="1"/>
    <col min="11270" max="11270" width="20" style="224" customWidth="1"/>
    <col min="11271" max="11271" width="19.42578125" style="224" customWidth="1"/>
    <col min="11272" max="11272" width="11" style="224" customWidth="1"/>
    <col min="11273" max="11273" width="10.140625" style="224" customWidth="1"/>
    <col min="11274" max="11274" width="9.140625" style="224"/>
    <col min="11275" max="11275" width="16.7109375" style="224" customWidth="1"/>
    <col min="11276" max="11276" width="9.85546875" style="224" customWidth="1"/>
    <col min="11277" max="11277" width="2.5703125" style="224" bestFit="1" customWidth="1"/>
    <col min="11278" max="11278" width="9.140625" style="224"/>
    <col min="11279" max="11279" width="9" style="224" customWidth="1"/>
    <col min="11280" max="11520" width="9.140625" style="224"/>
    <col min="11521" max="11521" width="5.5703125" style="224" customWidth="1"/>
    <col min="11522" max="11522" width="44.7109375" style="224" customWidth="1"/>
    <col min="11523" max="11523" width="6.28515625" style="224" customWidth="1"/>
    <col min="11524" max="11524" width="7.5703125" style="224" customWidth="1"/>
    <col min="11525" max="11525" width="3" style="224" customWidth="1"/>
    <col min="11526" max="11526" width="20" style="224" customWidth="1"/>
    <col min="11527" max="11527" width="19.42578125" style="224" customWidth="1"/>
    <col min="11528" max="11528" width="11" style="224" customWidth="1"/>
    <col min="11529" max="11529" width="10.140625" style="224" customWidth="1"/>
    <col min="11530" max="11530" width="9.140625" style="224"/>
    <col min="11531" max="11531" width="16.7109375" style="224" customWidth="1"/>
    <col min="11532" max="11532" width="9.85546875" style="224" customWidth="1"/>
    <col min="11533" max="11533" width="2.5703125" style="224" bestFit="1" customWidth="1"/>
    <col min="11534" max="11534" width="9.140625" style="224"/>
    <col min="11535" max="11535" width="9" style="224" customWidth="1"/>
    <col min="11536" max="11776" width="9.140625" style="224"/>
    <col min="11777" max="11777" width="5.5703125" style="224" customWidth="1"/>
    <col min="11778" max="11778" width="44.7109375" style="224" customWidth="1"/>
    <col min="11779" max="11779" width="6.28515625" style="224" customWidth="1"/>
    <col min="11780" max="11780" width="7.5703125" style="224" customWidth="1"/>
    <col min="11781" max="11781" width="3" style="224" customWidth="1"/>
    <col min="11782" max="11782" width="20" style="224" customWidth="1"/>
    <col min="11783" max="11783" width="19.42578125" style="224" customWidth="1"/>
    <col min="11784" max="11784" width="11" style="224" customWidth="1"/>
    <col min="11785" max="11785" width="10.140625" style="224" customWidth="1"/>
    <col min="11786" max="11786" width="9.140625" style="224"/>
    <col min="11787" max="11787" width="16.7109375" style="224" customWidth="1"/>
    <col min="11788" max="11788" width="9.85546875" style="224" customWidth="1"/>
    <col min="11789" max="11789" width="2.5703125" style="224" bestFit="1" customWidth="1"/>
    <col min="11790" max="11790" width="9.140625" style="224"/>
    <col min="11791" max="11791" width="9" style="224" customWidth="1"/>
    <col min="11792" max="12032" width="9.140625" style="224"/>
    <col min="12033" max="12033" width="5.5703125" style="224" customWidth="1"/>
    <col min="12034" max="12034" width="44.7109375" style="224" customWidth="1"/>
    <col min="12035" max="12035" width="6.28515625" style="224" customWidth="1"/>
    <col min="12036" max="12036" width="7.5703125" style="224" customWidth="1"/>
    <col min="12037" max="12037" width="3" style="224" customWidth="1"/>
    <col min="12038" max="12038" width="20" style="224" customWidth="1"/>
    <col min="12039" max="12039" width="19.42578125" style="224" customWidth="1"/>
    <col min="12040" max="12040" width="11" style="224" customWidth="1"/>
    <col min="12041" max="12041" width="10.140625" style="224" customWidth="1"/>
    <col min="12042" max="12042" width="9.140625" style="224"/>
    <col min="12043" max="12043" width="16.7109375" style="224" customWidth="1"/>
    <col min="12044" max="12044" width="9.85546875" style="224" customWidth="1"/>
    <col min="12045" max="12045" width="2.5703125" style="224" bestFit="1" customWidth="1"/>
    <col min="12046" max="12046" width="9.140625" style="224"/>
    <col min="12047" max="12047" width="9" style="224" customWidth="1"/>
    <col min="12048" max="12288" width="9.140625" style="224"/>
    <col min="12289" max="12289" width="5.5703125" style="224" customWidth="1"/>
    <col min="12290" max="12290" width="44.7109375" style="224" customWidth="1"/>
    <col min="12291" max="12291" width="6.28515625" style="224" customWidth="1"/>
    <col min="12292" max="12292" width="7.5703125" style="224" customWidth="1"/>
    <col min="12293" max="12293" width="3" style="224" customWidth="1"/>
    <col min="12294" max="12294" width="20" style="224" customWidth="1"/>
    <col min="12295" max="12295" width="19.42578125" style="224" customWidth="1"/>
    <col min="12296" max="12296" width="11" style="224" customWidth="1"/>
    <col min="12297" max="12297" width="10.140625" style="224" customWidth="1"/>
    <col min="12298" max="12298" width="9.140625" style="224"/>
    <col min="12299" max="12299" width="16.7109375" style="224" customWidth="1"/>
    <col min="12300" max="12300" width="9.85546875" style="224" customWidth="1"/>
    <col min="12301" max="12301" width="2.5703125" style="224" bestFit="1" customWidth="1"/>
    <col min="12302" max="12302" width="9.140625" style="224"/>
    <col min="12303" max="12303" width="9" style="224" customWidth="1"/>
    <col min="12304" max="12544" width="9.140625" style="224"/>
    <col min="12545" max="12545" width="5.5703125" style="224" customWidth="1"/>
    <col min="12546" max="12546" width="44.7109375" style="224" customWidth="1"/>
    <col min="12547" max="12547" width="6.28515625" style="224" customWidth="1"/>
    <col min="12548" max="12548" width="7.5703125" style="224" customWidth="1"/>
    <col min="12549" max="12549" width="3" style="224" customWidth="1"/>
    <col min="12550" max="12550" width="20" style="224" customWidth="1"/>
    <col min="12551" max="12551" width="19.42578125" style="224" customWidth="1"/>
    <col min="12552" max="12552" width="11" style="224" customWidth="1"/>
    <col min="12553" max="12553" width="10.140625" style="224" customWidth="1"/>
    <col min="12554" max="12554" width="9.140625" style="224"/>
    <col min="12555" max="12555" width="16.7109375" style="224" customWidth="1"/>
    <col min="12556" max="12556" width="9.85546875" style="224" customWidth="1"/>
    <col min="12557" max="12557" width="2.5703125" style="224" bestFit="1" customWidth="1"/>
    <col min="12558" max="12558" width="9.140625" style="224"/>
    <col min="12559" max="12559" width="9" style="224" customWidth="1"/>
    <col min="12560" max="12800" width="9.140625" style="224"/>
    <col min="12801" max="12801" width="5.5703125" style="224" customWidth="1"/>
    <col min="12802" max="12802" width="44.7109375" style="224" customWidth="1"/>
    <col min="12803" max="12803" width="6.28515625" style="224" customWidth="1"/>
    <col min="12804" max="12804" width="7.5703125" style="224" customWidth="1"/>
    <col min="12805" max="12805" width="3" style="224" customWidth="1"/>
    <col min="12806" max="12806" width="20" style="224" customWidth="1"/>
    <col min="12807" max="12807" width="19.42578125" style="224" customWidth="1"/>
    <col min="12808" max="12808" width="11" style="224" customWidth="1"/>
    <col min="12809" max="12809" width="10.140625" style="224" customWidth="1"/>
    <col min="12810" max="12810" width="9.140625" style="224"/>
    <col min="12811" max="12811" width="16.7109375" style="224" customWidth="1"/>
    <col min="12812" max="12812" width="9.85546875" style="224" customWidth="1"/>
    <col min="12813" max="12813" width="2.5703125" style="224" bestFit="1" customWidth="1"/>
    <col min="12814" max="12814" width="9.140625" style="224"/>
    <col min="12815" max="12815" width="9" style="224" customWidth="1"/>
    <col min="12816" max="13056" width="9.140625" style="224"/>
    <col min="13057" max="13057" width="5.5703125" style="224" customWidth="1"/>
    <col min="13058" max="13058" width="44.7109375" style="224" customWidth="1"/>
    <col min="13059" max="13059" width="6.28515625" style="224" customWidth="1"/>
    <col min="13060" max="13060" width="7.5703125" style="224" customWidth="1"/>
    <col min="13061" max="13061" width="3" style="224" customWidth="1"/>
    <col min="13062" max="13062" width="20" style="224" customWidth="1"/>
    <col min="13063" max="13063" width="19.42578125" style="224" customWidth="1"/>
    <col min="13064" max="13064" width="11" style="224" customWidth="1"/>
    <col min="13065" max="13065" width="10.140625" style="224" customWidth="1"/>
    <col min="13066" max="13066" width="9.140625" style="224"/>
    <col min="13067" max="13067" width="16.7109375" style="224" customWidth="1"/>
    <col min="13068" max="13068" width="9.85546875" style="224" customWidth="1"/>
    <col min="13069" max="13069" width="2.5703125" style="224" bestFit="1" customWidth="1"/>
    <col min="13070" max="13070" width="9.140625" style="224"/>
    <col min="13071" max="13071" width="9" style="224" customWidth="1"/>
    <col min="13072" max="13312" width="9.140625" style="224"/>
    <col min="13313" max="13313" width="5.5703125" style="224" customWidth="1"/>
    <col min="13314" max="13314" width="44.7109375" style="224" customWidth="1"/>
    <col min="13315" max="13315" width="6.28515625" style="224" customWidth="1"/>
    <col min="13316" max="13316" width="7.5703125" style="224" customWidth="1"/>
    <col min="13317" max="13317" width="3" style="224" customWidth="1"/>
    <col min="13318" max="13318" width="20" style="224" customWidth="1"/>
    <col min="13319" max="13319" width="19.42578125" style="224" customWidth="1"/>
    <col min="13320" max="13320" width="11" style="224" customWidth="1"/>
    <col min="13321" max="13321" width="10.140625" style="224" customWidth="1"/>
    <col min="13322" max="13322" width="9.140625" style="224"/>
    <col min="13323" max="13323" width="16.7109375" style="224" customWidth="1"/>
    <col min="13324" max="13324" width="9.85546875" style="224" customWidth="1"/>
    <col min="13325" max="13325" width="2.5703125" style="224" bestFit="1" customWidth="1"/>
    <col min="13326" max="13326" width="9.140625" style="224"/>
    <col min="13327" max="13327" width="9" style="224" customWidth="1"/>
    <col min="13328" max="13568" width="9.140625" style="224"/>
    <col min="13569" max="13569" width="5.5703125" style="224" customWidth="1"/>
    <col min="13570" max="13570" width="44.7109375" style="224" customWidth="1"/>
    <col min="13571" max="13571" width="6.28515625" style="224" customWidth="1"/>
    <col min="13572" max="13572" width="7.5703125" style="224" customWidth="1"/>
    <col min="13573" max="13573" width="3" style="224" customWidth="1"/>
    <col min="13574" max="13574" width="20" style="224" customWidth="1"/>
    <col min="13575" max="13575" width="19.42578125" style="224" customWidth="1"/>
    <col min="13576" max="13576" width="11" style="224" customWidth="1"/>
    <col min="13577" max="13577" width="10.140625" style="224" customWidth="1"/>
    <col min="13578" max="13578" width="9.140625" style="224"/>
    <col min="13579" max="13579" width="16.7109375" style="224" customWidth="1"/>
    <col min="13580" max="13580" width="9.85546875" style="224" customWidth="1"/>
    <col min="13581" max="13581" width="2.5703125" style="224" bestFit="1" customWidth="1"/>
    <col min="13582" max="13582" width="9.140625" style="224"/>
    <col min="13583" max="13583" width="9" style="224" customWidth="1"/>
    <col min="13584" max="13824" width="9.140625" style="224"/>
    <col min="13825" max="13825" width="5.5703125" style="224" customWidth="1"/>
    <col min="13826" max="13826" width="44.7109375" style="224" customWidth="1"/>
    <col min="13827" max="13827" width="6.28515625" style="224" customWidth="1"/>
    <col min="13828" max="13828" width="7.5703125" style="224" customWidth="1"/>
    <col min="13829" max="13829" width="3" style="224" customWidth="1"/>
    <col min="13830" max="13830" width="20" style="224" customWidth="1"/>
    <col min="13831" max="13831" width="19.42578125" style="224" customWidth="1"/>
    <col min="13832" max="13832" width="11" style="224" customWidth="1"/>
    <col min="13833" max="13833" width="10.140625" style="224" customWidth="1"/>
    <col min="13834" max="13834" width="9.140625" style="224"/>
    <col min="13835" max="13835" width="16.7109375" style="224" customWidth="1"/>
    <col min="13836" max="13836" width="9.85546875" style="224" customWidth="1"/>
    <col min="13837" max="13837" width="2.5703125" style="224" bestFit="1" customWidth="1"/>
    <col min="13838" max="13838" width="9.140625" style="224"/>
    <col min="13839" max="13839" width="9" style="224" customWidth="1"/>
    <col min="13840" max="14080" width="9.140625" style="224"/>
    <col min="14081" max="14081" width="5.5703125" style="224" customWidth="1"/>
    <col min="14082" max="14082" width="44.7109375" style="224" customWidth="1"/>
    <col min="14083" max="14083" width="6.28515625" style="224" customWidth="1"/>
    <col min="14084" max="14084" width="7.5703125" style="224" customWidth="1"/>
    <col min="14085" max="14085" width="3" style="224" customWidth="1"/>
    <col min="14086" max="14086" width="20" style="224" customWidth="1"/>
    <col min="14087" max="14087" width="19.42578125" style="224" customWidth="1"/>
    <col min="14088" max="14088" width="11" style="224" customWidth="1"/>
    <col min="14089" max="14089" width="10.140625" style="224" customWidth="1"/>
    <col min="14090" max="14090" width="9.140625" style="224"/>
    <col min="14091" max="14091" width="16.7109375" style="224" customWidth="1"/>
    <col min="14092" max="14092" width="9.85546875" style="224" customWidth="1"/>
    <col min="14093" max="14093" width="2.5703125" style="224" bestFit="1" customWidth="1"/>
    <col min="14094" max="14094" width="9.140625" style="224"/>
    <col min="14095" max="14095" width="9" style="224" customWidth="1"/>
    <col min="14096" max="14336" width="9.140625" style="224"/>
    <col min="14337" max="14337" width="5.5703125" style="224" customWidth="1"/>
    <col min="14338" max="14338" width="44.7109375" style="224" customWidth="1"/>
    <col min="14339" max="14339" width="6.28515625" style="224" customWidth="1"/>
    <col min="14340" max="14340" width="7.5703125" style="224" customWidth="1"/>
    <col min="14341" max="14341" width="3" style="224" customWidth="1"/>
    <col min="14342" max="14342" width="20" style="224" customWidth="1"/>
    <col min="14343" max="14343" width="19.42578125" style="224" customWidth="1"/>
    <col min="14344" max="14344" width="11" style="224" customWidth="1"/>
    <col min="14345" max="14345" width="10.140625" style="224" customWidth="1"/>
    <col min="14346" max="14346" width="9.140625" style="224"/>
    <col min="14347" max="14347" width="16.7109375" style="224" customWidth="1"/>
    <col min="14348" max="14348" width="9.85546875" style="224" customWidth="1"/>
    <col min="14349" max="14349" width="2.5703125" style="224" bestFit="1" customWidth="1"/>
    <col min="14350" max="14350" width="9.140625" style="224"/>
    <col min="14351" max="14351" width="9" style="224" customWidth="1"/>
    <col min="14352" max="14592" width="9.140625" style="224"/>
    <col min="14593" max="14593" width="5.5703125" style="224" customWidth="1"/>
    <col min="14594" max="14594" width="44.7109375" style="224" customWidth="1"/>
    <col min="14595" max="14595" width="6.28515625" style="224" customWidth="1"/>
    <col min="14596" max="14596" width="7.5703125" style="224" customWidth="1"/>
    <col min="14597" max="14597" width="3" style="224" customWidth="1"/>
    <col min="14598" max="14598" width="20" style="224" customWidth="1"/>
    <col min="14599" max="14599" width="19.42578125" style="224" customWidth="1"/>
    <col min="14600" max="14600" width="11" style="224" customWidth="1"/>
    <col min="14601" max="14601" width="10.140625" style="224" customWidth="1"/>
    <col min="14602" max="14602" width="9.140625" style="224"/>
    <col min="14603" max="14603" width="16.7109375" style="224" customWidth="1"/>
    <col min="14604" max="14604" width="9.85546875" style="224" customWidth="1"/>
    <col min="14605" max="14605" width="2.5703125" style="224" bestFit="1" customWidth="1"/>
    <col min="14606" max="14606" width="9.140625" style="224"/>
    <col min="14607" max="14607" width="9" style="224" customWidth="1"/>
    <col min="14608" max="14848" width="9.140625" style="224"/>
    <col min="14849" max="14849" width="5.5703125" style="224" customWidth="1"/>
    <col min="14850" max="14850" width="44.7109375" style="224" customWidth="1"/>
    <col min="14851" max="14851" width="6.28515625" style="224" customWidth="1"/>
    <col min="14852" max="14852" width="7.5703125" style="224" customWidth="1"/>
    <col min="14853" max="14853" width="3" style="224" customWidth="1"/>
    <col min="14854" max="14854" width="20" style="224" customWidth="1"/>
    <col min="14855" max="14855" width="19.42578125" style="224" customWidth="1"/>
    <col min="14856" max="14856" width="11" style="224" customWidth="1"/>
    <col min="14857" max="14857" width="10.140625" style="224" customWidth="1"/>
    <col min="14858" max="14858" width="9.140625" style="224"/>
    <col min="14859" max="14859" width="16.7109375" style="224" customWidth="1"/>
    <col min="14860" max="14860" width="9.85546875" style="224" customWidth="1"/>
    <col min="14861" max="14861" width="2.5703125" style="224" bestFit="1" customWidth="1"/>
    <col min="14862" max="14862" width="9.140625" style="224"/>
    <col min="14863" max="14863" width="9" style="224" customWidth="1"/>
    <col min="14864" max="15104" width="9.140625" style="224"/>
    <col min="15105" max="15105" width="5.5703125" style="224" customWidth="1"/>
    <col min="15106" max="15106" width="44.7109375" style="224" customWidth="1"/>
    <col min="15107" max="15107" width="6.28515625" style="224" customWidth="1"/>
    <col min="15108" max="15108" width="7.5703125" style="224" customWidth="1"/>
    <col min="15109" max="15109" width="3" style="224" customWidth="1"/>
    <col min="15110" max="15110" width="20" style="224" customWidth="1"/>
    <col min="15111" max="15111" width="19.42578125" style="224" customWidth="1"/>
    <col min="15112" max="15112" width="11" style="224" customWidth="1"/>
    <col min="15113" max="15113" width="10.140625" style="224" customWidth="1"/>
    <col min="15114" max="15114" width="9.140625" style="224"/>
    <col min="15115" max="15115" width="16.7109375" style="224" customWidth="1"/>
    <col min="15116" max="15116" width="9.85546875" style="224" customWidth="1"/>
    <col min="15117" max="15117" width="2.5703125" style="224" bestFit="1" customWidth="1"/>
    <col min="15118" max="15118" width="9.140625" style="224"/>
    <col min="15119" max="15119" width="9" style="224" customWidth="1"/>
    <col min="15120" max="15360" width="9.140625" style="224"/>
    <col min="15361" max="15361" width="5.5703125" style="224" customWidth="1"/>
    <col min="15362" max="15362" width="44.7109375" style="224" customWidth="1"/>
    <col min="15363" max="15363" width="6.28515625" style="224" customWidth="1"/>
    <col min="15364" max="15364" width="7.5703125" style="224" customWidth="1"/>
    <col min="15365" max="15365" width="3" style="224" customWidth="1"/>
    <col min="15366" max="15366" width="20" style="224" customWidth="1"/>
    <col min="15367" max="15367" width="19.42578125" style="224" customWidth="1"/>
    <col min="15368" max="15368" width="11" style="224" customWidth="1"/>
    <col min="15369" max="15369" width="10.140625" style="224" customWidth="1"/>
    <col min="15370" max="15370" width="9.140625" style="224"/>
    <col min="15371" max="15371" width="16.7109375" style="224" customWidth="1"/>
    <col min="15372" max="15372" width="9.85546875" style="224" customWidth="1"/>
    <col min="15373" max="15373" width="2.5703125" style="224" bestFit="1" customWidth="1"/>
    <col min="15374" max="15374" width="9.140625" style="224"/>
    <col min="15375" max="15375" width="9" style="224" customWidth="1"/>
    <col min="15376" max="15616" width="9.140625" style="224"/>
    <col min="15617" max="15617" width="5.5703125" style="224" customWidth="1"/>
    <col min="15618" max="15618" width="44.7109375" style="224" customWidth="1"/>
    <col min="15619" max="15619" width="6.28515625" style="224" customWidth="1"/>
    <col min="15620" max="15620" width="7.5703125" style="224" customWidth="1"/>
    <col min="15621" max="15621" width="3" style="224" customWidth="1"/>
    <col min="15622" max="15622" width="20" style="224" customWidth="1"/>
    <col min="15623" max="15623" width="19.42578125" style="224" customWidth="1"/>
    <col min="15624" max="15624" width="11" style="224" customWidth="1"/>
    <col min="15625" max="15625" width="10.140625" style="224" customWidth="1"/>
    <col min="15626" max="15626" width="9.140625" style="224"/>
    <col min="15627" max="15627" width="16.7109375" style="224" customWidth="1"/>
    <col min="15628" max="15628" width="9.85546875" style="224" customWidth="1"/>
    <col min="15629" max="15629" width="2.5703125" style="224" bestFit="1" customWidth="1"/>
    <col min="15630" max="15630" width="9.140625" style="224"/>
    <col min="15631" max="15631" width="9" style="224" customWidth="1"/>
    <col min="15632" max="15872" width="9.140625" style="224"/>
    <col min="15873" max="15873" width="5.5703125" style="224" customWidth="1"/>
    <col min="15874" max="15874" width="44.7109375" style="224" customWidth="1"/>
    <col min="15875" max="15875" width="6.28515625" style="224" customWidth="1"/>
    <col min="15876" max="15876" width="7.5703125" style="224" customWidth="1"/>
    <col min="15877" max="15877" width="3" style="224" customWidth="1"/>
    <col min="15878" max="15878" width="20" style="224" customWidth="1"/>
    <col min="15879" max="15879" width="19.42578125" style="224" customWidth="1"/>
    <col min="15880" max="15880" width="11" style="224" customWidth="1"/>
    <col min="15881" max="15881" width="10.140625" style="224" customWidth="1"/>
    <col min="15882" max="15882" width="9.140625" style="224"/>
    <col min="15883" max="15883" width="16.7109375" style="224" customWidth="1"/>
    <col min="15884" max="15884" width="9.85546875" style="224" customWidth="1"/>
    <col min="15885" max="15885" width="2.5703125" style="224" bestFit="1" customWidth="1"/>
    <col min="15886" max="15886" width="9.140625" style="224"/>
    <col min="15887" max="15887" width="9" style="224" customWidth="1"/>
    <col min="15888" max="16128" width="9.140625" style="224"/>
    <col min="16129" max="16129" width="5.5703125" style="224" customWidth="1"/>
    <col min="16130" max="16130" width="44.7109375" style="224" customWidth="1"/>
    <col min="16131" max="16131" width="6.28515625" style="224" customWidth="1"/>
    <col min="16132" max="16132" width="7.5703125" style="224" customWidth="1"/>
    <col min="16133" max="16133" width="3" style="224" customWidth="1"/>
    <col min="16134" max="16134" width="20" style="224" customWidth="1"/>
    <col min="16135" max="16135" width="19.42578125" style="224" customWidth="1"/>
    <col min="16136" max="16136" width="11" style="224" customWidth="1"/>
    <col min="16137" max="16137" width="10.140625" style="224" customWidth="1"/>
    <col min="16138" max="16138" width="9.140625" style="224"/>
    <col min="16139" max="16139" width="16.7109375" style="224" customWidth="1"/>
    <col min="16140" max="16140" width="9.85546875" style="224" customWidth="1"/>
    <col min="16141" max="16141" width="2.5703125" style="224" bestFit="1" customWidth="1"/>
    <col min="16142" max="16142" width="9.140625" style="224"/>
    <col min="16143" max="16143" width="9" style="224" customWidth="1"/>
    <col min="16144" max="16384" width="9.140625" style="224"/>
  </cols>
  <sheetData>
    <row r="1" spans="1:15" s="213" customFormat="1" ht="18" x14ac:dyDescent="0.25">
      <c r="A1" s="212" t="s">
        <v>1445</v>
      </c>
      <c r="D1" s="603"/>
      <c r="E1" s="604"/>
      <c r="F1" s="605"/>
      <c r="G1" s="606"/>
      <c r="H1" s="607"/>
      <c r="I1" s="607"/>
      <c r="K1" s="605"/>
      <c r="L1" s="605"/>
      <c r="M1" s="319"/>
      <c r="N1" s="217"/>
    </row>
    <row r="2" spans="1:15" s="213" customFormat="1" ht="18" x14ac:dyDescent="0.25">
      <c r="A2" s="212"/>
      <c r="B2" s="212"/>
      <c r="D2" s="603"/>
      <c r="E2" s="604"/>
      <c r="F2" s="605"/>
      <c r="G2" s="606"/>
      <c r="H2" s="607"/>
      <c r="I2" s="607"/>
      <c r="K2" s="605"/>
      <c r="L2" s="605"/>
      <c r="M2" s="319"/>
      <c r="N2" s="217"/>
    </row>
    <row r="3" spans="1:15" s="213" customFormat="1" ht="18" x14ac:dyDescent="0.25">
      <c r="A3" s="212" t="s">
        <v>42</v>
      </c>
      <c r="B3" s="212" t="s">
        <v>1488</v>
      </c>
      <c r="D3" s="603"/>
      <c r="E3" s="604"/>
      <c r="F3" s="605"/>
      <c r="G3" s="606"/>
      <c r="H3" s="607"/>
      <c r="I3" s="607"/>
      <c r="K3" s="605"/>
      <c r="L3" s="605"/>
      <c r="M3" s="319"/>
      <c r="N3" s="217"/>
    </row>
    <row r="4" spans="1:15" s="213" customFormat="1" ht="18" x14ac:dyDescent="0.25">
      <c r="A4" s="212"/>
      <c r="B4" s="318"/>
      <c r="C4" s="212"/>
      <c r="D4" s="603"/>
      <c r="E4" s="604"/>
      <c r="F4" s="605"/>
      <c r="G4" s="606"/>
      <c r="H4" s="607"/>
      <c r="I4" s="607"/>
      <c r="K4" s="605"/>
      <c r="L4" s="605"/>
      <c r="M4" s="319"/>
      <c r="N4" s="217"/>
    </row>
    <row r="5" spans="1:15" s="330" customFormat="1" ht="19.5" thickBot="1" x14ac:dyDescent="0.3">
      <c r="A5" s="608" t="s">
        <v>1445</v>
      </c>
      <c r="B5" s="608"/>
      <c r="C5" s="608"/>
      <c r="D5" s="608"/>
      <c r="E5" s="608"/>
      <c r="F5" s="608"/>
      <c r="G5" s="609"/>
      <c r="H5" s="610"/>
      <c r="I5" s="610"/>
      <c r="K5" s="611"/>
      <c r="L5" s="611"/>
      <c r="M5" s="328"/>
      <c r="N5" s="329"/>
    </row>
    <row r="6" spans="1:15" s="213" customFormat="1" ht="18" x14ac:dyDescent="0.25">
      <c r="A6" s="212"/>
      <c r="B6" s="318"/>
      <c r="C6" s="212"/>
      <c r="D6" s="603"/>
      <c r="E6" s="604"/>
      <c r="F6" s="605"/>
      <c r="G6" s="606"/>
      <c r="H6" s="607"/>
      <c r="I6" s="607"/>
      <c r="K6" s="605"/>
      <c r="L6" s="605"/>
      <c r="M6" s="319"/>
      <c r="N6" s="217"/>
    </row>
    <row r="7" spans="1:15" s="616" customFormat="1" ht="12.75" customHeight="1" x14ac:dyDescent="0.25">
      <c r="A7" s="612" t="s">
        <v>991</v>
      </c>
      <c r="B7" s="613"/>
      <c r="C7" s="612"/>
      <c r="D7" s="612"/>
      <c r="E7" s="612"/>
      <c r="F7" s="614"/>
      <c r="G7" s="615"/>
      <c r="H7" s="260"/>
    </row>
    <row r="8" spans="1:15" s="375" customFormat="1" x14ac:dyDescent="0.25">
      <c r="A8" s="617"/>
      <c r="B8" s="618"/>
      <c r="C8" s="619"/>
      <c r="D8" s="620"/>
      <c r="E8" s="621"/>
      <c r="F8" s="621"/>
      <c r="G8" s="622"/>
      <c r="L8" s="623"/>
      <c r="N8" s="624"/>
      <c r="O8" s="624"/>
    </row>
    <row r="9" spans="1:15" s="369" customFormat="1" x14ac:dyDescent="0.25">
      <c r="A9" s="625"/>
      <c r="B9" s="626"/>
      <c r="D9" s="627"/>
      <c r="E9" s="628"/>
      <c r="F9" s="628"/>
      <c r="L9" s="616"/>
      <c r="N9" s="628"/>
      <c r="O9" s="628"/>
    </row>
    <row r="10" spans="1:15" s="633" customFormat="1" ht="15" x14ac:dyDescent="0.25">
      <c r="A10" s="750" t="s">
        <v>1266</v>
      </c>
      <c r="B10" s="629" t="s">
        <v>1489</v>
      </c>
      <c r="C10" s="630"/>
      <c r="D10" s="631"/>
      <c r="E10" s="630"/>
      <c r="F10" s="632">
        <f>ROUND(SUM(F11:F12),2)</f>
        <v>0</v>
      </c>
      <c r="G10" s="630"/>
    </row>
    <row r="11" spans="1:15" s="633" customFormat="1" ht="15" x14ac:dyDescent="0.25">
      <c r="A11" s="1139" t="s">
        <v>1491</v>
      </c>
      <c r="B11" s="1137" t="s">
        <v>1493</v>
      </c>
      <c r="C11" s="630"/>
      <c r="D11" s="631"/>
      <c r="E11" s="630"/>
      <c r="F11" s="1138">
        <f>ROUND('5.1'!F7,2)</f>
        <v>0</v>
      </c>
      <c r="G11" s="630"/>
    </row>
    <row r="12" spans="1:15" s="633" customFormat="1" ht="15" x14ac:dyDescent="0.25">
      <c r="A12" s="1139" t="s">
        <v>1492</v>
      </c>
      <c r="B12" s="1137" t="s">
        <v>498</v>
      </c>
      <c r="C12" s="630"/>
      <c r="D12" s="631"/>
      <c r="E12" s="630"/>
      <c r="F12" s="1138">
        <f>ROUND('5.1'!F18,2)</f>
        <v>0</v>
      </c>
      <c r="G12" s="630"/>
    </row>
    <row r="13" spans="1:15" s="633" customFormat="1" ht="15" x14ac:dyDescent="0.25">
      <c r="A13" s="750"/>
      <c r="B13" s="629"/>
      <c r="C13" s="630"/>
      <c r="D13" s="631"/>
      <c r="E13" s="630"/>
      <c r="F13" s="632"/>
      <c r="G13" s="630"/>
    </row>
    <row r="14" spans="1:15" s="633" customFormat="1" ht="30" x14ac:dyDescent="0.25">
      <c r="A14" s="750" t="s">
        <v>1265</v>
      </c>
      <c r="B14" s="629" t="s">
        <v>1490</v>
      </c>
      <c r="C14" s="630"/>
      <c r="D14" s="631"/>
      <c r="E14" s="630"/>
      <c r="F14" s="632">
        <f>ROUND(SUM(F15:F18),2)</f>
        <v>0</v>
      </c>
      <c r="G14" s="630"/>
    </row>
    <row r="15" spans="1:15" s="633" customFormat="1" ht="15" x14ac:dyDescent="0.25">
      <c r="A15" s="1139" t="s">
        <v>1494</v>
      </c>
      <c r="B15" s="1137" t="s">
        <v>1493</v>
      </c>
      <c r="C15" s="1140"/>
      <c r="D15" s="1141"/>
      <c r="E15" s="1140"/>
      <c r="F15" s="1138">
        <f>ROUND('5.2'!F12,2)</f>
        <v>0</v>
      </c>
      <c r="G15" s="630"/>
    </row>
    <row r="16" spans="1:15" s="633" customFormat="1" ht="15" x14ac:dyDescent="0.25">
      <c r="A16" s="1139" t="s">
        <v>1495</v>
      </c>
      <c r="B16" s="1137" t="s">
        <v>1498</v>
      </c>
      <c r="C16" s="1140"/>
      <c r="D16" s="1141"/>
      <c r="E16" s="1140"/>
      <c r="F16" s="1138">
        <f>ROUND('5.2'!F29,2)</f>
        <v>0</v>
      </c>
      <c r="G16" s="630"/>
    </row>
    <row r="17" spans="1:15" s="633" customFormat="1" ht="15" x14ac:dyDescent="0.25">
      <c r="A17" s="1139" t="s">
        <v>1496</v>
      </c>
      <c r="B17" s="1137" t="s">
        <v>1499</v>
      </c>
      <c r="C17" s="1140"/>
      <c r="D17" s="1141"/>
      <c r="E17" s="1140"/>
      <c r="F17" s="1138">
        <f>ROUND('5.2'!F48,2)</f>
        <v>0</v>
      </c>
      <c r="G17" s="630"/>
    </row>
    <row r="18" spans="1:15" s="633" customFormat="1" ht="15" x14ac:dyDescent="0.25">
      <c r="A18" s="1139" t="s">
        <v>1497</v>
      </c>
      <c r="B18" s="1137" t="s">
        <v>1500</v>
      </c>
      <c r="C18" s="1140"/>
      <c r="D18" s="1141"/>
      <c r="E18" s="1140"/>
      <c r="F18" s="1138">
        <f>ROUND('5.2'!F57,2)</f>
        <v>0</v>
      </c>
      <c r="G18" s="630"/>
    </row>
    <row r="19" spans="1:15" s="633" customFormat="1" ht="15.75" thickBot="1" x14ac:dyDescent="0.3">
      <c r="A19" s="634"/>
      <c r="B19" s="635"/>
      <c r="C19" s="636"/>
      <c r="D19" s="637"/>
      <c r="E19" s="636"/>
      <c r="F19" s="638"/>
      <c r="G19" s="630"/>
    </row>
    <row r="20" spans="1:15" s="260" customFormat="1" thickTop="1" x14ac:dyDescent="0.25">
      <c r="A20" s="639"/>
      <c r="B20" s="640"/>
      <c r="C20" s="641"/>
      <c r="D20" s="642"/>
      <c r="E20" s="642"/>
      <c r="F20" s="643"/>
      <c r="G20" s="615"/>
      <c r="O20" s="644"/>
    </row>
    <row r="21" spans="1:15" s="633" customFormat="1" ht="15" x14ac:dyDescent="0.25">
      <c r="A21" s="645"/>
      <c r="B21" s="646"/>
      <c r="C21" s="630"/>
      <c r="D21" s="631" t="s">
        <v>992</v>
      </c>
      <c r="E21" s="630"/>
      <c r="F21" s="632">
        <f>ROUND(SUM(F10+F14),2)</f>
        <v>0</v>
      </c>
      <c r="G21" s="647"/>
    </row>
    <row r="22" spans="1:15" s="260" customFormat="1" ht="12" x14ac:dyDescent="0.25">
      <c r="A22" s="615"/>
      <c r="B22" s="648"/>
      <c r="C22" s="615"/>
      <c r="D22" s="649"/>
      <c r="E22" s="612"/>
      <c r="F22" s="612"/>
      <c r="G22" s="615"/>
    </row>
    <row r="23" spans="1:15" s="246" customFormat="1" ht="12" x14ac:dyDescent="0.25">
      <c r="A23" s="261"/>
      <c r="B23" s="268"/>
      <c r="C23" s="261"/>
      <c r="D23" s="242"/>
      <c r="E23" s="218"/>
      <c r="F23" s="218"/>
      <c r="G23" s="261"/>
    </row>
    <row r="24" spans="1:15" s="246" customFormat="1" ht="12" x14ac:dyDescent="0.25">
      <c r="A24" s="261"/>
      <c r="B24" s="268"/>
      <c r="C24" s="261"/>
      <c r="D24" s="242"/>
      <c r="E24" s="218"/>
      <c r="F24" s="218"/>
      <c r="G24" s="261"/>
    </row>
    <row r="25" spans="1:15" s="246" customFormat="1" ht="12" x14ac:dyDescent="0.25">
      <c r="A25" s="261"/>
      <c r="B25" s="268"/>
      <c r="C25" s="261"/>
      <c r="D25" s="242"/>
      <c r="E25" s="218"/>
      <c r="F25" s="218"/>
      <c r="G25" s="261"/>
    </row>
    <row r="26" spans="1:15" s="246" customFormat="1" ht="12" x14ac:dyDescent="0.25">
      <c r="A26" s="261"/>
      <c r="B26" s="268"/>
      <c r="C26" s="261"/>
      <c r="D26" s="242"/>
      <c r="E26" s="218"/>
      <c r="F26" s="218"/>
      <c r="G26" s="261"/>
    </row>
    <row r="27" spans="1:15" s="246" customFormat="1" ht="12" x14ac:dyDescent="0.25">
      <c r="A27" s="261"/>
      <c r="B27" s="268"/>
      <c r="C27" s="261"/>
      <c r="D27" s="242"/>
      <c r="E27" s="218"/>
      <c r="F27" s="218"/>
      <c r="G27" s="261"/>
    </row>
    <row r="28" spans="1:15" s="246" customFormat="1" ht="12" x14ac:dyDescent="0.25">
      <c r="A28" s="261"/>
      <c r="B28" s="268"/>
      <c r="C28" s="261"/>
      <c r="D28" s="242"/>
      <c r="E28" s="218"/>
      <c r="F28" s="218"/>
      <c r="G28" s="261"/>
    </row>
    <row r="29" spans="1:15" s="246" customFormat="1" ht="12" x14ac:dyDescent="0.25">
      <c r="A29" s="261"/>
      <c r="B29" s="268"/>
      <c r="C29" s="261"/>
      <c r="D29" s="242"/>
      <c r="E29" s="218"/>
      <c r="F29" s="218"/>
      <c r="G29" s="261"/>
    </row>
    <row r="30" spans="1:15" s="246" customFormat="1" ht="12" x14ac:dyDescent="0.25">
      <c r="A30" s="261"/>
      <c r="B30" s="268"/>
      <c r="C30" s="261"/>
      <c r="D30" s="242"/>
      <c r="E30" s="218"/>
      <c r="F30" s="218"/>
      <c r="G30" s="261"/>
    </row>
    <row r="31" spans="1:15" s="246" customFormat="1" ht="12" x14ac:dyDescent="0.25">
      <c r="A31" s="261"/>
      <c r="B31" s="268"/>
      <c r="C31" s="261"/>
      <c r="D31" s="242"/>
      <c r="E31" s="218"/>
      <c r="F31" s="218"/>
      <c r="G31" s="261"/>
    </row>
    <row r="32" spans="1:15" s="246" customFormat="1" ht="12" x14ac:dyDescent="0.25">
      <c r="A32" s="261"/>
      <c r="B32" s="268"/>
      <c r="C32" s="261"/>
      <c r="D32" s="242"/>
      <c r="E32" s="218"/>
      <c r="F32" s="218"/>
      <c r="G32" s="261"/>
    </row>
    <row r="33" spans="1:7" s="246" customFormat="1" ht="12" x14ac:dyDescent="0.25">
      <c r="A33" s="261"/>
      <c r="B33" s="268"/>
      <c r="C33" s="261"/>
      <c r="D33" s="242"/>
      <c r="E33" s="218"/>
      <c r="F33" s="218"/>
      <c r="G33" s="261"/>
    </row>
    <row r="34" spans="1:7" s="246" customFormat="1" ht="12" x14ac:dyDescent="0.25">
      <c r="A34" s="261"/>
      <c r="B34" s="268"/>
      <c r="C34" s="261"/>
      <c r="D34" s="242"/>
      <c r="E34" s="218"/>
      <c r="F34" s="218"/>
      <c r="G34" s="261"/>
    </row>
    <row r="35" spans="1:7" s="246" customFormat="1" ht="12" x14ac:dyDescent="0.25">
      <c r="A35" s="261"/>
      <c r="B35" s="268"/>
      <c r="C35" s="261"/>
      <c r="D35" s="242"/>
      <c r="E35" s="218"/>
      <c r="F35" s="218"/>
      <c r="G35" s="261"/>
    </row>
    <row r="36" spans="1:7" s="246" customFormat="1" ht="12" x14ac:dyDescent="0.25">
      <c r="A36" s="261"/>
      <c r="B36" s="268"/>
      <c r="C36" s="261"/>
      <c r="D36" s="242"/>
      <c r="E36" s="218"/>
      <c r="F36" s="218"/>
      <c r="G36" s="261"/>
    </row>
    <row r="37" spans="1:7" s="246" customFormat="1" ht="12" x14ac:dyDescent="0.25">
      <c r="A37" s="261"/>
      <c r="B37" s="268"/>
      <c r="C37" s="261"/>
      <c r="D37" s="242"/>
      <c r="E37" s="218"/>
      <c r="F37" s="218"/>
      <c r="G37" s="261"/>
    </row>
    <row r="38" spans="1:7" s="246" customFormat="1" ht="12" x14ac:dyDescent="0.25">
      <c r="A38" s="261"/>
      <c r="B38" s="268"/>
      <c r="C38" s="261"/>
      <c r="D38" s="242"/>
      <c r="E38" s="218"/>
      <c r="F38" s="218"/>
      <c r="G38" s="261"/>
    </row>
    <row r="39" spans="1:7" s="246" customFormat="1" ht="12" x14ac:dyDescent="0.25">
      <c r="A39" s="261"/>
      <c r="B39" s="268"/>
      <c r="C39" s="261"/>
      <c r="D39" s="242"/>
      <c r="E39" s="218"/>
      <c r="F39" s="218"/>
      <c r="G39" s="261"/>
    </row>
    <row r="40" spans="1:7" s="246" customFormat="1" ht="12" x14ac:dyDescent="0.25">
      <c r="A40" s="261"/>
      <c r="B40" s="268"/>
      <c r="C40" s="261"/>
      <c r="D40" s="242"/>
      <c r="E40" s="218"/>
      <c r="F40" s="218"/>
      <c r="G40" s="261"/>
    </row>
    <row r="41" spans="1:7" s="246" customFormat="1" ht="12" x14ac:dyDescent="0.25">
      <c r="A41" s="261"/>
      <c r="B41" s="268"/>
      <c r="C41" s="261"/>
      <c r="D41" s="242"/>
      <c r="E41" s="218"/>
      <c r="F41" s="218"/>
      <c r="G41" s="261"/>
    </row>
    <row r="42" spans="1:7" s="246" customFormat="1" ht="12" x14ac:dyDescent="0.25">
      <c r="A42" s="261"/>
      <c r="B42" s="268"/>
      <c r="C42" s="261"/>
      <c r="D42" s="242"/>
      <c r="E42" s="218"/>
      <c r="F42" s="218"/>
      <c r="G42" s="261"/>
    </row>
    <row r="43" spans="1:7" s="246" customFormat="1" ht="12" x14ac:dyDescent="0.25">
      <c r="A43" s="261"/>
      <c r="B43" s="268"/>
      <c r="C43" s="261"/>
      <c r="D43" s="242"/>
      <c r="E43" s="218"/>
      <c r="F43" s="218"/>
      <c r="G43" s="261"/>
    </row>
    <row r="44" spans="1:7" s="246" customFormat="1" ht="12" x14ac:dyDescent="0.25">
      <c r="A44" s="261"/>
      <c r="B44" s="268"/>
      <c r="C44" s="261"/>
      <c r="D44" s="242"/>
      <c r="E44" s="218"/>
      <c r="F44" s="218"/>
      <c r="G44" s="261"/>
    </row>
    <row r="45" spans="1:7" s="246" customFormat="1" ht="12" x14ac:dyDescent="0.25">
      <c r="A45" s="261"/>
      <c r="B45" s="268"/>
      <c r="C45" s="261"/>
      <c r="D45" s="242"/>
      <c r="E45" s="218"/>
      <c r="F45" s="218"/>
      <c r="G45" s="261"/>
    </row>
    <row r="46" spans="1:7" s="246" customFormat="1" ht="12" x14ac:dyDescent="0.25">
      <c r="A46" s="261"/>
      <c r="B46" s="268"/>
      <c r="C46" s="261"/>
      <c r="D46" s="242"/>
      <c r="E46" s="218"/>
      <c r="F46" s="218"/>
      <c r="G46" s="261"/>
    </row>
    <row r="47" spans="1:7" s="246" customFormat="1" ht="12" x14ac:dyDescent="0.25">
      <c r="A47" s="261"/>
      <c r="B47" s="268"/>
      <c r="C47" s="261"/>
      <c r="D47" s="242"/>
      <c r="E47" s="218"/>
      <c r="F47" s="218"/>
      <c r="G47" s="261"/>
    </row>
    <row r="48" spans="1:7" s="246" customFormat="1" ht="12" x14ac:dyDescent="0.25">
      <c r="A48" s="261"/>
      <c r="B48" s="268"/>
      <c r="C48" s="261"/>
      <c r="D48" s="242"/>
      <c r="E48" s="218"/>
      <c r="F48" s="218"/>
      <c r="G48" s="261"/>
    </row>
    <row r="49" spans="1:7" s="246" customFormat="1" ht="12" x14ac:dyDescent="0.25">
      <c r="A49" s="261"/>
      <c r="B49" s="268"/>
      <c r="C49" s="261"/>
      <c r="D49" s="242"/>
      <c r="E49" s="218"/>
      <c r="F49" s="218"/>
      <c r="G49" s="261"/>
    </row>
    <row r="50" spans="1:7" s="246" customFormat="1" ht="12" x14ac:dyDescent="0.25">
      <c r="A50" s="261"/>
      <c r="B50" s="268"/>
      <c r="C50" s="261"/>
      <c r="D50" s="242"/>
      <c r="E50" s="218"/>
      <c r="F50" s="218"/>
      <c r="G50" s="261"/>
    </row>
    <row r="51" spans="1:7" s="246" customFormat="1" ht="12" x14ac:dyDescent="0.25">
      <c r="A51" s="261"/>
      <c r="B51" s="268"/>
      <c r="C51" s="261"/>
      <c r="D51" s="242"/>
      <c r="E51" s="218"/>
      <c r="F51" s="218"/>
      <c r="G51" s="261"/>
    </row>
    <row r="52" spans="1:7" s="246" customFormat="1" ht="12" x14ac:dyDescent="0.25">
      <c r="A52" s="261"/>
      <c r="B52" s="268"/>
      <c r="C52" s="261"/>
      <c r="D52" s="242"/>
      <c r="E52" s="218"/>
      <c r="F52" s="218"/>
      <c r="G52" s="261"/>
    </row>
    <row r="53" spans="1:7" s="246" customFormat="1" ht="12" x14ac:dyDescent="0.25">
      <c r="A53" s="261"/>
      <c r="B53" s="268"/>
      <c r="C53" s="261"/>
      <c r="D53" s="242"/>
      <c r="E53" s="218"/>
      <c r="F53" s="218"/>
      <c r="G53" s="261"/>
    </row>
    <row r="54" spans="1:7" s="246" customFormat="1" ht="12" x14ac:dyDescent="0.25">
      <c r="A54" s="261"/>
      <c r="B54" s="268"/>
      <c r="C54" s="261"/>
      <c r="D54" s="242"/>
      <c r="E54" s="218"/>
      <c r="F54" s="218"/>
      <c r="G54" s="261"/>
    </row>
    <row r="55" spans="1:7" s="246" customFormat="1" ht="12" x14ac:dyDescent="0.25">
      <c r="A55" s="261"/>
      <c r="B55" s="268"/>
      <c r="C55" s="261"/>
      <c r="D55" s="242"/>
      <c r="E55" s="218"/>
      <c r="F55" s="218"/>
      <c r="G55" s="261"/>
    </row>
    <row r="56" spans="1:7" s="246" customFormat="1" ht="12" x14ac:dyDescent="0.25">
      <c r="A56" s="261"/>
      <c r="B56" s="268"/>
      <c r="C56" s="261"/>
      <c r="D56" s="242"/>
      <c r="E56" s="218"/>
      <c r="F56" s="218"/>
      <c r="G56" s="261"/>
    </row>
    <row r="57" spans="1:7" s="246" customFormat="1" ht="12" x14ac:dyDescent="0.25">
      <c r="A57" s="261"/>
      <c r="B57" s="268"/>
      <c r="C57" s="261"/>
      <c r="D57" s="242"/>
      <c r="E57" s="218"/>
      <c r="F57" s="218"/>
      <c r="G57" s="261"/>
    </row>
    <row r="58" spans="1:7" s="246" customFormat="1" ht="12" x14ac:dyDescent="0.25">
      <c r="A58" s="261"/>
      <c r="B58" s="268"/>
      <c r="C58" s="261"/>
      <c r="D58" s="242"/>
      <c r="E58" s="218"/>
      <c r="F58" s="218"/>
      <c r="G58" s="261"/>
    </row>
    <row r="59" spans="1:7" s="246" customFormat="1" ht="12" x14ac:dyDescent="0.25">
      <c r="A59" s="261"/>
      <c r="B59" s="268"/>
      <c r="C59" s="261"/>
      <c r="D59" s="242"/>
      <c r="E59" s="218"/>
      <c r="F59" s="218"/>
      <c r="G59" s="261"/>
    </row>
    <row r="60" spans="1:7" s="246" customFormat="1" ht="12" x14ac:dyDescent="0.25">
      <c r="A60" s="261"/>
      <c r="B60" s="268"/>
      <c r="C60" s="261"/>
      <c r="D60" s="242"/>
      <c r="E60" s="218"/>
      <c r="F60" s="218"/>
      <c r="G60" s="261"/>
    </row>
    <row r="61" spans="1:7" s="246" customFormat="1" ht="12" x14ac:dyDescent="0.25">
      <c r="A61" s="261"/>
      <c r="B61" s="268"/>
      <c r="C61" s="261"/>
      <c r="D61" s="242"/>
      <c r="E61" s="218"/>
      <c r="F61" s="218"/>
      <c r="G61" s="261"/>
    </row>
    <row r="62" spans="1:7" s="246" customFormat="1" ht="12" x14ac:dyDescent="0.25">
      <c r="A62" s="261"/>
      <c r="B62" s="268"/>
      <c r="C62" s="261"/>
      <c r="D62" s="242"/>
      <c r="E62" s="218"/>
      <c r="F62" s="218"/>
      <c r="G62" s="261"/>
    </row>
    <row r="63" spans="1:7" s="246" customFormat="1" ht="12" x14ac:dyDescent="0.25">
      <c r="A63" s="261"/>
      <c r="B63" s="268"/>
      <c r="C63" s="261"/>
      <c r="D63" s="242"/>
      <c r="E63" s="218"/>
      <c r="F63" s="218"/>
      <c r="G63" s="261"/>
    </row>
    <row r="64" spans="1:7" s="246" customFormat="1" ht="12" x14ac:dyDescent="0.25">
      <c r="A64" s="261"/>
      <c r="B64" s="268"/>
      <c r="C64" s="261"/>
      <c r="D64" s="242"/>
      <c r="E64" s="218"/>
      <c r="F64" s="218"/>
      <c r="G64" s="261"/>
    </row>
    <row r="65" spans="1:7" s="246" customFormat="1" ht="12" x14ac:dyDescent="0.25">
      <c r="A65" s="261"/>
      <c r="B65" s="268"/>
      <c r="C65" s="261"/>
      <c r="D65" s="242"/>
      <c r="E65" s="218"/>
      <c r="F65" s="218"/>
      <c r="G65" s="261"/>
    </row>
    <row r="66" spans="1:7" s="246" customFormat="1" ht="12" x14ac:dyDescent="0.25">
      <c r="A66" s="261"/>
      <c r="B66" s="268"/>
      <c r="C66" s="261"/>
      <c r="D66" s="242"/>
      <c r="E66" s="218"/>
      <c r="F66" s="218"/>
      <c r="G66" s="261"/>
    </row>
    <row r="67" spans="1:7" s="246" customFormat="1" ht="12" x14ac:dyDescent="0.25">
      <c r="A67" s="261"/>
      <c r="B67" s="268"/>
      <c r="C67" s="261"/>
      <c r="D67" s="242"/>
      <c r="E67" s="218"/>
      <c r="F67" s="218"/>
      <c r="G67" s="261"/>
    </row>
    <row r="68" spans="1:7" s="246" customFormat="1" ht="12" x14ac:dyDescent="0.25">
      <c r="A68" s="261"/>
      <c r="B68" s="268"/>
      <c r="C68" s="261"/>
      <c r="D68" s="242"/>
      <c r="E68" s="218"/>
      <c r="F68" s="218"/>
      <c r="G68" s="261"/>
    </row>
    <row r="69" spans="1:7" s="246" customFormat="1" ht="12" x14ac:dyDescent="0.25">
      <c r="A69" s="261"/>
      <c r="B69" s="268"/>
      <c r="C69" s="261"/>
      <c r="D69" s="242"/>
      <c r="E69" s="218"/>
      <c r="F69" s="218"/>
      <c r="G69" s="261"/>
    </row>
    <row r="70" spans="1:7" s="246" customFormat="1" ht="12" x14ac:dyDescent="0.25">
      <c r="A70" s="261"/>
      <c r="B70" s="268"/>
      <c r="C70" s="261"/>
      <c r="D70" s="242"/>
      <c r="E70" s="218"/>
      <c r="F70" s="218"/>
      <c r="G70" s="261"/>
    </row>
    <row r="71" spans="1:7" s="246" customFormat="1" ht="12" x14ac:dyDescent="0.25">
      <c r="A71" s="261"/>
      <c r="B71" s="268"/>
      <c r="C71" s="261"/>
      <c r="D71" s="242"/>
      <c r="E71" s="218"/>
      <c r="F71" s="218"/>
      <c r="G71" s="261"/>
    </row>
    <row r="72" spans="1:7" s="246" customFormat="1" ht="12" x14ac:dyDescent="0.25">
      <c r="A72" s="261"/>
      <c r="B72" s="268"/>
      <c r="C72" s="261"/>
      <c r="D72" s="242"/>
      <c r="E72" s="218"/>
      <c r="F72" s="218"/>
      <c r="G72" s="261"/>
    </row>
    <row r="73" spans="1:7" s="246" customFormat="1" ht="12" x14ac:dyDescent="0.25">
      <c r="A73" s="261"/>
      <c r="B73" s="268"/>
      <c r="C73" s="261"/>
      <c r="D73" s="242"/>
      <c r="E73" s="218"/>
      <c r="F73" s="218"/>
      <c r="G73" s="261"/>
    </row>
    <row r="74" spans="1:7" s="246" customFormat="1" ht="12" x14ac:dyDescent="0.25">
      <c r="A74" s="261"/>
      <c r="B74" s="268"/>
      <c r="C74" s="261"/>
      <c r="D74" s="242"/>
      <c r="E74" s="218"/>
      <c r="F74" s="218"/>
      <c r="G74" s="261"/>
    </row>
    <row r="75" spans="1:7" s="246" customFormat="1" ht="12" x14ac:dyDescent="0.25">
      <c r="A75" s="261"/>
      <c r="B75" s="268"/>
      <c r="C75" s="261"/>
      <c r="D75" s="242"/>
      <c r="E75" s="218"/>
      <c r="F75" s="218"/>
      <c r="G75" s="261"/>
    </row>
    <row r="76" spans="1:7" s="246" customFormat="1" ht="12" x14ac:dyDescent="0.25">
      <c r="A76" s="261"/>
      <c r="B76" s="268"/>
      <c r="C76" s="261"/>
      <c r="D76" s="242"/>
      <c r="E76" s="218"/>
      <c r="F76" s="218"/>
      <c r="G76" s="261"/>
    </row>
    <row r="77" spans="1:7" s="246" customFormat="1" ht="12" x14ac:dyDescent="0.25">
      <c r="A77" s="261"/>
      <c r="B77" s="268"/>
      <c r="C77" s="261"/>
      <c r="D77" s="242"/>
      <c r="E77" s="218"/>
      <c r="F77" s="218"/>
      <c r="G77" s="261"/>
    </row>
    <row r="78" spans="1:7" s="246" customFormat="1" ht="12" x14ac:dyDescent="0.25">
      <c r="A78" s="261"/>
      <c r="B78" s="268"/>
      <c r="C78" s="261"/>
      <c r="D78" s="242"/>
      <c r="E78" s="218"/>
      <c r="F78" s="218"/>
      <c r="G78" s="261"/>
    </row>
    <row r="79" spans="1:7" s="246" customFormat="1" ht="12" x14ac:dyDescent="0.25">
      <c r="A79" s="261"/>
      <c r="B79" s="268"/>
      <c r="C79" s="261"/>
      <c r="D79" s="242"/>
      <c r="E79" s="218"/>
      <c r="F79" s="218"/>
      <c r="G79" s="261"/>
    </row>
    <row r="80" spans="1:7" s="246" customFormat="1" ht="12" x14ac:dyDescent="0.25">
      <c r="A80" s="261"/>
      <c r="B80" s="268"/>
      <c r="C80" s="261"/>
      <c r="D80" s="242"/>
      <c r="E80" s="218"/>
      <c r="F80" s="218"/>
      <c r="G80" s="261"/>
    </row>
    <row r="81" spans="1:7" s="246" customFormat="1" ht="12" x14ac:dyDescent="0.25">
      <c r="A81" s="261"/>
      <c r="B81" s="268"/>
      <c r="C81" s="261"/>
      <c r="D81" s="242"/>
      <c r="E81" s="218"/>
      <c r="F81" s="218"/>
      <c r="G81" s="261"/>
    </row>
    <row r="82" spans="1:7" s="246" customFormat="1" ht="12" x14ac:dyDescent="0.25">
      <c r="A82" s="261"/>
      <c r="B82" s="268"/>
      <c r="C82" s="261"/>
      <c r="D82" s="242"/>
      <c r="E82" s="218"/>
      <c r="F82" s="218"/>
      <c r="G82" s="261"/>
    </row>
    <row r="83" spans="1:7" s="246" customFormat="1" ht="12" x14ac:dyDescent="0.25">
      <c r="A83" s="261"/>
      <c r="B83" s="268"/>
      <c r="C83" s="261"/>
      <c r="D83" s="242"/>
      <c r="E83" s="218"/>
      <c r="F83" s="218"/>
      <c r="G83" s="261"/>
    </row>
    <row r="84" spans="1:7" s="246" customFormat="1" ht="12" x14ac:dyDescent="0.25">
      <c r="A84" s="261"/>
      <c r="B84" s="268"/>
      <c r="C84" s="261"/>
      <c r="D84" s="242"/>
      <c r="E84" s="218"/>
      <c r="F84" s="218"/>
      <c r="G84" s="261"/>
    </row>
    <row r="85" spans="1:7" s="246" customFormat="1" ht="12" x14ac:dyDescent="0.25">
      <c r="A85" s="261"/>
      <c r="B85" s="268"/>
      <c r="C85" s="261"/>
      <c r="D85" s="242"/>
      <c r="E85" s="218"/>
      <c r="F85" s="218"/>
      <c r="G85" s="261"/>
    </row>
    <row r="86" spans="1:7" s="246" customFormat="1" ht="12" x14ac:dyDescent="0.25">
      <c r="A86" s="261"/>
      <c r="B86" s="268"/>
      <c r="C86" s="261"/>
      <c r="D86" s="242"/>
      <c r="E86" s="218"/>
      <c r="F86" s="218"/>
      <c r="G86" s="261"/>
    </row>
    <row r="87" spans="1:7" s="246" customFormat="1" ht="12" x14ac:dyDescent="0.25">
      <c r="A87" s="261"/>
      <c r="B87" s="268"/>
      <c r="C87" s="261"/>
      <c r="D87" s="242"/>
      <c r="E87" s="218"/>
      <c r="F87" s="218"/>
      <c r="G87" s="261"/>
    </row>
    <row r="88" spans="1:7" s="246" customFormat="1" ht="12" x14ac:dyDescent="0.25">
      <c r="A88" s="261"/>
      <c r="B88" s="268"/>
      <c r="C88" s="261"/>
      <c r="D88" s="242"/>
      <c r="E88" s="218"/>
      <c r="F88" s="218"/>
      <c r="G88" s="261"/>
    </row>
    <row r="89" spans="1:7" s="246" customFormat="1" ht="12" x14ac:dyDescent="0.25">
      <c r="A89" s="261"/>
      <c r="B89" s="268"/>
      <c r="C89" s="261"/>
      <c r="D89" s="242"/>
      <c r="E89" s="218"/>
      <c r="F89" s="218"/>
      <c r="G89" s="261"/>
    </row>
    <row r="90" spans="1:7" s="246" customFormat="1" ht="12" x14ac:dyDescent="0.25">
      <c r="A90" s="261"/>
      <c r="B90" s="268"/>
      <c r="C90" s="261"/>
      <c r="D90" s="242"/>
      <c r="E90" s="218"/>
      <c r="F90" s="218"/>
      <c r="G90" s="261"/>
    </row>
    <row r="91" spans="1:7" s="246" customFormat="1" ht="12" x14ac:dyDescent="0.25">
      <c r="A91" s="261"/>
      <c r="B91" s="268"/>
      <c r="C91" s="261"/>
      <c r="D91" s="242"/>
      <c r="E91" s="218"/>
      <c r="F91" s="218"/>
      <c r="G91" s="261"/>
    </row>
    <row r="92" spans="1:7" s="246" customFormat="1" ht="12" x14ac:dyDescent="0.25">
      <c r="A92" s="261"/>
      <c r="B92" s="268"/>
      <c r="C92" s="261"/>
      <c r="D92" s="242"/>
      <c r="E92" s="218"/>
      <c r="F92" s="218"/>
      <c r="G92" s="261"/>
    </row>
    <row r="93" spans="1:7" s="246" customFormat="1" ht="12" x14ac:dyDescent="0.25">
      <c r="A93" s="261"/>
      <c r="B93" s="268"/>
      <c r="C93" s="261"/>
      <c r="D93" s="242"/>
      <c r="E93" s="218"/>
      <c r="F93" s="218"/>
      <c r="G93" s="261"/>
    </row>
    <row r="94" spans="1:7" s="246" customFormat="1" ht="12" x14ac:dyDescent="0.25">
      <c r="A94" s="261"/>
      <c r="B94" s="268"/>
      <c r="C94" s="261"/>
      <c r="D94" s="242"/>
      <c r="E94" s="218"/>
      <c r="F94" s="218"/>
      <c r="G94" s="261"/>
    </row>
    <row r="95" spans="1:7" s="246" customFormat="1" ht="12" x14ac:dyDescent="0.25">
      <c r="A95" s="261"/>
      <c r="B95" s="268"/>
      <c r="C95" s="261"/>
      <c r="D95" s="242"/>
      <c r="E95" s="218"/>
      <c r="F95" s="218"/>
      <c r="G95" s="261"/>
    </row>
    <row r="96" spans="1:7" s="246" customFormat="1" ht="12" x14ac:dyDescent="0.25">
      <c r="A96" s="261"/>
      <c r="B96" s="268"/>
      <c r="C96" s="261"/>
      <c r="D96" s="242"/>
      <c r="E96" s="218"/>
      <c r="F96" s="218"/>
      <c r="G96" s="261"/>
    </row>
    <row r="97" spans="1:7" s="246" customFormat="1" ht="12" x14ac:dyDescent="0.25">
      <c r="A97" s="261"/>
      <c r="B97" s="268"/>
      <c r="C97" s="261"/>
      <c r="D97" s="242"/>
      <c r="E97" s="218"/>
      <c r="F97" s="218"/>
      <c r="G97" s="261"/>
    </row>
    <row r="98" spans="1:7" s="246" customFormat="1" ht="12" x14ac:dyDescent="0.25">
      <c r="A98" s="261"/>
      <c r="B98" s="268"/>
      <c r="C98" s="261"/>
      <c r="D98" s="242"/>
      <c r="E98" s="218"/>
      <c r="F98" s="218"/>
      <c r="G98" s="261"/>
    </row>
    <row r="99" spans="1:7" s="246" customFormat="1" ht="12" x14ac:dyDescent="0.25">
      <c r="A99" s="261"/>
      <c r="B99" s="268"/>
      <c r="C99" s="261"/>
      <c r="D99" s="242"/>
      <c r="E99" s="218"/>
      <c r="F99" s="218"/>
      <c r="G99" s="261"/>
    </row>
    <row r="100" spans="1:7" s="246" customFormat="1" ht="12" x14ac:dyDescent="0.25">
      <c r="A100" s="261"/>
      <c r="B100" s="268"/>
      <c r="C100" s="261"/>
      <c r="D100" s="242"/>
      <c r="E100" s="218"/>
      <c r="F100" s="218"/>
      <c r="G100" s="261"/>
    </row>
    <row r="101" spans="1:7" s="246" customFormat="1" ht="12" x14ac:dyDescent="0.25">
      <c r="A101" s="261"/>
      <c r="B101" s="268"/>
      <c r="C101" s="261"/>
      <c r="D101" s="242"/>
      <c r="E101" s="218"/>
      <c r="F101" s="218"/>
      <c r="G101" s="261"/>
    </row>
    <row r="102" spans="1:7" s="246" customFormat="1" ht="12" x14ac:dyDescent="0.25">
      <c r="A102" s="261"/>
      <c r="B102" s="268"/>
      <c r="C102" s="261"/>
      <c r="D102" s="242"/>
      <c r="E102" s="218"/>
      <c r="F102" s="218"/>
      <c r="G102" s="261"/>
    </row>
    <row r="103" spans="1:7" s="246" customFormat="1" ht="12" x14ac:dyDescent="0.25">
      <c r="A103" s="261"/>
      <c r="B103" s="268"/>
      <c r="C103" s="261"/>
      <c r="D103" s="242"/>
      <c r="E103" s="218"/>
      <c r="F103" s="218"/>
      <c r="G103" s="261"/>
    </row>
    <row r="104" spans="1:7" s="246" customFormat="1" ht="12" x14ac:dyDescent="0.25">
      <c r="A104" s="261"/>
      <c r="B104" s="268"/>
      <c r="C104" s="261"/>
      <c r="D104" s="242"/>
      <c r="E104" s="218"/>
      <c r="F104" s="218"/>
      <c r="G104" s="261"/>
    </row>
    <row r="105" spans="1:7" s="246" customFormat="1" ht="12" x14ac:dyDescent="0.25">
      <c r="A105" s="261"/>
      <c r="B105" s="268"/>
      <c r="C105" s="261"/>
      <c r="D105" s="242"/>
      <c r="E105" s="218"/>
      <c r="F105" s="218"/>
      <c r="G105" s="261"/>
    </row>
    <row r="106" spans="1:7" s="246" customFormat="1" ht="12" x14ac:dyDescent="0.25">
      <c r="A106" s="261"/>
      <c r="B106" s="268"/>
      <c r="C106" s="261"/>
      <c r="D106" s="242"/>
      <c r="E106" s="218"/>
      <c r="F106" s="218"/>
      <c r="G106" s="261"/>
    </row>
    <row r="107" spans="1:7" s="246" customFormat="1" ht="12" x14ac:dyDescent="0.25">
      <c r="A107" s="261"/>
      <c r="B107" s="268"/>
      <c r="C107" s="261"/>
      <c r="D107" s="242"/>
      <c r="E107" s="218"/>
      <c r="F107" s="218"/>
      <c r="G107" s="261"/>
    </row>
    <row r="108" spans="1:7" s="246" customFormat="1" ht="12" x14ac:dyDescent="0.25">
      <c r="A108" s="261"/>
      <c r="B108" s="268"/>
      <c r="C108" s="261"/>
      <c r="D108" s="242"/>
      <c r="E108" s="218"/>
      <c r="F108" s="218"/>
      <c r="G108" s="261"/>
    </row>
    <row r="109" spans="1:7" s="246" customFormat="1" ht="12" x14ac:dyDescent="0.25">
      <c r="A109" s="261"/>
      <c r="B109" s="268"/>
      <c r="C109" s="261"/>
      <c r="D109" s="242"/>
      <c r="E109" s="218"/>
      <c r="F109" s="218"/>
      <c r="G109" s="261"/>
    </row>
    <row r="110" spans="1:7" s="246" customFormat="1" ht="12" x14ac:dyDescent="0.25">
      <c r="A110" s="261"/>
      <c r="B110" s="268"/>
      <c r="C110" s="261"/>
      <c r="D110" s="242"/>
      <c r="E110" s="218"/>
      <c r="F110" s="218"/>
      <c r="G110" s="261"/>
    </row>
    <row r="111" spans="1:7" s="246" customFormat="1" ht="12" x14ac:dyDescent="0.25">
      <c r="A111" s="261"/>
      <c r="B111" s="268"/>
      <c r="C111" s="261"/>
      <c r="D111" s="242"/>
      <c r="E111" s="218"/>
      <c r="F111" s="218"/>
      <c r="G111" s="261"/>
    </row>
    <row r="112" spans="1:7" s="246" customFormat="1" ht="12" x14ac:dyDescent="0.25">
      <c r="A112" s="261"/>
      <c r="B112" s="268"/>
      <c r="C112" s="261"/>
      <c r="D112" s="242"/>
      <c r="E112" s="218"/>
      <c r="F112" s="218"/>
      <c r="G112" s="261"/>
    </row>
    <row r="113" spans="1:7" s="246" customFormat="1" ht="12" x14ac:dyDescent="0.25">
      <c r="A113" s="261"/>
      <c r="B113" s="268"/>
      <c r="C113" s="261"/>
      <c r="D113" s="242"/>
      <c r="E113" s="218"/>
      <c r="F113" s="218"/>
      <c r="G113" s="261"/>
    </row>
    <row r="114" spans="1:7" s="246" customFormat="1" ht="12" x14ac:dyDescent="0.25">
      <c r="A114" s="261"/>
      <c r="B114" s="268"/>
      <c r="C114" s="261"/>
      <c r="D114" s="242"/>
      <c r="E114" s="218"/>
      <c r="F114" s="218"/>
      <c r="G114" s="261"/>
    </row>
    <row r="115" spans="1:7" s="246" customFormat="1" ht="12" x14ac:dyDescent="0.25">
      <c r="A115" s="261"/>
      <c r="B115" s="268"/>
      <c r="C115" s="261"/>
      <c r="D115" s="242"/>
      <c r="E115" s="218"/>
      <c r="F115" s="218"/>
      <c r="G115" s="261"/>
    </row>
    <row r="116" spans="1:7" s="246" customFormat="1" ht="12" x14ac:dyDescent="0.25">
      <c r="A116" s="261"/>
      <c r="B116" s="268"/>
      <c r="C116" s="261"/>
      <c r="D116" s="242"/>
      <c r="E116" s="218"/>
      <c r="F116" s="218"/>
      <c r="G116" s="261"/>
    </row>
    <row r="117" spans="1:7" s="246" customFormat="1" ht="12" x14ac:dyDescent="0.25">
      <c r="A117" s="261"/>
      <c r="B117" s="268"/>
      <c r="C117" s="261"/>
      <c r="D117" s="242"/>
      <c r="E117" s="218"/>
      <c r="F117" s="218"/>
      <c r="G117" s="261"/>
    </row>
    <row r="118" spans="1:7" s="246" customFormat="1" ht="12" x14ac:dyDescent="0.25">
      <c r="A118" s="261"/>
      <c r="B118" s="268"/>
      <c r="C118" s="261"/>
      <c r="D118" s="242"/>
      <c r="E118" s="218"/>
      <c r="F118" s="218"/>
      <c r="G118" s="261"/>
    </row>
    <row r="119" spans="1:7" s="246" customFormat="1" ht="12" x14ac:dyDescent="0.25">
      <c r="A119" s="261"/>
      <c r="B119" s="268"/>
      <c r="C119" s="261"/>
      <c r="D119" s="242"/>
      <c r="E119" s="218"/>
      <c r="F119" s="218"/>
      <c r="G119" s="261"/>
    </row>
    <row r="120" spans="1:7" s="246" customFormat="1" ht="12" x14ac:dyDescent="0.25">
      <c r="A120" s="261"/>
      <c r="B120" s="268"/>
      <c r="C120" s="261"/>
      <c r="D120" s="242"/>
      <c r="E120" s="218"/>
      <c r="F120" s="218"/>
      <c r="G120" s="261"/>
    </row>
    <row r="121" spans="1:7" s="246" customFormat="1" ht="12" x14ac:dyDescent="0.25">
      <c r="A121" s="261"/>
      <c r="B121" s="268"/>
      <c r="C121" s="261"/>
      <c r="D121" s="242"/>
      <c r="E121" s="218"/>
      <c r="F121" s="218"/>
      <c r="G121" s="261"/>
    </row>
  </sheetData>
  <sheetProtection algorithmName="SHA-512" hashValue="N97BqYpK5a5i5Moi3I0L68P8Au30JZHcY/9nNbkRtnN9miLlRZ+1RoVSr/MrzTgACDJkfGMbv8LnuPLjNR4/rQ==" saltValue="xgIMg+t+M22d6p0doEPWCA==" spinCount="100000" sheet="1" objects="1" scenarios="1"/>
  <pageMargins left="0.98425196850393704" right="0.39370078740157483" top="0.98425196850393704" bottom="0.74803149606299213" header="0" footer="0.39370078740157483"/>
  <pageSetup paperSize="9" firstPageNumber="0" orientation="portrait" r:id="rId1"/>
  <headerFooter alignWithMargins="0">
    <oddHeader>&amp;R&amp;"Projekt,Običajno"&amp;72p&amp;L_x000D__x000D_&amp;9</oddHeader>
    <oddFooter>&amp;C&amp;6 &amp; List: &amp;A&amp;RStran: &amp;P/&amp;N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E61"/>
  <sheetViews>
    <sheetView showZeros="0" view="pageBreakPreview" zoomScaleNormal="100" zoomScaleSheetLayoutView="100" workbookViewId="0"/>
  </sheetViews>
  <sheetFormatPr defaultRowHeight="21" customHeight="1" x14ac:dyDescent="0.25"/>
  <cols>
    <col min="1" max="1" width="7.7109375" style="922" customWidth="1"/>
    <col min="2" max="2" width="63.28515625" style="923" customWidth="1"/>
    <col min="3" max="3" width="21" style="924" customWidth="1"/>
    <col min="4" max="4" width="1.85546875" style="925" hidden="1" customWidth="1"/>
    <col min="5" max="5" width="9.140625" style="926"/>
    <col min="6" max="256" width="9.140625" style="925"/>
    <col min="257" max="257" width="7.7109375" style="925" customWidth="1"/>
    <col min="258" max="258" width="63.28515625" style="925" customWidth="1"/>
    <col min="259" max="259" width="21" style="925" customWidth="1"/>
    <col min="260" max="260" width="0" style="925" hidden="1" customWidth="1"/>
    <col min="261" max="512" width="9.140625" style="925"/>
    <col min="513" max="513" width="7.7109375" style="925" customWidth="1"/>
    <col min="514" max="514" width="63.28515625" style="925" customWidth="1"/>
    <col min="515" max="515" width="21" style="925" customWidth="1"/>
    <col min="516" max="516" width="0" style="925" hidden="1" customWidth="1"/>
    <col min="517" max="768" width="9.140625" style="925"/>
    <col min="769" max="769" width="7.7109375" style="925" customWidth="1"/>
    <col min="770" max="770" width="63.28515625" style="925" customWidth="1"/>
    <col min="771" max="771" width="21" style="925" customWidth="1"/>
    <col min="772" max="772" width="0" style="925" hidden="1" customWidth="1"/>
    <col min="773" max="1024" width="9.140625" style="925"/>
    <col min="1025" max="1025" width="7.7109375" style="925" customWidth="1"/>
    <col min="1026" max="1026" width="63.28515625" style="925" customWidth="1"/>
    <col min="1027" max="1027" width="21" style="925" customWidth="1"/>
    <col min="1028" max="1028" width="0" style="925" hidden="1" customWidth="1"/>
    <col min="1029" max="1280" width="9.140625" style="925"/>
    <col min="1281" max="1281" width="7.7109375" style="925" customWidth="1"/>
    <col min="1282" max="1282" width="63.28515625" style="925" customWidth="1"/>
    <col min="1283" max="1283" width="21" style="925" customWidth="1"/>
    <col min="1284" max="1284" width="0" style="925" hidden="1" customWidth="1"/>
    <col min="1285" max="1536" width="9.140625" style="925"/>
    <col min="1537" max="1537" width="7.7109375" style="925" customWidth="1"/>
    <col min="1538" max="1538" width="63.28515625" style="925" customWidth="1"/>
    <col min="1539" max="1539" width="21" style="925" customWidth="1"/>
    <col min="1540" max="1540" width="0" style="925" hidden="1" customWidth="1"/>
    <col min="1541" max="1792" width="9.140625" style="925"/>
    <col min="1793" max="1793" width="7.7109375" style="925" customWidth="1"/>
    <col min="1794" max="1794" width="63.28515625" style="925" customWidth="1"/>
    <col min="1795" max="1795" width="21" style="925" customWidth="1"/>
    <col min="1796" max="1796" width="0" style="925" hidden="1" customWidth="1"/>
    <col min="1797" max="2048" width="9.140625" style="925"/>
    <col min="2049" max="2049" width="7.7109375" style="925" customWidth="1"/>
    <col min="2050" max="2050" width="63.28515625" style="925" customWidth="1"/>
    <col min="2051" max="2051" width="21" style="925" customWidth="1"/>
    <col min="2052" max="2052" width="0" style="925" hidden="1" customWidth="1"/>
    <col min="2053" max="2304" width="9.140625" style="925"/>
    <col min="2305" max="2305" width="7.7109375" style="925" customWidth="1"/>
    <col min="2306" max="2306" width="63.28515625" style="925" customWidth="1"/>
    <col min="2307" max="2307" width="21" style="925" customWidth="1"/>
    <col min="2308" max="2308" width="0" style="925" hidden="1" customWidth="1"/>
    <col min="2309" max="2560" width="9.140625" style="925"/>
    <col min="2561" max="2561" width="7.7109375" style="925" customWidth="1"/>
    <col min="2562" max="2562" width="63.28515625" style="925" customWidth="1"/>
    <col min="2563" max="2563" width="21" style="925" customWidth="1"/>
    <col min="2564" max="2564" width="0" style="925" hidden="1" customWidth="1"/>
    <col min="2565" max="2816" width="9.140625" style="925"/>
    <col min="2817" max="2817" width="7.7109375" style="925" customWidth="1"/>
    <col min="2818" max="2818" width="63.28515625" style="925" customWidth="1"/>
    <col min="2819" max="2819" width="21" style="925" customWidth="1"/>
    <col min="2820" max="2820" width="0" style="925" hidden="1" customWidth="1"/>
    <col min="2821" max="3072" width="9.140625" style="925"/>
    <col min="3073" max="3073" width="7.7109375" style="925" customWidth="1"/>
    <col min="3074" max="3074" width="63.28515625" style="925" customWidth="1"/>
    <col min="3075" max="3075" width="21" style="925" customWidth="1"/>
    <col min="3076" max="3076" width="0" style="925" hidden="1" customWidth="1"/>
    <col min="3077" max="3328" width="9.140625" style="925"/>
    <col min="3329" max="3329" width="7.7109375" style="925" customWidth="1"/>
    <col min="3330" max="3330" width="63.28515625" style="925" customWidth="1"/>
    <col min="3331" max="3331" width="21" style="925" customWidth="1"/>
    <col min="3332" max="3332" width="0" style="925" hidden="1" customWidth="1"/>
    <col min="3333" max="3584" width="9.140625" style="925"/>
    <col min="3585" max="3585" width="7.7109375" style="925" customWidth="1"/>
    <col min="3586" max="3586" width="63.28515625" style="925" customWidth="1"/>
    <col min="3587" max="3587" width="21" style="925" customWidth="1"/>
    <col min="3588" max="3588" width="0" style="925" hidden="1" customWidth="1"/>
    <col min="3589" max="3840" width="9.140625" style="925"/>
    <col min="3841" max="3841" width="7.7109375" style="925" customWidth="1"/>
    <col min="3842" max="3842" width="63.28515625" style="925" customWidth="1"/>
    <col min="3843" max="3843" width="21" style="925" customWidth="1"/>
    <col min="3844" max="3844" width="0" style="925" hidden="1" customWidth="1"/>
    <col min="3845" max="4096" width="9.140625" style="925"/>
    <col min="4097" max="4097" width="7.7109375" style="925" customWidth="1"/>
    <col min="4098" max="4098" width="63.28515625" style="925" customWidth="1"/>
    <col min="4099" max="4099" width="21" style="925" customWidth="1"/>
    <col min="4100" max="4100" width="0" style="925" hidden="1" customWidth="1"/>
    <col min="4101" max="4352" width="9.140625" style="925"/>
    <col min="4353" max="4353" width="7.7109375" style="925" customWidth="1"/>
    <col min="4354" max="4354" width="63.28515625" style="925" customWidth="1"/>
    <col min="4355" max="4355" width="21" style="925" customWidth="1"/>
    <col min="4356" max="4356" width="0" style="925" hidden="1" customWidth="1"/>
    <col min="4357" max="4608" width="9.140625" style="925"/>
    <col min="4609" max="4609" width="7.7109375" style="925" customWidth="1"/>
    <col min="4610" max="4610" width="63.28515625" style="925" customWidth="1"/>
    <col min="4611" max="4611" width="21" style="925" customWidth="1"/>
    <col min="4612" max="4612" width="0" style="925" hidden="1" customWidth="1"/>
    <col min="4613" max="4864" width="9.140625" style="925"/>
    <col min="4865" max="4865" width="7.7109375" style="925" customWidth="1"/>
    <col min="4866" max="4866" width="63.28515625" style="925" customWidth="1"/>
    <col min="4867" max="4867" width="21" style="925" customWidth="1"/>
    <col min="4868" max="4868" width="0" style="925" hidden="1" customWidth="1"/>
    <col min="4869" max="5120" width="9.140625" style="925"/>
    <col min="5121" max="5121" width="7.7109375" style="925" customWidth="1"/>
    <col min="5122" max="5122" width="63.28515625" style="925" customWidth="1"/>
    <col min="5123" max="5123" width="21" style="925" customWidth="1"/>
    <col min="5124" max="5124" width="0" style="925" hidden="1" customWidth="1"/>
    <col min="5125" max="5376" width="9.140625" style="925"/>
    <col min="5377" max="5377" width="7.7109375" style="925" customWidth="1"/>
    <col min="5378" max="5378" width="63.28515625" style="925" customWidth="1"/>
    <col min="5379" max="5379" width="21" style="925" customWidth="1"/>
    <col min="5380" max="5380" width="0" style="925" hidden="1" customWidth="1"/>
    <col min="5381" max="5632" width="9.140625" style="925"/>
    <col min="5633" max="5633" width="7.7109375" style="925" customWidth="1"/>
    <col min="5634" max="5634" width="63.28515625" style="925" customWidth="1"/>
    <col min="5635" max="5635" width="21" style="925" customWidth="1"/>
    <col min="5636" max="5636" width="0" style="925" hidden="1" customWidth="1"/>
    <col min="5637" max="5888" width="9.140625" style="925"/>
    <col min="5889" max="5889" width="7.7109375" style="925" customWidth="1"/>
    <col min="5890" max="5890" width="63.28515625" style="925" customWidth="1"/>
    <col min="5891" max="5891" width="21" style="925" customWidth="1"/>
    <col min="5892" max="5892" width="0" style="925" hidden="1" customWidth="1"/>
    <col min="5893" max="6144" width="9.140625" style="925"/>
    <col min="6145" max="6145" width="7.7109375" style="925" customWidth="1"/>
    <col min="6146" max="6146" width="63.28515625" style="925" customWidth="1"/>
    <col min="6147" max="6147" width="21" style="925" customWidth="1"/>
    <col min="6148" max="6148" width="0" style="925" hidden="1" customWidth="1"/>
    <col min="6149" max="6400" width="9.140625" style="925"/>
    <col min="6401" max="6401" width="7.7109375" style="925" customWidth="1"/>
    <col min="6402" max="6402" width="63.28515625" style="925" customWidth="1"/>
    <col min="6403" max="6403" width="21" style="925" customWidth="1"/>
    <col min="6404" max="6404" width="0" style="925" hidden="1" customWidth="1"/>
    <col min="6405" max="6656" width="9.140625" style="925"/>
    <col min="6657" max="6657" width="7.7109375" style="925" customWidth="1"/>
    <col min="6658" max="6658" width="63.28515625" style="925" customWidth="1"/>
    <col min="6659" max="6659" width="21" style="925" customWidth="1"/>
    <col min="6660" max="6660" width="0" style="925" hidden="1" customWidth="1"/>
    <col min="6661" max="6912" width="9.140625" style="925"/>
    <col min="6913" max="6913" width="7.7109375" style="925" customWidth="1"/>
    <col min="6914" max="6914" width="63.28515625" style="925" customWidth="1"/>
    <col min="6915" max="6915" width="21" style="925" customWidth="1"/>
    <col min="6916" max="6916" width="0" style="925" hidden="1" customWidth="1"/>
    <col min="6917" max="7168" width="9.140625" style="925"/>
    <col min="7169" max="7169" width="7.7109375" style="925" customWidth="1"/>
    <col min="7170" max="7170" width="63.28515625" style="925" customWidth="1"/>
    <col min="7171" max="7171" width="21" style="925" customWidth="1"/>
    <col min="7172" max="7172" width="0" style="925" hidden="1" customWidth="1"/>
    <col min="7173" max="7424" width="9.140625" style="925"/>
    <col min="7425" max="7425" width="7.7109375" style="925" customWidth="1"/>
    <col min="7426" max="7426" width="63.28515625" style="925" customWidth="1"/>
    <col min="7427" max="7427" width="21" style="925" customWidth="1"/>
    <col min="7428" max="7428" width="0" style="925" hidden="1" customWidth="1"/>
    <col min="7429" max="7680" width="9.140625" style="925"/>
    <col min="7681" max="7681" width="7.7109375" style="925" customWidth="1"/>
    <col min="7682" max="7682" width="63.28515625" style="925" customWidth="1"/>
    <col min="7683" max="7683" width="21" style="925" customWidth="1"/>
    <col min="7684" max="7684" width="0" style="925" hidden="1" customWidth="1"/>
    <col min="7685" max="7936" width="9.140625" style="925"/>
    <col min="7937" max="7937" width="7.7109375" style="925" customWidth="1"/>
    <col min="7938" max="7938" width="63.28515625" style="925" customWidth="1"/>
    <col min="7939" max="7939" width="21" style="925" customWidth="1"/>
    <col min="7940" max="7940" width="0" style="925" hidden="1" customWidth="1"/>
    <col min="7941" max="8192" width="9.140625" style="925"/>
    <col min="8193" max="8193" width="7.7109375" style="925" customWidth="1"/>
    <col min="8194" max="8194" width="63.28515625" style="925" customWidth="1"/>
    <col min="8195" max="8195" width="21" style="925" customWidth="1"/>
    <col min="8196" max="8196" width="0" style="925" hidden="1" customWidth="1"/>
    <col min="8197" max="8448" width="9.140625" style="925"/>
    <col min="8449" max="8449" width="7.7109375" style="925" customWidth="1"/>
    <col min="8450" max="8450" width="63.28515625" style="925" customWidth="1"/>
    <col min="8451" max="8451" width="21" style="925" customWidth="1"/>
    <col min="8452" max="8452" width="0" style="925" hidden="1" customWidth="1"/>
    <col min="8453" max="8704" width="9.140625" style="925"/>
    <col min="8705" max="8705" width="7.7109375" style="925" customWidth="1"/>
    <col min="8706" max="8706" width="63.28515625" style="925" customWidth="1"/>
    <col min="8707" max="8707" width="21" style="925" customWidth="1"/>
    <col min="8708" max="8708" width="0" style="925" hidden="1" customWidth="1"/>
    <col min="8709" max="8960" width="9.140625" style="925"/>
    <col min="8961" max="8961" width="7.7109375" style="925" customWidth="1"/>
    <col min="8962" max="8962" width="63.28515625" style="925" customWidth="1"/>
    <col min="8963" max="8963" width="21" style="925" customWidth="1"/>
    <col min="8964" max="8964" width="0" style="925" hidden="1" customWidth="1"/>
    <col min="8965" max="9216" width="9.140625" style="925"/>
    <col min="9217" max="9217" width="7.7109375" style="925" customWidth="1"/>
    <col min="9218" max="9218" width="63.28515625" style="925" customWidth="1"/>
    <col min="9219" max="9219" width="21" style="925" customWidth="1"/>
    <col min="9220" max="9220" width="0" style="925" hidden="1" customWidth="1"/>
    <col min="9221" max="9472" width="9.140625" style="925"/>
    <col min="9473" max="9473" width="7.7109375" style="925" customWidth="1"/>
    <col min="9474" max="9474" width="63.28515625" style="925" customWidth="1"/>
    <col min="9475" max="9475" width="21" style="925" customWidth="1"/>
    <col min="9476" max="9476" width="0" style="925" hidden="1" customWidth="1"/>
    <col min="9477" max="9728" width="9.140625" style="925"/>
    <col min="9729" max="9729" width="7.7109375" style="925" customWidth="1"/>
    <col min="9730" max="9730" width="63.28515625" style="925" customWidth="1"/>
    <col min="9731" max="9731" width="21" style="925" customWidth="1"/>
    <col min="9732" max="9732" width="0" style="925" hidden="1" customWidth="1"/>
    <col min="9733" max="9984" width="9.140625" style="925"/>
    <col min="9985" max="9985" width="7.7109375" style="925" customWidth="1"/>
    <col min="9986" max="9986" width="63.28515625" style="925" customWidth="1"/>
    <col min="9987" max="9987" width="21" style="925" customWidth="1"/>
    <col min="9988" max="9988" width="0" style="925" hidden="1" customWidth="1"/>
    <col min="9989" max="10240" width="9.140625" style="925"/>
    <col min="10241" max="10241" width="7.7109375" style="925" customWidth="1"/>
    <col min="10242" max="10242" width="63.28515625" style="925" customWidth="1"/>
    <col min="10243" max="10243" width="21" style="925" customWidth="1"/>
    <col min="10244" max="10244" width="0" style="925" hidden="1" customWidth="1"/>
    <col min="10245" max="10496" width="9.140625" style="925"/>
    <col min="10497" max="10497" width="7.7109375" style="925" customWidth="1"/>
    <col min="10498" max="10498" width="63.28515625" style="925" customWidth="1"/>
    <col min="10499" max="10499" width="21" style="925" customWidth="1"/>
    <col min="10500" max="10500" width="0" style="925" hidden="1" customWidth="1"/>
    <col min="10501" max="10752" width="9.140625" style="925"/>
    <col min="10753" max="10753" width="7.7109375" style="925" customWidth="1"/>
    <col min="10754" max="10754" width="63.28515625" style="925" customWidth="1"/>
    <col min="10755" max="10755" width="21" style="925" customWidth="1"/>
    <col min="10756" max="10756" width="0" style="925" hidden="1" customWidth="1"/>
    <col min="10757" max="11008" width="9.140625" style="925"/>
    <col min="11009" max="11009" width="7.7109375" style="925" customWidth="1"/>
    <col min="11010" max="11010" width="63.28515625" style="925" customWidth="1"/>
    <col min="11011" max="11011" width="21" style="925" customWidth="1"/>
    <col min="11012" max="11012" width="0" style="925" hidden="1" customWidth="1"/>
    <col min="11013" max="11264" width="9.140625" style="925"/>
    <col min="11265" max="11265" width="7.7109375" style="925" customWidth="1"/>
    <col min="11266" max="11266" width="63.28515625" style="925" customWidth="1"/>
    <col min="11267" max="11267" width="21" style="925" customWidth="1"/>
    <col min="11268" max="11268" width="0" style="925" hidden="1" customWidth="1"/>
    <col min="11269" max="11520" width="9.140625" style="925"/>
    <col min="11521" max="11521" width="7.7109375" style="925" customWidth="1"/>
    <col min="11522" max="11522" width="63.28515625" style="925" customWidth="1"/>
    <col min="11523" max="11523" width="21" style="925" customWidth="1"/>
    <col min="11524" max="11524" width="0" style="925" hidden="1" customWidth="1"/>
    <col min="11525" max="11776" width="9.140625" style="925"/>
    <col min="11777" max="11777" width="7.7109375" style="925" customWidth="1"/>
    <col min="11778" max="11778" width="63.28515625" style="925" customWidth="1"/>
    <col min="11779" max="11779" width="21" style="925" customWidth="1"/>
    <col min="11780" max="11780" width="0" style="925" hidden="1" customWidth="1"/>
    <col min="11781" max="12032" width="9.140625" style="925"/>
    <col min="12033" max="12033" width="7.7109375" style="925" customWidth="1"/>
    <col min="12034" max="12034" width="63.28515625" style="925" customWidth="1"/>
    <col min="12035" max="12035" width="21" style="925" customWidth="1"/>
    <col min="12036" max="12036" width="0" style="925" hidden="1" customWidth="1"/>
    <col min="12037" max="12288" width="9.140625" style="925"/>
    <col min="12289" max="12289" width="7.7109375" style="925" customWidth="1"/>
    <col min="12290" max="12290" width="63.28515625" style="925" customWidth="1"/>
    <col min="12291" max="12291" width="21" style="925" customWidth="1"/>
    <col min="12292" max="12292" width="0" style="925" hidden="1" customWidth="1"/>
    <col min="12293" max="12544" width="9.140625" style="925"/>
    <col min="12545" max="12545" width="7.7109375" style="925" customWidth="1"/>
    <col min="12546" max="12546" width="63.28515625" style="925" customWidth="1"/>
    <col min="12547" max="12547" width="21" style="925" customWidth="1"/>
    <col min="12548" max="12548" width="0" style="925" hidden="1" customWidth="1"/>
    <col min="12549" max="12800" width="9.140625" style="925"/>
    <col min="12801" max="12801" width="7.7109375" style="925" customWidth="1"/>
    <col min="12802" max="12802" width="63.28515625" style="925" customWidth="1"/>
    <col min="12803" max="12803" width="21" style="925" customWidth="1"/>
    <col min="12804" max="12804" width="0" style="925" hidden="1" customWidth="1"/>
    <col min="12805" max="13056" width="9.140625" style="925"/>
    <col min="13057" max="13057" width="7.7109375" style="925" customWidth="1"/>
    <col min="13058" max="13058" width="63.28515625" style="925" customWidth="1"/>
    <col min="13059" max="13059" width="21" style="925" customWidth="1"/>
    <col min="13060" max="13060" width="0" style="925" hidden="1" customWidth="1"/>
    <col min="13061" max="13312" width="9.140625" style="925"/>
    <col min="13313" max="13313" width="7.7109375" style="925" customWidth="1"/>
    <col min="13314" max="13314" width="63.28515625" style="925" customWidth="1"/>
    <col min="13315" max="13315" width="21" style="925" customWidth="1"/>
    <col min="13316" max="13316" width="0" style="925" hidden="1" customWidth="1"/>
    <col min="13317" max="13568" width="9.140625" style="925"/>
    <col min="13569" max="13569" width="7.7109375" style="925" customWidth="1"/>
    <col min="13570" max="13570" width="63.28515625" style="925" customWidth="1"/>
    <col min="13571" max="13571" width="21" style="925" customWidth="1"/>
    <col min="13572" max="13572" width="0" style="925" hidden="1" customWidth="1"/>
    <col min="13573" max="13824" width="9.140625" style="925"/>
    <col min="13825" max="13825" width="7.7109375" style="925" customWidth="1"/>
    <col min="13826" max="13826" width="63.28515625" style="925" customWidth="1"/>
    <col min="13827" max="13827" width="21" style="925" customWidth="1"/>
    <col min="13828" max="13828" width="0" style="925" hidden="1" customWidth="1"/>
    <col min="13829" max="14080" width="9.140625" style="925"/>
    <col min="14081" max="14081" width="7.7109375" style="925" customWidth="1"/>
    <col min="14082" max="14082" width="63.28515625" style="925" customWidth="1"/>
    <col min="14083" max="14083" width="21" style="925" customWidth="1"/>
    <col min="14084" max="14084" width="0" style="925" hidden="1" customWidth="1"/>
    <col min="14085" max="14336" width="9.140625" style="925"/>
    <col min="14337" max="14337" width="7.7109375" style="925" customWidth="1"/>
    <col min="14338" max="14338" width="63.28515625" style="925" customWidth="1"/>
    <col min="14339" max="14339" width="21" style="925" customWidth="1"/>
    <col min="14340" max="14340" width="0" style="925" hidden="1" customWidth="1"/>
    <col min="14341" max="14592" width="9.140625" style="925"/>
    <col min="14593" max="14593" width="7.7109375" style="925" customWidth="1"/>
    <col min="14594" max="14594" width="63.28515625" style="925" customWidth="1"/>
    <col min="14595" max="14595" width="21" style="925" customWidth="1"/>
    <col min="14596" max="14596" width="0" style="925" hidden="1" customWidth="1"/>
    <col min="14597" max="14848" width="9.140625" style="925"/>
    <col min="14849" max="14849" width="7.7109375" style="925" customWidth="1"/>
    <col min="14850" max="14850" width="63.28515625" style="925" customWidth="1"/>
    <col min="14851" max="14851" width="21" style="925" customWidth="1"/>
    <col min="14852" max="14852" width="0" style="925" hidden="1" customWidth="1"/>
    <col min="14853" max="15104" width="9.140625" style="925"/>
    <col min="15105" max="15105" width="7.7109375" style="925" customWidth="1"/>
    <col min="15106" max="15106" width="63.28515625" style="925" customWidth="1"/>
    <col min="15107" max="15107" width="21" style="925" customWidth="1"/>
    <col min="15108" max="15108" width="0" style="925" hidden="1" customWidth="1"/>
    <col min="15109" max="15360" width="9.140625" style="925"/>
    <col min="15361" max="15361" width="7.7109375" style="925" customWidth="1"/>
    <col min="15362" max="15362" width="63.28515625" style="925" customWidth="1"/>
    <col min="15363" max="15363" width="21" style="925" customWidth="1"/>
    <col min="15364" max="15364" width="0" style="925" hidden="1" customWidth="1"/>
    <col min="15365" max="15616" width="9.140625" style="925"/>
    <col min="15617" max="15617" width="7.7109375" style="925" customWidth="1"/>
    <col min="15618" max="15618" width="63.28515625" style="925" customWidth="1"/>
    <col min="15619" max="15619" width="21" style="925" customWidth="1"/>
    <col min="15620" max="15620" width="0" style="925" hidden="1" customWidth="1"/>
    <col min="15621" max="15872" width="9.140625" style="925"/>
    <col min="15873" max="15873" width="7.7109375" style="925" customWidth="1"/>
    <col min="15874" max="15874" width="63.28515625" style="925" customWidth="1"/>
    <col min="15875" max="15875" width="21" style="925" customWidth="1"/>
    <col min="15876" max="15876" width="0" style="925" hidden="1" customWidth="1"/>
    <col min="15877" max="16128" width="9.140625" style="925"/>
    <col min="16129" max="16129" width="7.7109375" style="925" customWidth="1"/>
    <col min="16130" max="16130" width="63.28515625" style="925" customWidth="1"/>
    <col min="16131" max="16131" width="21" style="925" customWidth="1"/>
    <col min="16132" max="16132" width="0" style="925" hidden="1" customWidth="1"/>
    <col min="16133" max="16384" width="9.140625" style="925"/>
  </cols>
  <sheetData>
    <row r="1" spans="1:5" ht="15" x14ac:dyDescent="0.25"/>
    <row r="2" spans="1:5" ht="15" x14ac:dyDescent="0.25">
      <c r="A2" s="927" t="s">
        <v>509</v>
      </c>
      <c r="B2" s="927"/>
    </row>
    <row r="3" spans="1:5" ht="15" x14ac:dyDescent="0.25">
      <c r="A3" s="927"/>
      <c r="B3" s="927"/>
      <c r="C3" s="928"/>
      <c r="D3" s="928"/>
      <c r="E3" s="929"/>
    </row>
    <row r="4" spans="1:5" ht="26.25" customHeight="1" x14ac:dyDescent="0.25">
      <c r="A4" s="930">
        <v>1</v>
      </c>
      <c r="B4" s="931" t="s">
        <v>1451</v>
      </c>
      <c r="C4" s="928"/>
      <c r="D4" s="928"/>
      <c r="E4" s="929"/>
    </row>
    <row r="5" spans="1:5" ht="38.25" customHeight="1" x14ac:dyDescent="0.25">
      <c r="A5" s="930">
        <v>2</v>
      </c>
      <c r="B5" s="931" t="s">
        <v>1452</v>
      </c>
      <c r="C5" s="932"/>
      <c r="D5" s="933"/>
      <c r="E5" s="934"/>
    </row>
    <row r="6" spans="1:5" ht="29.25" customHeight="1" x14ac:dyDescent="0.25">
      <c r="A6" s="930">
        <v>3</v>
      </c>
      <c r="B6" s="931" t="s">
        <v>1453</v>
      </c>
      <c r="C6" s="933"/>
      <c r="D6" s="933"/>
      <c r="E6" s="934"/>
    </row>
    <row r="7" spans="1:5" s="937" customFormat="1" ht="40.5" customHeight="1" x14ac:dyDescent="0.25">
      <c r="A7" s="930">
        <v>4</v>
      </c>
      <c r="B7" s="931" t="s">
        <v>1454</v>
      </c>
      <c r="C7" s="935"/>
      <c r="D7" s="935"/>
      <c r="E7" s="936"/>
    </row>
    <row r="8" spans="1:5" s="937" customFormat="1" ht="39" customHeight="1" x14ac:dyDescent="0.25">
      <c r="A8" s="930">
        <v>5</v>
      </c>
      <c r="B8" s="931" t="s">
        <v>1455</v>
      </c>
      <c r="C8" s="935"/>
      <c r="D8" s="935"/>
      <c r="E8" s="936"/>
    </row>
    <row r="9" spans="1:5" s="937" customFormat="1" ht="24" x14ac:dyDescent="0.25">
      <c r="A9" s="930">
        <v>6</v>
      </c>
      <c r="B9" s="931" t="s">
        <v>1456</v>
      </c>
      <c r="C9" s="935"/>
      <c r="D9" s="935"/>
      <c r="E9" s="936"/>
    </row>
    <row r="10" spans="1:5" s="937" customFormat="1" ht="36" x14ac:dyDescent="0.25">
      <c r="A10" s="930">
        <v>7</v>
      </c>
      <c r="B10" s="931" t="s">
        <v>1457</v>
      </c>
      <c r="C10" s="935"/>
      <c r="D10" s="935"/>
      <c r="E10" s="936"/>
    </row>
    <row r="11" spans="1:5" s="937" customFormat="1" ht="24" x14ac:dyDescent="0.25">
      <c r="A11" s="930">
        <v>8</v>
      </c>
      <c r="B11" s="938" t="s">
        <v>1458</v>
      </c>
      <c r="C11" s="935"/>
      <c r="D11" s="935"/>
      <c r="E11" s="936"/>
    </row>
    <row r="12" spans="1:5" s="937" customFormat="1" ht="24" x14ac:dyDescent="0.25">
      <c r="A12" s="930">
        <v>9</v>
      </c>
      <c r="B12" s="938" t="s">
        <v>534</v>
      </c>
      <c r="C12" s="935"/>
      <c r="D12" s="935"/>
      <c r="E12" s="936"/>
    </row>
    <row r="13" spans="1:5" ht="38.25" customHeight="1" x14ac:dyDescent="0.25">
      <c r="A13" s="930">
        <v>10</v>
      </c>
      <c r="B13" s="939" t="s">
        <v>1459</v>
      </c>
    </row>
    <row r="14" spans="1:5" ht="27" customHeight="1" x14ac:dyDescent="0.25">
      <c r="A14" s="930">
        <v>11</v>
      </c>
      <c r="B14" s="931" t="s">
        <v>1460</v>
      </c>
    </row>
    <row r="15" spans="1:5" ht="27" customHeight="1" x14ac:dyDescent="0.25">
      <c r="A15" s="930">
        <v>12</v>
      </c>
      <c r="B15" s="938" t="s">
        <v>1461</v>
      </c>
    </row>
    <row r="16" spans="1:5" ht="66.75" customHeight="1" x14ac:dyDescent="0.25">
      <c r="A16" s="930">
        <v>13</v>
      </c>
      <c r="B16" s="939" t="s">
        <v>1462</v>
      </c>
    </row>
    <row r="17" spans="1:2" ht="36" customHeight="1" x14ac:dyDescent="0.25">
      <c r="A17" s="930">
        <v>14</v>
      </c>
      <c r="B17" s="939" t="s">
        <v>1463</v>
      </c>
    </row>
    <row r="18" spans="1:2" ht="49.5" customHeight="1" x14ac:dyDescent="0.25">
      <c r="A18" s="930">
        <v>15</v>
      </c>
      <c r="B18" s="939" t="s">
        <v>1459</v>
      </c>
    </row>
    <row r="19" spans="1:2" ht="24.75" customHeight="1" x14ac:dyDescent="0.25">
      <c r="A19" s="930">
        <v>16</v>
      </c>
      <c r="B19" s="940" t="s">
        <v>1464</v>
      </c>
    </row>
    <row r="20" spans="1:2" ht="27" customHeight="1" x14ac:dyDescent="0.25">
      <c r="A20" s="930">
        <v>17</v>
      </c>
      <c r="B20" s="939" t="s">
        <v>1465</v>
      </c>
    </row>
    <row r="21" spans="1:2" ht="39" customHeight="1" x14ac:dyDescent="0.25">
      <c r="A21" s="930">
        <v>18</v>
      </c>
      <c r="B21" s="931" t="s">
        <v>1466</v>
      </c>
    </row>
    <row r="22" spans="1:2" ht="52.5" customHeight="1" x14ac:dyDescent="0.25">
      <c r="A22" s="930">
        <v>19</v>
      </c>
      <c r="B22" s="931" t="s">
        <v>1467</v>
      </c>
    </row>
    <row r="23" spans="1:2" ht="25.5" customHeight="1" x14ac:dyDescent="0.25">
      <c r="A23" s="930">
        <v>20</v>
      </c>
      <c r="B23" s="931" t="s">
        <v>1468</v>
      </c>
    </row>
    <row r="24" spans="1:2" ht="36.75" customHeight="1" x14ac:dyDescent="0.25">
      <c r="A24" s="941"/>
      <c r="B24" s="942" t="s">
        <v>1469</v>
      </c>
    </row>
    <row r="25" spans="1:2" ht="27" customHeight="1" x14ac:dyDescent="0.25">
      <c r="A25" s="930"/>
      <c r="B25" s="942" t="s">
        <v>1470</v>
      </c>
    </row>
    <row r="26" spans="1:2" ht="16.5" customHeight="1" x14ac:dyDescent="0.25">
      <c r="A26" s="930"/>
      <c r="B26" s="942" t="s">
        <v>1471</v>
      </c>
    </row>
    <row r="27" spans="1:2" ht="38.25" customHeight="1" x14ac:dyDescent="0.25">
      <c r="A27" s="930"/>
      <c r="B27" s="942" t="s">
        <v>1472</v>
      </c>
    </row>
    <row r="28" spans="1:2" ht="15" customHeight="1" x14ac:dyDescent="0.25">
      <c r="A28" s="930"/>
      <c r="B28" s="942" t="s">
        <v>1473</v>
      </c>
    </row>
    <row r="29" spans="1:2" ht="16.5" customHeight="1" x14ac:dyDescent="0.25">
      <c r="A29" s="930"/>
      <c r="B29" s="942" t="s">
        <v>1474</v>
      </c>
    </row>
    <row r="30" spans="1:2" ht="15.75" customHeight="1" x14ac:dyDescent="0.25">
      <c r="A30" s="930"/>
      <c r="B30" s="942" t="s">
        <v>1475</v>
      </c>
    </row>
    <row r="31" spans="1:2" ht="29.25" customHeight="1" x14ac:dyDescent="0.25">
      <c r="A31" s="930"/>
      <c r="B31" s="942" t="s">
        <v>1476</v>
      </c>
    </row>
    <row r="32" spans="1:2" ht="15" customHeight="1" x14ac:dyDescent="0.25">
      <c r="A32" s="930"/>
      <c r="B32" s="942" t="s">
        <v>1477</v>
      </c>
    </row>
    <row r="33" spans="1:2" ht="14.25" customHeight="1" x14ac:dyDescent="0.25">
      <c r="A33" s="930"/>
      <c r="B33" s="942" t="s">
        <v>1478</v>
      </c>
    </row>
    <row r="34" spans="1:2" ht="15" customHeight="1" x14ac:dyDescent="0.25">
      <c r="A34" s="930"/>
      <c r="B34" s="942" t="s">
        <v>1479</v>
      </c>
    </row>
    <row r="35" spans="1:2" ht="15" customHeight="1" x14ac:dyDescent="0.25">
      <c r="A35" s="930"/>
      <c r="B35" s="942" t="s">
        <v>1480</v>
      </c>
    </row>
    <row r="36" spans="1:2" ht="21" customHeight="1" x14ac:dyDescent="0.25">
      <c r="A36" s="930"/>
      <c r="B36" s="942" t="s">
        <v>1481</v>
      </c>
    </row>
    <row r="37" spans="1:2" ht="21" customHeight="1" x14ac:dyDescent="0.25">
      <c r="A37" s="930"/>
      <c r="B37" s="942" t="s">
        <v>1482</v>
      </c>
    </row>
    <row r="38" spans="1:2" ht="27.75" customHeight="1" x14ac:dyDescent="0.25">
      <c r="A38" s="930"/>
      <c r="B38" s="942" t="s">
        <v>1483</v>
      </c>
    </row>
    <row r="39" spans="1:2" ht="21" customHeight="1" x14ac:dyDescent="0.25">
      <c r="A39" s="930"/>
      <c r="B39" s="942" t="s">
        <v>1484</v>
      </c>
    </row>
    <row r="40" spans="1:2" ht="75" customHeight="1" x14ac:dyDescent="0.25">
      <c r="A40" s="930"/>
      <c r="B40" s="942" t="s">
        <v>1485</v>
      </c>
    </row>
    <row r="41" spans="1:2" ht="29.25" customHeight="1" x14ac:dyDescent="0.25">
      <c r="A41" s="930">
        <v>21</v>
      </c>
      <c r="B41" s="931" t="s">
        <v>544</v>
      </c>
    </row>
    <row r="42" spans="1:2" ht="25.5" customHeight="1" x14ac:dyDescent="0.25">
      <c r="A42" s="930">
        <v>22</v>
      </c>
      <c r="B42" s="931" t="s">
        <v>515</v>
      </c>
    </row>
    <row r="43" spans="1:2" ht="35.25" customHeight="1" x14ac:dyDescent="0.25">
      <c r="A43" s="930">
        <v>23</v>
      </c>
      <c r="B43" s="938" t="s">
        <v>1486</v>
      </c>
    </row>
    <row r="44" spans="1:2" ht="36.75" customHeight="1" x14ac:dyDescent="0.25">
      <c r="A44" s="930">
        <v>24</v>
      </c>
      <c r="B44" s="938" t="s">
        <v>1487</v>
      </c>
    </row>
    <row r="45" spans="1:2" ht="21" customHeight="1" x14ac:dyDescent="0.25">
      <c r="A45" s="930"/>
      <c r="B45" s="931"/>
    </row>
    <row r="46" spans="1:2" ht="21" customHeight="1" x14ac:dyDescent="0.2">
      <c r="A46" s="943"/>
      <c r="B46" s="944"/>
    </row>
    <row r="47" spans="1:2" ht="21" customHeight="1" x14ac:dyDescent="0.2">
      <c r="A47" s="945"/>
      <c r="B47" s="946"/>
    </row>
    <row r="48" spans="1:2" ht="21" customHeight="1" x14ac:dyDescent="0.2">
      <c r="A48" s="945"/>
      <c r="B48" s="946"/>
    </row>
    <row r="49" spans="1:5" ht="21" customHeight="1" x14ac:dyDescent="0.2">
      <c r="A49" s="945"/>
      <c r="B49" s="946"/>
    </row>
    <row r="50" spans="1:5" ht="21" customHeight="1" x14ac:dyDescent="0.2">
      <c r="A50" s="945"/>
      <c r="B50" s="946"/>
    </row>
    <row r="51" spans="1:5" ht="21" customHeight="1" x14ac:dyDescent="0.2">
      <c r="A51" s="945"/>
      <c r="B51" s="946"/>
    </row>
    <row r="52" spans="1:5" ht="21" customHeight="1" x14ac:dyDescent="0.2">
      <c r="A52" s="945"/>
      <c r="B52" s="946"/>
    </row>
    <row r="53" spans="1:5" ht="21" customHeight="1" x14ac:dyDescent="0.2">
      <c r="A53" s="945"/>
      <c r="B53" s="946"/>
    </row>
    <row r="54" spans="1:5" s="947" customFormat="1" ht="21" customHeight="1" x14ac:dyDescent="0.2">
      <c r="A54" s="945"/>
      <c r="B54" s="946"/>
      <c r="C54" s="924"/>
      <c r="E54" s="948"/>
    </row>
    <row r="55" spans="1:5" ht="21" customHeight="1" x14ac:dyDescent="0.2">
      <c r="A55" s="945"/>
      <c r="B55" s="946"/>
    </row>
    <row r="56" spans="1:5" ht="21" customHeight="1" x14ac:dyDescent="0.2">
      <c r="A56" s="945"/>
      <c r="B56" s="946"/>
    </row>
    <row r="57" spans="1:5" ht="21" customHeight="1" x14ac:dyDescent="0.2">
      <c r="A57" s="945"/>
      <c r="B57" s="946"/>
    </row>
    <row r="58" spans="1:5" ht="21" customHeight="1" x14ac:dyDescent="0.2">
      <c r="A58" s="945"/>
      <c r="B58" s="946"/>
    </row>
    <row r="59" spans="1:5" ht="21" customHeight="1" x14ac:dyDescent="0.2">
      <c r="A59" s="945"/>
      <c r="B59" s="946"/>
    </row>
    <row r="60" spans="1:5" s="947" customFormat="1" ht="21" customHeight="1" x14ac:dyDescent="0.2">
      <c r="A60" s="945"/>
      <c r="B60" s="946"/>
      <c r="C60" s="924"/>
      <c r="E60" s="948"/>
    </row>
    <row r="61" spans="1:5" ht="21" customHeight="1" x14ac:dyDescent="0.2">
      <c r="A61" s="945"/>
      <c r="B61" s="946"/>
    </row>
  </sheetData>
  <sheetProtection algorithmName="SHA-512" hashValue="6yjlSKQxHTjkpaF+rkZAb/RAR3IHzSKpy95uxMzc6SlBoG4iT+k52sdWiXwlmzb0c3RyGkw0O2dMchYpehD8zQ==" saltValue="9Kcy1IcjWS4Ds88fdhii3A==" spinCount="100000" sheet="1" objects="1" scenarios="1"/>
  <printOptions horizontalCentered="1"/>
  <pageMargins left="0.74803149606299213" right="0.70866141732283472" top="0.78740157480314965" bottom="0.78740157480314965" header="0.35433070866141736" footer="0.27559055118110237"/>
  <pageSetup paperSize="9" fitToHeight="0" orientation="portrait" r:id="rId1"/>
  <headerFooter alignWithMargins="0">
    <oddHeader>&amp;L&amp;8Projekt št.: R-498/16
_______________________________________________________&amp;C
&amp;R&amp;8
___________________________________________________________________________</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67"/>
  <sheetViews>
    <sheetView view="pageBreakPreview" zoomScaleNormal="100" zoomScaleSheetLayoutView="100" workbookViewId="0"/>
  </sheetViews>
  <sheetFormatPr defaultRowHeight="15" x14ac:dyDescent="0.25"/>
  <cols>
    <col min="1" max="1" width="7.7109375" style="976" customWidth="1"/>
    <col min="2" max="2" width="36.7109375" style="977" customWidth="1"/>
    <col min="3" max="3" width="12.5703125" style="924" customWidth="1"/>
    <col min="4" max="4" width="9.140625" style="926"/>
    <col min="5" max="5" width="9.85546875" style="1996" bestFit="1" customWidth="1"/>
    <col min="6" max="6" width="10.140625" style="925" customWidth="1"/>
  </cols>
  <sheetData>
    <row r="1" spans="1:6" x14ac:dyDescent="0.25">
      <c r="A1" s="949"/>
      <c r="B1" s="950"/>
      <c r="C1" s="951"/>
      <c r="D1" s="952"/>
      <c r="E1" s="1989"/>
      <c r="F1" s="952"/>
    </row>
    <row r="2" spans="1:6" x14ac:dyDescent="0.25">
      <c r="A2" s="953" t="s">
        <v>1505</v>
      </c>
      <c r="B2" s="954"/>
      <c r="C2" s="955"/>
      <c r="D2" s="956"/>
      <c r="E2" s="1990"/>
      <c r="F2" s="956"/>
    </row>
    <row r="3" spans="1:6" x14ac:dyDescent="0.25">
      <c r="A3" s="958"/>
      <c r="B3" s="954"/>
      <c r="C3" s="957"/>
      <c r="D3" s="956"/>
      <c r="E3" s="1990"/>
      <c r="F3" s="956"/>
    </row>
    <row r="4" spans="1:6" ht="24" x14ac:dyDescent="0.25">
      <c r="A4" s="959" t="s">
        <v>26</v>
      </c>
      <c r="B4" s="960" t="s">
        <v>0</v>
      </c>
      <c r="C4" s="961" t="s">
        <v>28</v>
      </c>
      <c r="D4" s="962" t="s">
        <v>29</v>
      </c>
      <c r="E4" s="1991" t="s">
        <v>30</v>
      </c>
      <c r="F4" s="961" t="s">
        <v>1501</v>
      </c>
    </row>
    <row r="5" spans="1:6" ht="36" x14ac:dyDescent="0.25">
      <c r="A5" s="963" t="s">
        <v>1232</v>
      </c>
      <c r="B5" s="964" t="s">
        <v>1502</v>
      </c>
      <c r="C5" s="965" t="s">
        <v>58</v>
      </c>
      <c r="D5" s="979">
        <v>1</v>
      </c>
      <c r="E5" s="1992"/>
      <c r="F5" s="1372">
        <f>ROUND(D5*E5,2)</f>
        <v>0</v>
      </c>
    </row>
    <row r="6" spans="1:6" ht="24.75" thickBot="1" x14ac:dyDescent="0.3">
      <c r="A6" s="967" t="s">
        <v>1234</v>
      </c>
      <c r="B6" s="968" t="s">
        <v>1503</v>
      </c>
      <c r="C6" s="969" t="s">
        <v>58</v>
      </c>
      <c r="D6" s="979">
        <v>1</v>
      </c>
      <c r="E6" s="1993"/>
      <c r="F6" s="1372">
        <f>ROUND(D6*E6,2)</f>
        <v>0</v>
      </c>
    </row>
    <row r="7" spans="1:6" ht="25.5" thickTop="1" thickBot="1" x14ac:dyDescent="0.3">
      <c r="A7" s="972"/>
      <c r="B7" s="973" t="s">
        <v>1504</v>
      </c>
      <c r="C7" s="974"/>
      <c r="D7" s="975"/>
      <c r="E7" s="1994"/>
      <c r="F7" s="1508">
        <f>ROUND(SUM(F5:F6),2)</f>
        <v>0</v>
      </c>
    </row>
    <row r="8" spans="1:6" ht="15.75" thickTop="1" x14ac:dyDescent="0.25">
      <c r="E8" s="1995"/>
      <c r="F8" s="966"/>
    </row>
    <row r="9" spans="1:6" s="952" customFormat="1" ht="12.75" x14ac:dyDescent="0.25">
      <c r="A9" s="949"/>
      <c r="B9" s="950"/>
      <c r="C9" s="951"/>
      <c r="E9" s="1989"/>
    </row>
    <row r="10" spans="1:6" s="956" customFormat="1" ht="12.75" x14ac:dyDescent="0.25">
      <c r="A10" s="953" t="s">
        <v>1511</v>
      </c>
      <c r="B10" s="978"/>
      <c r="C10" s="955"/>
      <c r="E10" s="1990"/>
    </row>
    <row r="11" spans="1:6" s="956" customFormat="1" ht="12.75" x14ac:dyDescent="0.25">
      <c r="A11" s="958"/>
      <c r="B11" s="954"/>
      <c r="C11" s="957"/>
      <c r="E11" s="1990"/>
    </row>
    <row r="12" spans="1:6" s="937" customFormat="1" ht="24" x14ac:dyDescent="0.25">
      <c r="A12" s="959" t="s">
        <v>26</v>
      </c>
      <c r="B12" s="960" t="s">
        <v>0</v>
      </c>
      <c r="C12" s="961" t="s">
        <v>28</v>
      </c>
      <c r="D12" s="962" t="s">
        <v>29</v>
      </c>
      <c r="E12" s="1991" t="s">
        <v>30</v>
      </c>
      <c r="F12" s="961" t="s">
        <v>1501</v>
      </c>
    </row>
    <row r="13" spans="1:6" s="966" customFormat="1" ht="48" x14ac:dyDescent="0.25">
      <c r="A13" s="963" t="s">
        <v>1232</v>
      </c>
      <c r="B13" s="964" t="s">
        <v>1506</v>
      </c>
      <c r="C13" s="965" t="s">
        <v>58</v>
      </c>
      <c r="D13" s="979">
        <v>1</v>
      </c>
      <c r="E13" s="1992"/>
      <c r="F13" s="1372">
        <f>ROUND(E13*D13,2)</f>
        <v>0</v>
      </c>
    </row>
    <row r="14" spans="1:6" s="966" customFormat="1" ht="48" x14ac:dyDescent="0.25">
      <c r="A14" s="967" t="s">
        <v>1234</v>
      </c>
      <c r="B14" s="968" t="s">
        <v>1507</v>
      </c>
      <c r="C14" s="969" t="s">
        <v>58</v>
      </c>
      <c r="D14" s="979">
        <v>4</v>
      </c>
      <c r="E14" s="1993"/>
      <c r="F14" s="1372">
        <f>ROUND(E14*D14,2)</f>
        <v>0</v>
      </c>
    </row>
    <row r="15" spans="1:6" s="966" customFormat="1" ht="48" x14ac:dyDescent="0.25">
      <c r="A15" s="959" t="s">
        <v>1236</v>
      </c>
      <c r="B15" s="980" t="s">
        <v>1508</v>
      </c>
      <c r="C15" s="969" t="s">
        <v>58</v>
      </c>
      <c r="D15" s="979">
        <v>10</v>
      </c>
      <c r="E15" s="1992"/>
      <c r="F15" s="1372">
        <f>ROUND(E15*D15,2)</f>
        <v>0</v>
      </c>
    </row>
    <row r="16" spans="1:6" s="966" customFormat="1" ht="36" x14ac:dyDescent="0.25">
      <c r="A16" s="959" t="s">
        <v>4</v>
      </c>
      <c r="B16" s="980" t="s">
        <v>1509</v>
      </c>
      <c r="C16" s="981" t="s">
        <v>58</v>
      </c>
      <c r="D16" s="979">
        <v>3</v>
      </c>
      <c r="E16" s="1992"/>
      <c r="F16" s="1372">
        <f>ROUND(E16*D16,2)</f>
        <v>0</v>
      </c>
    </row>
    <row r="17" spans="1:6" s="966" customFormat="1" ht="36.75" thickBot="1" x14ac:dyDescent="0.3">
      <c r="A17" s="959" t="s">
        <v>5</v>
      </c>
      <c r="B17" s="980" t="s">
        <v>1510</v>
      </c>
      <c r="C17" s="981" t="s">
        <v>58</v>
      </c>
      <c r="D17" s="979">
        <v>4</v>
      </c>
      <c r="E17" s="1992"/>
      <c r="F17" s="1372">
        <f>ROUND(E17*D17,2)</f>
        <v>0</v>
      </c>
    </row>
    <row r="18" spans="1:6" s="966" customFormat="1" ht="25.5" thickTop="1" thickBot="1" x14ac:dyDescent="0.3">
      <c r="A18" s="972"/>
      <c r="B18" s="973" t="s">
        <v>1504</v>
      </c>
      <c r="C18" s="974"/>
      <c r="D18" s="975"/>
      <c r="E18" s="1994"/>
      <c r="F18" s="1508">
        <f>ROUND(SUM(F13:F17),2)</f>
        <v>0</v>
      </c>
    </row>
    <row r="19" spans="1:6" s="966" customFormat="1" ht="15.75" thickTop="1" x14ac:dyDescent="0.25">
      <c r="A19" s="976"/>
      <c r="B19" s="977"/>
      <c r="C19" s="924"/>
      <c r="D19" s="926"/>
      <c r="E19" s="1995"/>
    </row>
    <row r="20" spans="1:6" x14ac:dyDescent="0.25">
      <c r="E20" s="1995"/>
      <c r="F20" s="966"/>
    </row>
    <row r="21" spans="1:6" x14ac:dyDescent="0.25">
      <c r="E21" s="1995"/>
      <c r="F21" s="966"/>
    </row>
    <row r="22" spans="1:6" x14ac:dyDescent="0.25">
      <c r="E22" s="1995"/>
      <c r="F22" s="966"/>
    </row>
    <row r="23" spans="1:6" x14ac:dyDescent="0.25">
      <c r="E23" s="1995"/>
      <c r="F23" s="966"/>
    </row>
    <row r="24" spans="1:6" x14ac:dyDescent="0.25">
      <c r="E24" s="1995"/>
      <c r="F24" s="966"/>
    </row>
    <row r="25" spans="1:6" x14ac:dyDescent="0.25">
      <c r="E25" s="1995"/>
      <c r="F25" s="966"/>
    </row>
    <row r="35" spans="4:4" ht="15.75" x14ac:dyDescent="0.25">
      <c r="D35" s="948"/>
    </row>
    <row r="41" spans="4:4" ht="15.75" x14ac:dyDescent="0.25">
      <c r="D41" s="948"/>
    </row>
    <row r="61" spans="5:6" x14ac:dyDescent="0.25">
      <c r="E61" s="1997"/>
      <c r="F61" s="947"/>
    </row>
    <row r="67" spans="5:6" x14ac:dyDescent="0.25">
      <c r="E67" s="1997"/>
      <c r="F67" s="947"/>
    </row>
  </sheetData>
  <sheetProtection algorithmName="SHA-512" hashValue="0sdi58vDNpBSLzUKnBhDYTKJcxDREtKYOr1o7ih/jiE7PG292ZkHgNlps97xY0J9dnZ+QlXUB9c/s8+Od1cy0w==" saltValue="o8A4g5rFVDa+VDft7nqxaA==" spinCount="100000" sheet="1" objects="1" scenarios="1"/>
  <pageMargins left="0.7" right="0.7" top="0.7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H61"/>
  <sheetViews>
    <sheetView view="pageBreakPreview" zoomScaleNormal="85" zoomScaleSheetLayoutView="100" workbookViewId="0"/>
  </sheetViews>
  <sheetFormatPr defaultColWidth="9.140625" defaultRowHeight="15" x14ac:dyDescent="0.2"/>
  <cols>
    <col min="1" max="1" width="6.5703125" style="976" customWidth="1"/>
    <col min="2" max="2" width="38.28515625" style="977" customWidth="1"/>
    <col min="3" max="3" width="7.42578125" style="924" customWidth="1"/>
    <col min="4" max="4" width="9.140625" style="926"/>
    <col min="5" max="5" width="11.140625" style="1996" customWidth="1"/>
    <col min="6" max="6" width="14" style="925" customWidth="1"/>
    <col min="7" max="16384" width="9.140625" style="1144"/>
  </cols>
  <sheetData>
    <row r="1" spans="1:8" ht="14.25" x14ac:dyDescent="0.2">
      <c r="A1" s="1704"/>
      <c r="B1" s="950"/>
      <c r="C1" s="951"/>
      <c r="D1" s="952"/>
      <c r="E1" s="1989"/>
      <c r="F1" s="952"/>
    </row>
    <row r="2" spans="1:8" ht="14.25" x14ac:dyDescent="0.2">
      <c r="A2" s="1705" t="s">
        <v>1519</v>
      </c>
      <c r="B2" s="954"/>
      <c r="C2" s="955"/>
      <c r="D2" s="956"/>
      <c r="E2" s="1990"/>
      <c r="F2" s="956"/>
    </row>
    <row r="3" spans="1:8" ht="14.25" x14ac:dyDescent="0.2">
      <c r="A3" s="958"/>
      <c r="B3" s="954"/>
      <c r="C3" s="957"/>
      <c r="D3" s="956"/>
      <c r="E3" s="1990"/>
      <c r="F3" s="956"/>
    </row>
    <row r="4" spans="1:8" ht="24" x14ac:dyDescent="0.2">
      <c r="A4" s="959" t="s">
        <v>26</v>
      </c>
      <c r="B4" s="960" t="s">
        <v>0</v>
      </c>
      <c r="C4" s="961" t="s">
        <v>28</v>
      </c>
      <c r="D4" s="962" t="s">
        <v>29</v>
      </c>
      <c r="E4" s="1991" t="s">
        <v>30</v>
      </c>
      <c r="F4" s="961" t="s">
        <v>1501</v>
      </c>
    </row>
    <row r="5" spans="1:8" ht="24" x14ac:dyDescent="0.2">
      <c r="A5" s="963" t="s">
        <v>1232</v>
      </c>
      <c r="B5" s="982" t="s">
        <v>1512</v>
      </c>
      <c r="C5" s="969"/>
      <c r="D5" s="970"/>
      <c r="E5" s="1993"/>
      <c r="F5" s="971"/>
    </row>
    <row r="6" spans="1:8" x14ac:dyDescent="0.2">
      <c r="A6" s="983"/>
      <c r="B6" s="984" t="s">
        <v>1513</v>
      </c>
      <c r="C6" s="1617"/>
      <c r="D6" s="1618"/>
      <c r="E6" s="1998"/>
      <c r="F6" s="1620"/>
    </row>
    <row r="7" spans="1:8" x14ac:dyDescent="0.2">
      <c r="A7" s="983"/>
      <c r="B7" s="985" t="s">
        <v>1514</v>
      </c>
      <c r="C7" s="1617"/>
      <c r="D7" s="1618"/>
      <c r="E7" s="1998"/>
      <c r="F7" s="1620"/>
    </row>
    <row r="8" spans="1:8" ht="24" x14ac:dyDescent="0.2">
      <c r="A8" s="983"/>
      <c r="B8" s="985" t="s">
        <v>1515</v>
      </c>
      <c r="C8" s="1617"/>
      <c r="D8" s="1618"/>
      <c r="E8" s="1998"/>
      <c r="F8" s="1620"/>
    </row>
    <row r="9" spans="1:8" s="952" customFormat="1" ht="24" x14ac:dyDescent="0.2">
      <c r="A9" s="983"/>
      <c r="B9" s="985" t="s">
        <v>1516</v>
      </c>
      <c r="C9" s="1617" t="s">
        <v>58</v>
      </c>
      <c r="D9" s="1617">
        <v>1</v>
      </c>
      <c r="E9" s="1998"/>
      <c r="F9" s="1619">
        <f>ROUND(E9*D9,2)</f>
        <v>0</v>
      </c>
      <c r="G9" s="1144"/>
      <c r="H9" s="1144"/>
    </row>
    <row r="10" spans="1:8" s="956" customFormat="1" ht="48" x14ac:dyDescent="0.2">
      <c r="A10" s="983"/>
      <c r="B10" s="985" t="s">
        <v>1517</v>
      </c>
      <c r="C10" s="1617"/>
      <c r="D10" s="1618"/>
      <c r="E10" s="1998"/>
      <c r="F10" s="1620"/>
      <c r="G10" s="1144"/>
      <c r="H10" s="1144"/>
    </row>
    <row r="11" spans="1:8" s="956" customFormat="1" ht="15.75" thickBot="1" x14ac:dyDescent="0.25">
      <c r="A11" s="983"/>
      <c r="B11" s="985" t="s">
        <v>1518</v>
      </c>
      <c r="C11" s="1621"/>
      <c r="D11" s="1622"/>
      <c r="E11" s="1999"/>
      <c r="F11" s="1623"/>
      <c r="G11" s="1144"/>
      <c r="H11" s="1144"/>
    </row>
    <row r="12" spans="1:8" s="956" customFormat="1" ht="16.5" thickTop="1" thickBot="1" x14ac:dyDescent="0.25">
      <c r="A12" s="972"/>
      <c r="B12" s="986" t="s">
        <v>1259</v>
      </c>
      <c r="C12" s="987"/>
      <c r="D12" s="975"/>
      <c r="E12" s="1994"/>
      <c r="F12" s="1508">
        <f>ROUND(SUM(F9),2)</f>
        <v>0</v>
      </c>
      <c r="G12" s="1144"/>
      <c r="H12" s="1144"/>
    </row>
    <row r="13" spans="1:8" s="956" customFormat="1" ht="15.75" thickTop="1" x14ac:dyDescent="0.2">
      <c r="A13" s="976"/>
      <c r="B13" s="977"/>
      <c r="C13" s="924"/>
      <c r="D13" s="926"/>
      <c r="E13" s="1995"/>
      <c r="F13" s="966"/>
      <c r="G13" s="1144"/>
      <c r="H13" s="1144"/>
    </row>
    <row r="14" spans="1:8" s="937" customFormat="1" ht="14.25" x14ac:dyDescent="0.2">
      <c r="A14" s="1704"/>
      <c r="B14" s="950"/>
      <c r="C14" s="951"/>
      <c r="D14" s="952"/>
      <c r="E14" s="1989"/>
      <c r="F14" s="952"/>
      <c r="G14" s="1144"/>
      <c r="H14" s="1144"/>
    </row>
    <row r="15" spans="1:8" s="966" customFormat="1" ht="14.25" x14ac:dyDescent="0.2">
      <c r="A15" s="1705" t="s">
        <v>1542</v>
      </c>
      <c r="B15" s="978"/>
      <c r="C15" s="955"/>
      <c r="D15" s="956"/>
      <c r="E15" s="1990"/>
      <c r="F15" s="956"/>
      <c r="G15" s="1144"/>
      <c r="H15" s="1144"/>
    </row>
    <row r="16" spans="1:8" ht="14.25" x14ac:dyDescent="0.2">
      <c r="A16" s="958"/>
      <c r="B16" s="954"/>
      <c r="C16" s="957"/>
      <c r="D16" s="956"/>
      <c r="E16" s="1990"/>
      <c r="F16" s="956"/>
    </row>
    <row r="17" spans="1:6" ht="24" x14ac:dyDescent="0.2">
      <c r="A17" s="959" t="s">
        <v>26</v>
      </c>
      <c r="B17" s="960" t="s">
        <v>0</v>
      </c>
      <c r="C17" s="961" t="s">
        <v>28</v>
      </c>
      <c r="D17" s="962" t="s">
        <v>29</v>
      </c>
      <c r="E17" s="1991" t="s">
        <v>30</v>
      </c>
      <c r="F17" s="961" t="s">
        <v>1501</v>
      </c>
    </row>
    <row r="18" spans="1:6" ht="24" x14ac:dyDescent="0.2">
      <c r="A18" s="963" t="s">
        <v>1232</v>
      </c>
      <c r="B18" s="964" t="s">
        <v>1520</v>
      </c>
      <c r="C18" s="965" t="s">
        <v>58</v>
      </c>
      <c r="D18" s="979">
        <v>3</v>
      </c>
      <c r="E18" s="1992"/>
      <c r="F18" s="1372">
        <f t="shared" ref="F18:F28" si="0">ROUND(E18*D18,2)</f>
        <v>0</v>
      </c>
    </row>
    <row r="19" spans="1:6" ht="24" x14ac:dyDescent="0.2">
      <c r="A19" s="967" t="s">
        <v>1234</v>
      </c>
      <c r="B19" s="964" t="s">
        <v>1521</v>
      </c>
      <c r="C19" s="969" t="s">
        <v>58</v>
      </c>
      <c r="D19" s="979">
        <v>3</v>
      </c>
      <c r="E19" s="1993"/>
      <c r="F19" s="1372">
        <f t="shared" si="0"/>
        <v>0</v>
      </c>
    </row>
    <row r="20" spans="1:6" ht="24" x14ac:dyDescent="0.2">
      <c r="A20" s="959" t="s">
        <v>1236</v>
      </c>
      <c r="B20" s="964" t="s">
        <v>1522</v>
      </c>
      <c r="C20" s="969" t="s">
        <v>58</v>
      </c>
      <c r="D20" s="979">
        <v>4</v>
      </c>
      <c r="E20" s="1992"/>
      <c r="F20" s="1372">
        <f t="shared" si="0"/>
        <v>0</v>
      </c>
    </row>
    <row r="21" spans="1:6" ht="48" x14ac:dyDescent="0.2">
      <c r="A21" s="959" t="s">
        <v>4</v>
      </c>
      <c r="B21" s="980" t="s">
        <v>1523</v>
      </c>
      <c r="C21" s="981" t="s">
        <v>58</v>
      </c>
      <c r="D21" s="979">
        <v>14</v>
      </c>
      <c r="E21" s="1992"/>
      <c r="F21" s="1372">
        <f t="shared" si="0"/>
        <v>0</v>
      </c>
    </row>
    <row r="22" spans="1:6" ht="24" x14ac:dyDescent="0.2">
      <c r="A22" s="959" t="s">
        <v>5</v>
      </c>
      <c r="B22" s="980" t="s">
        <v>1524</v>
      </c>
      <c r="C22" s="981" t="s">
        <v>58</v>
      </c>
      <c r="D22" s="979">
        <v>4</v>
      </c>
      <c r="E22" s="1992"/>
      <c r="F22" s="1372">
        <f t="shared" si="0"/>
        <v>0</v>
      </c>
    </row>
    <row r="23" spans="1:6" ht="36" x14ac:dyDescent="0.2">
      <c r="A23" s="959" t="s">
        <v>6</v>
      </c>
      <c r="B23" s="980" t="s">
        <v>1525</v>
      </c>
      <c r="C23" s="981" t="s">
        <v>58</v>
      </c>
      <c r="D23" s="979">
        <v>10</v>
      </c>
      <c r="E23" s="1992"/>
      <c r="F23" s="1372">
        <f t="shared" si="0"/>
        <v>0</v>
      </c>
    </row>
    <row r="24" spans="1:6" ht="36" x14ac:dyDescent="0.2">
      <c r="A24" s="959" t="s">
        <v>7</v>
      </c>
      <c r="B24" s="980" t="s">
        <v>1526</v>
      </c>
      <c r="C24" s="981" t="s">
        <v>58</v>
      </c>
      <c r="D24" s="979">
        <v>10</v>
      </c>
      <c r="E24" s="1992"/>
      <c r="F24" s="1372">
        <f t="shared" si="0"/>
        <v>0</v>
      </c>
    </row>
    <row r="25" spans="1:6" ht="24" x14ac:dyDescent="0.2">
      <c r="A25" s="959" t="s">
        <v>1274</v>
      </c>
      <c r="B25" s="980" t="s">
        <v>1527</v>
      </c>
      <c r="C25" s="981" t="s">
        <v>58</v>
      </c>
      <c r="D25" s="979">
        <v>10</v>
      </c>
      <c r="E25" s="1992"/>
      <c r="F25" s="1372">
        <f t="shared" si="0"/>
        <v>0</v>
      </c>
    </row>
    <row r="26" spans="1:6" ht="24" x14ac:dyDescent="0.2">
      <c r="A26" s="959" t="s">
        <v>1272</v>
      </c>
      <c r="B26" s="980" t="s">
        <v>1528</v>
      </c>
      <c r="C26" s="981" t="s">
        <v>58</v>
      </c>
      <c r="D26" s="979">
        <v>1</v>
      </c>
      <c r="E26" s="1992"/>
      <c r="F26" s="1372">
        <f t="shared" si="0"/>
        <v>0</v>
      </c>
    </row>
    <row r="27" spans="1:6" ht="14.25" x14ac:dyDescent="0.2">
      <c r="A27" s="967" t="s">
        <v>1288</v>
      </c>
      <c r="B27" s="964" t="s">
        <v>1529</v>
      </c>
      <c r="C27" s="969" t="s">
        <v>58</v>
      </c>
      <c r="D27" s="979">
        <v>4</v>
      </c>
      <c r="E27" s="1993"/>
      <c r="F27" s="1372">
        <f t="shared" si="0"/>
        <v>0</v>
      </c>
    </row>
    <row r="28" spans="1:6" ht="24.75" thickBot="1" x14ac:dyDescent="0.25">
      <c r="A28" s="959" t="s">
        <v>1270</v>
      </c>
      <c r="B28" s="980" t="s">
        <v>1530</v>
      </c>
      <c r="C28" s="981" t="s">
        <v>626</v>
      </c>
      <c r="D28" s="979">
        <v>3</v>
      </c>
      <c r="E28" s="1992"/>
      <c r="F28" s="1372">
        <f t="shared" si="0"/>
        <v>0</v>
      </c>
    </row>
    <row r="29" spans="1:6" ht="16.5" thickTop="1" thickBot="1" x14ac:dyDescent="0.25">
      <c r="A29" s="972"/>
      <c r="B29" s="986" t="s">
        <v>1531</v>
      </c>
      <c r="C29" s="974"/>
      <c r="D29" s="975"/>
      <c r="E29" s="1994"/>
      <c r="F29" s="1508">
        <f>ROUND(SUM(F18:F28),2)</f>
        <v>0</v>
      </c>
    </row>
    <row r="30" spans="1:6" ht="15.75" thickTop="1" x14ac:dyDescent="0.2"/>
    <row r="31" spans="1:6" ht="14.25" x14ac:dyDescent="0.2">
      <c r="A31" s="1704"/>
      <c r="B31" s="950"/>
      <c r="C31" s="951"/>
      <c r="D31" s="952"/>
      <c r="E31" s="1989"/>
      <c r="F31" s="952"/>
    </row>
    <row r="32" spans="1:6" ht="14.25" x14ac:dyDescent="0.2">
      <c r="A32" s="1705" t="s">
        <v>1543</v>
      </c>
      <c r="B32" s="978"/>
      <c r="C32" s="955"/>
      <c r="D32" s="956"/>
      <c r="E32" s="1990"/>
      <c r="F32" s="956"/>
    </row>
    <row r="33" spans="1:6" ht="14.25" x14ac:dyDescent="0.2">
      <c r="A33" s="958"/>
      <c r="B33" s="954"/>
      <c r="C33" s="957"/>
      <c r="D33" s="956"/>
      <c r="E33" s="1990"/>
      <c r="F33" s="956"/>
    </row>
    <row r="34" spans="1:6" ht="24" x14ac:dyDescent="0.2">
      <c r="A34" s="959" t="s">
        <v>26</v>
      </c>
      <c r="B34" s="960" t="s">
        <v>0</v>
      </c>
      <c r="C34" s="961" t="s">
        <v>28</v>
      </c>
      <c r="D34" s="962" t="s">
        <v>29</v>
      </c>
      <c r="E34" s="1991" t="s">
        <v>30</v>
      </c>
      <c r="F34" s="961" t="s">
        <v>1501</v>
      </c>
    </row>
    <row r="35" spans="1:6" ht="24" x14ac:dyDescent="0.2">
      <c r="A35" s="963" t="s">
        <v>1232</v>
      </c>
      <c r="B35" s="964" t="s">
        <v>1532</v>
      </c>
      <c r="C35" s="965" t="s">
        <v>58</v>
      </c>
      <c r="D35" s="979">
        <v>2</v>
      </c>
      <c r="E35" s="1992"/>
      <c r="F35" s="1372">
        <f t="shared" ref="F35:F47" si="1">ROUND(E35*D35,2)</f>
        <v>0</v>
      </c>
    </row>
    <row r="36" spans="1:6" ht="24" x14ac:dyDescent="0.2">
      <c r="A36" s="967" t="s">
        <v>1234</v>
      </c>
      <c r="B36" s="964" t="s">
        <v>1533</v>
      </c>
      <c r="C36" s="969" t="s">
        <v>58</v>
      </c>
      <c r="D36" s="979">
        <v>2</v>
      </c>
      <c r="E36" s="1993"/>
      <c r="F36" s="1372">
        <f t="shared" si="1"/>
        <v>0</v>
      </c>
    </row>
    <row r="37" spans="1:6" ht="36" x14ac:dyDescent="0.2">
      <c r="A37" s="959" t="s">
        <v>1236</v>
      </c>
      <c r="B37" s="964" t="s">
        <v>1534</v>
      </c>
      <c r="C37" s="969" t="s">
        <v>58</v>
      </c>
      <c r="D37" s="979">
        <v>1</v>
      </c>
      <c r="E37" s="1992"/>
      <c r="F37" s="1372">
        <f t="shared" si="1"/>
        <v>0</v>
      </c>
    </row>
    <row r="38" spans="1:6" ht="36" x14ac:dyDescent="0.2">
      <c r="A38" s="959" t="s">
        <v>4</v>
      </c>
      <c r="B38" s="964" t="s">
        <v>1535</v>
      </c>
      <c r="C38" s="981" t="s">
        <v>58</v>
      </c>
      <c r="D38" s="979">
        <v>1</v>
      </c>
      <c r="E38" s="1992"/>
      <c r="F38" s="1372">
        <f t="shared" si="1"/>
        <v>0</v>
      </c>
    </row>
    <row r="39" spans="1:6" ht="24" x14ac:dyDescent="0.2">
      <c r="A39" s="959" t="s">
        <v>5</v>
      </c>
      <c r="B39" s="964" t="s">
        <v>1536</v>
      </c>
      <c r="C39" s="981" t="s">
        <v>58</v>
      </c>
      <c r="D39" s="979">
        <v>1</v>
      </c>
      <c r="E39" s="1992"/>
      <c r="F39" s="1372">
        <f t="shared" si="1"/>
        <v>0</v>
      </c>
    </row>
    <row r="40" spans="1:6" ht="36" x14ac:dyDescent="0.2">
      <c r="A40" s="959" t="s">
        <v>6</v>
      </c>
      <c r="B40" s="980" t="s">
        <v>1537</v>
      </c>
      <c r="C40" s="981" t="s">
        <v>58</v>
      </c>
      <c r="D40" s="979">
        <v>3</v>
      </c>
      <c r="E40" s="1992"/>
      <c r="F40" s="1372">
        <f t="shared" si="1"/>
        <v>0</v>
      </c>
    </row>
    <row r="41" spans="1:6" ht="24" x14ac:dyDescent="0.2">
      <c r="A41" s="959" t="s">
        <v>7</v>
      </c>
      <c r="B41" s="980" t="s">
        <v>1624</v>
      </c>
      <c r="C41" s="981" t="s">
        <v>58</v>
      </c>
      <c r="D41" s="979">
        <v>2</v>
      </c>
      <c r="E41" s="1992"/>
      <c r="F41" s="1372">
        <f t="shared" si="1"/>
        <v>0</v>
      </c>
    </row>
    <row r="42" spans="1:6" ht="24" x14ac:dyDescent="0.2">
      <c r="A42" s="959" t="s">
        <v>1274</v>
      </c>
      <c r="B42" s="980" t="s">
        <v>1625</v>
      </c>
      <c r="C42" s="981" t="s">
        <v>58</v>
      </c>
      <c r="D42" s="979">
        <v>1</v>
      </c>
      <c r="E42" s="1992"/>
      <c r="F42" s="1372">
        <f t="shared" si="1"/>
        <v>0</v>
      </c>
    </row>
    <row r="43" spans="1:6" ht="24" x14ac:dyDescent="0.2">
      <c r="A43" s="959" t="s">
        <v>1272</v>
      </c>
      <c r="B43" s="980" t="s">
        <v>1626</v>
      </c>
      <c r="C43" s="981" t="s">
        <v>58</v>
      </c>
      <c r="D43" s="979">
        <v>1</v>
      </c>
      <c r="E43" s="1992"/>
      <c r="F43" s="1372">
        <f t="shared" si="1"/>
        <v>0</v>
      </c>
    </row>
    <row r="44" spans="1:6" ht="36" x14ac:dyDescent="0.2">
      <c r="A44" s="959" t="s">
        <v>1288</v>
      </c>
      <c r="B44" s="980" t="s">
        <v>1526</v>
      </c>
      <c r="C44" s="981" t="s">
        <v>58</v>
      </c>
      <c r="D44" s="979">
        <v>2</v>
      </c>
      <c r="E44" s="1992"/>
      <c r="F44" s="1372">
        <f t="shared" si="1"/>
        <v>0</v>
      </c>
    </row>
    <row r="45" spans="1:6" ht="24" x14ac:dyDescent="0.2">
      <c r="A45" s="959" t="s">
        <v>1270</v>
      </c>
      <c r="B45" s="980" t="s">
        <v>1538</v>
      </c>
      <c r="C45" s="981" t="s">
        <v>626</v>
      </c>
      <c r="D45" s="979">
        <v>2</v>
      </c>
      <c r="E45" s="1992"/>
      <c r="F45" s="1372">
        <f t="shared" si="1"/>
        <v>0</v>
      </c>
    </row>
    <row r="46" spans="1:6" ht="24" x14ac:dyDescent="0.2">
      <c r="A46" s="959" t="s">
        <v>1287</v>
      </c>
      <c r="B46" s="980" t="s">
        <v>1539</v>
      </c>
      <c r="C46" s="981" t="s">
        <v>58</v>
      </c>
      <c r="D46" s="979">
        <v>3</v>
      </c>
      <c r="E46" s="1992"/>
      <c r="F46" s="1372">
        <f t="shared" si="1"/>
        <v>0</v>
      </c>
    </row>
    <row r="47" spans="1:6" ht="24.75" thickBot="1" x14ac:dyDescent="0.25">
      <c r="A47" s="967" t="s">
        <v>1286</v>
      </c>
      <c r="B47" s="964" t="s">
        <v>1540</v>
      </c>
      <c r="C47" s="969" t="s">
        <v>58</v>
      </c>
      <c r="D47" s="979">
        <v>1</v>
      </c>
      <c r="E47" s="1993"/>
      <c r="F47" s="1372">
        <f t="shared" si="1"/>
        <v>0</v>
      </c>
    </row>
    <row r="48" spans="1:6" ht="16.5" thickTop="1" thickBot="1" x14ac:dyDescent="0.25">
      <c r="A48" s="988"/>
      <c r="B48" s="989" t="s">
        <v>1531</v>
      </c>
      <c r="C48" s="974"/>
      <c r="D48" s="975"/>
      <c r="E48" s="1994"/>
      <c r="F48" s="1508">
        <f>ROUND(SUM(F35:F47),2)</f>
        <v>0</v>
      </c>
    </row>
    <row r="49" spans="1:6" ht="15.75" thickTop="1" x14ac:dyDescent="0.2"/>
    <row r="50" spans="1:6" ht="14.25" x14ac:dyDescent="0.2">
      <c r="A50" s="1704"/>
      <c r="B50" s="950"/>
      <c r="C50" s="951"/>
      <c r="D50" s="952"/>
      <c r="E50" s="1989"/>
      <c r="F50" s="952"/>
    </row>
    <row r="51" spans="1:6" ht="14.25" x14ac:dyDescent="0.2">
      <c r="A51" s="1705" t="s">
        <v>1544</v>
      </c>
      <c r="B51" s="978"/>
      <c r="C51" s="955"/>
      <c r="D51" s="956"/>
      <c r="E51" s="1990"/>
      <c r="F51" s="956"/>
    </row>
    <row r="52" spans="1:6" ht="14.25" x14ac:dyDescent="0.2">
      <c r="A52" s="958"/>
      <c r="B52" s="954"/>
      <c r="C52" s="957"/>
      <c r="D52" s="956"/>
      <c r="E52" s="1990"/>
      <c r="F52" s="956"/>
    </row>
    <row r="53" spans="1:6" ht="24" x14ac:dyDescent="0.2">
      <c r="A53" s="959" t="s">
        <v>26</v>
      </c>
      <c r="B53" s="960" t="s">
        <v>0</v>
      </c>
      <c r="C53" s="961" t="s">
        <v>28</v>
      </c>
      <c r="D53" s="962" t="s">
        <v>29</v>
      </c>
      <c r="E53" s="1991" t="s">
        <v>30</v>
      </c>
      <c r="F53" s="961" t="s">
        <v>1501</v>
      </c>
    </row>
    <row r="54" spans="1:6" ht="24" x14ac:dyDescent="0.2">
      <c r="A54" s="963" t="s">
        <v>1232</v>
      </c>
      <c r="B54" s="964" t="s">
        <v>1627</v>
      </c>
      <c r="C54" s="965" t="s">
        <v>58</v>
      </c>
      <c r="D54" s="979">
        <v>2</v>
      </c>
      <c r="E54" s="1992"/>
      <c r="F54" s="1372">
        <f>ROUND(E54*D54,2)</f>
        <v>0</v>
      </c>
    </row>
    <row r="55" spans="1:6" ht="24" x14ac:dyDescent="0.2">
      <c r="A55" s="967" t="s">
        <v>1234</v>
      </c>
      <c r="B55" s="964" t="s">
        <v>1541</v>
      </c>
      <c r="C55" s="969" t="s">
        <v>58</v>
      </c>
      <c r="D55" s="979">
        <v>2</v>
      </c>
      <c r="E55" s="1993"/>
      <c r="F55" s="1372">
        <f>ROUND(E55*D55,2)</f>
        <v>0</v>
      </c>
    </row>
    <row r="56" spans="1:6" ht="24.75" thickBot="1" x14ac:dyDescent="0.25">
      <c r="A56" s="959" t="s">
        <v>1236</v>
      </c>
      <c r="B56" s="964" t="s">
        <v>1628</v>
      </c>
      <c r="C56" s="969" t="s">
        <v>58</v>
      </c>
      <c r="D56" s="979">
        <v>1</v>
      </c>
      <c r="E56" s="1992"/>
      <c r="F56" s="1372">
        <f>ROUND(E56*D56,2)</f>
        <v>0</v>
      </c>
    </row>
    <row r="57" spans="1:6" ht="16.5" thickTop="1" thickBot="1" x14ac:dyDescent="0.25">
      <c r="A57" s="988"/>
      <c r="B57" s="989" t="s">
        <v>1531</v>
      </c>
      <c r="C57" s="974"/>
      <c r="D57" s="975"/>
      <c r="E57" s="1994"/>
      <c r="F57" s="1508">
        <f>ROUND(SUM(F54:F56),2)</f>
        <v>0</v>
      </c>
    </row>
    <row r="58" spans="1:6" ht="15.75" thickTop="1" x14ac:dyDescent="0.2">
      <c r="E58" s="1995"/>
      <c r="F58" s="966"/>
    </row>
    <row r="59" spans="1:6" x14ac:dyDescent="0.2">
      <c r="E59" s="1995"/>
      <c r="F59" s="966"/>
    </row>
    <row r="60" spans="1:6" x14ac:dyDescent="0.2">
      <c r="E60" s="1995"/>
      <c r="F60" s="966"/>
    </row>
    <row r="61" spans="1:6" x14ac:dyDescent="0.2">
      <c r="E61" s="1995"/>
      <c r="F61" s="966"/>
    </row>
  </sheetData>
  <sheetProtection algorithmName="SHA-512" hashValue="3msNUGibpR8rcsPtJe552G1wF0re8zUKl6hob/jiRW/Pu9AG3qA+GV197eqFelmfzEI52ietnpywhPBPWDmsqA==" saltValue="rZadpKRc+Qpi45gu9SvtsA==" spinCount="100000" sheet="1" objects="1" scenarios="1"/>
  <pageMargins left="0.7" right="0.7" top="0.75" bottom="0.75" header="0.3" footer="0.3"/>
  <pageSetup paperSize="9" orientation="portrait" verticalDpi="0" r:id="rId1"/>
  <rowBreaks count="1" manualBreakCount="1">
    <brk id="31"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L699"/>
  <sheetViews>
    <sheetView view="pageBreakPreview" zoomScaleNormal="55" zoomScaleSheetLayoutView="100" workbookViewId="0"/>
  </sheetViews>
  <sheetFormatPr defaultColWidth="9.140625" defaultRowHeight="15" x14ac:dyDescent="0.25"/>
  <cols>
    <col min="1" max="1" width="4.85546875" style="11" customWidth="1"/>
    <col min="2" max="2" width="4.5703125" style="11" bestFit="1" customWidth="1"/>
    <col min="3" max="3" width="39.28515625" style="11" customWidth="1"/>
    <col min="4" max="4" width="5.5703125" style="11" customWidth="1"/>
    <col min="5" max="5" width="10.5703125" style="11" bestFit="1" customWidth="1"/>
    <col min="6" max="6" width="11.28515625" style="1740" customWidth="1"/>
    <col min="7" max="7" width="15" style="11" customWidth="1"/>
    <col min="8" max="9" width="10.7109375" style="11" bestFit="1" customWidth="1"/>
    <col min="10" max="16384" width="9.140625" style="11"/>
  </cols>
  <sheetData>
    <row r="1" spans="1:12" x14ac:dyDescent="0.25">
      <c r="A1" s="6"/>
      <c r="B1" s="6"/>
      <c r="C1" s="7"/>
      <c r="D1" s="8"/>
      <c r="E1" s="9"/>
      <c r="F1" s="1725"/>
      <c r="G1" s="10"/>
    </row>
    <row r="2" spans="1:12" ht="18" x14ac:dyDescent="0.25">
      <c r="A2" s="1647" t="s">
        <v>1613</v>
      </c>
      <c r="B2" s="1648"/>
      <c r="C2" s="1648"/>
      <c r="D2" s="1648"/>
      <c r="E2" s="1648"/>
      <c r="F2" s="1726"/>
      <c r="G2" s="1648"/>
    </row>
    <row r="3" spans="1:12" ht="18" x14ac:dyDescent="0.25">
      <c r="A3" s="1647" t="s">
        <v>1614</v>
      </c>
      <c r="B3" s="1648"/>
      <c r="C3" s="1648"/>
      <c r="D3" s="1648"/>
      <c r="E3" s="1648"/>
      <c r="F3" s="1726"/>
      <c r="G3" s="1648"/>
    </row>
    <row r="4" spans="1:12" x14ac:dyDescent="0.25">
      <c r="A4" s="12"/>
      <c r="B4" s="13"/>
      <c r="C4" s="14"/>
      <c r="D4" s="15"/>
      <c r="E4" s="16"/>
      <c r="F4" s="1727"/>
      <c r="G4" s="13"/>
    </row>
    <row r="5" spans="1:12" x14ac:dyDescent="0.25">
      <c r="A5" s="17"/>
      <c r="B5" s="18" t="s">
        <v>20</v>
      </c>
      <c r="C5" s="19" t="s">
        <v>21</v>
      </c>
      <c r="D5" s="20"/>
      <c r="E5" s="21"/>
      <c r="F5" s="1728"/>
      <c r="G5" s="22"/>
      <c r="I5" s="23"/>
      <c r="J5" s="24"/>
    </row>
    <row r="6" spans="1:12" x14ac:dyDescent="0.25">
      <c r="A6" s="17"/>
      <c r="B6" s="18"/>
      <c r="C6" s="19"/>
      <c r="D6" s="20"/>
      <c r="E6" s="21"/>
      <c r="F6" s="1728"/>
      <c r="G6" s="1316"/>
      <c r="I6" s="23"/>
      <c r="J6" s="24"/>
    </row>
    <row r="7" spans="1:12" x14ac:dyDescent="0.25">
      <c r="A7" s="17"/>
      <c r="B7" s="25" t="s">
        <v>22</v>
      </c>
      <c r="C7" s="26" t="s">
        <v>23</v>
      </c>
      <c r="D7" s="27"/>
      <c r="E7" s="28"/>
      <c r="F7" s="1729"/>
      <c r="G7" s="1321">
        <f>ROUND(G68,2)</f>
        <v>0</v>
      </c>
      <c r="I7" s="24"/>
      <c r="J7" s="24"/>
    </row>
    <row r="8" spans="1:12" x14ac:dyDescent="0.25">
      <c r="A8" s="17"/>
      <c r="B8" s="25" t="s">
        <v>24</v>
      </c>
      <c r="C8" s="26" t="s">
        <v>60</v>
      </c>
      <c r="D8" s="27"/>
      <c r="E8" s="28"/>
      <c r="F8" s="1729"/>
      <c r="G8" s="1321">
        <f>ROUND(G82,2)</f>
        <v>0</v>
      </c>
      <c r="I8" s="24"/>
      <c r="J8" s="24"/>
    </row>
    <row r="9" spans="1:12" x14ac:dyDescent="0.25">
      <c r="A9" s="17"/>
      <c r="B9" s="18"/>
      <c r="C9" s="29"/>
      <c r="D9" s="30"/>
      <c r="E9" s="31"/>
      <c r="F9" s="1730"/>
      <c r="G9" s="1322"/>
      <c r="I9" s="24"/>
      <c r="J9" s="24"/>
    </row>
    <row r="10" spans="1:12" ht="15.75" customHeight="1" thickBot="1" x14ac:dyDescent="0.3">
      <c r="A10" s="32"/>
      <c r="B10" s="33"/>
      <c r="C10" s="34" t="s">
        <v>25</v>
      </c>
      <c r="D10" s="35"/>
      <c r="E10" s="36"/>
      <c r="F10" s="1731"/>
      <c r="G10" s="1323">
        <f>ROUND(SUM(G7:G8),2)</f>
        <v>0</v>
      </c>
      <c r="K10" s="38"/>
      <c r="L10" s="24"/>
    </row>
    <row r="11" spans="1:12" ht="15.75" thickTop="1" x14ac:dyDescent="0.25">
      <c r="A11" s="39"/>
      <c r="B11" s="40"/>
      <c r="C11" s="41"/>
      <c r="D11" s="42"/>
      <c r="E11" s="43"/>
      <c r="F11" s="1732"/>
      <c r="G11" s="44"/>
      <c r="I11" s="24"/>
      <c r="J11" s="24"/>
    </row>
    <row r="12" spans="1:12" x14ac:dyDescent="0.25">
      <c r="A12" s="39"/>
      <c r="B12" s="40"/>
      <c r="C12" s="41"/>
      <c r="D12" s="42"/>
      <c r="E12" s="43"/>
      <c r="F12" s="1732"/>
      <c r="G12" s="44"/>
      <c r="I12" s="24"/>
      <c r="J12" s="24"/>
    </row>
    <row r="13" spans="1:12" x14ac:dyDescent="0.25">
      <c r="A13" s="45"/>
      <c r="B13" s="10"/>
      <c r="D13" s="46"/>
      <c r="E13" s="47"/>
      <c r="F13" s="1733"/>
      <c r="G13" s="6"/>
    </row>
    <row r="14" spans="1:12" x14ac:dyDescent="0.25">
      <c r="A14" s="45"/>
      <c r="B14" s="10"/>
      <c r="D14" s="46"/>
      <c r="E14" s="47"/>
      <c r="F14" s="1733"/>
      <c r="G14" s="6"/>
    </row>
    <row r="15" spans="1:12" x14ac:dyDescent="0.25">
      <c r="A15" s="45"/>
      <c r="B15" s="10"/>
      <c r="D15" s="46"/>
      <c r="E15" s="47"/>
      <c r="F15" s="1733"/>
      <c r="G15" s="6"/>
    </row>
    <row r="16" spans="1:12" x14ac:dyDescent="0.25">
      <c r="A16" s="45"/>
      <c r="B16" s="10"/>
      <c r="D16" s="46"/>
      <c r="E16" s="47"/>
      <c r="F16" s="1733"/>
      <c r="G16" s="6"/>
    </row>
    <row r="17" spans="1:7" x14ac:dyDescent="0.25">
      <c r="A17" s="45"/>
      <c r="B17" s="10"/>
      <c r="D17" s="46"/>
      <c r="E17" s="47"/>
      <c r="F17" s="1733"/>
      <c r="G17" s="6"/>
    </row>
    <row r="18" spans="1:7" x14ac:dyDescent="0.25">
      <c r="A18" s="45"/>
      <c r="B18" s="10"/>
      <c r="D18" s="46"/>
      <c r="E18" s="47"/>
      <c r="F18" s="1733"/>
      <c r="G18" s="6"/>
    </row>
    <row r="19" spans="1:7" x14ac:dyDescent="0.25">
      <c r="A19" s="45"/>
      <c r="B19" s="10"/>
      <c r="D19" s="46"/>
      <c r="E19" s="47"/>
      <c r="F19" s="1733"/>
      <c r="G19" s="6"/>
    </row>
    <row r="20" spans="1:7" x14ac:dyDescent="0.25">
      <c r="A20" s="45"/>
      <c r="B20" s="10"/>
      <c r="D20" s="46"/>
      <c r="E20" s="47"/>
      <c r="F20" s="1733"/>
      <c r="G20" s="6"/>
    </row>
    <row r="21" spans="1:7" x14ac:dyDescent="0.25">
      <c r="A21" s="45"/>
      <c r="B21" s="10"/>
      <c r="D21" s="46"/>
      <c r="E21" s="47"/>
      <c r="F21" s="1733"/>
      <c r="G21" s="6"/>
    </row>
    <row r="22" spans="1:7" x14ac:dyDescent="0.25">
      <c r="A22" s="45"/>
      <c r="B22" s="10"/>
      <c r="D22" s="46"/>
      <c r="E22" s="47"/>
      <c r="F22" s="1733"/>
      <c r="G22" s="6"/>
    </row>
    <row r="23" spans="1:7" x14ac:dyDescent="0.25">
      <c r="A23" s="45"/>
      <c r="B23" s="10"/>
      <c r="D23" s="46"/>
      <c r="E23" s="47"/>
      <c r="F23" s="1733"/>
      <c r="G23" s="6"/>
    </row>
    <row r="24" spans="1:7" x14ac:dyDescent="0.25">
      <c r="A24" s="45"/>
      <c r="B24" s="10"/>
      <c r="D24" s="46"/>
      <c r="E24" s="47"/>
      <c r="F24" s="1733"/>
      <c r="G24" s="6"/>
    </row>
    <row r="25" spans="1:7" x14ac:dyDescent="0.25">
      <c r="A25" s="45"/>
      <c r="B25" s="10"/>
      <c r="D25" s="46"/>
      <c r="E25" s="47"/>
      <c r="F25" s="1733"/>
      <c r="G25" s="6"/>
    </row>
    <row r="26" spans="1:7" x14ac:dyDescent="0.25">
      <c r="A26" s="45"/>
      <c r="B26" s="10"/>
      <c r="D26" s="46"/>
      <c r="E26" s="47"/>
      <c r="F26" s="1733"/>
      <c r="G26" s="6"/>
    </row>
    <row r="27" spans="1:7" x14ac:dyDescent="0.25">
      <c r="A27" s="45"/>
      <c r="B27" s="10"/>
      <c r="D27" s="46"/>
      <c r="E27" s="47"/>
      <c r="F27" s="1733"/>
      <c r="G27" s="6"/>
    </row>
    <row r="28" spans="1:7" x14ac:dyDescent="0.25">
      <c r="A28" s="45"/>
      <c r="B28" s="10"/>
      <c r="D28" s="46"/>
      <c r="E28" s="47"/>
      <c r="F28" s="1733"/>
      <c r="G28" s="6"/>
    </row>
    <row r="29" spans="1:7" x14ac:dyDescent="0.25">
      <c r="A29" s="45"/>
      <c r="B29" s="10"/>
      <c r="D29" s="46"/>
      <c r="E29" s="47"/>
      <c r="F29" s="1733"/>
      <c r="G29" s="6"/>
    </row>
    <row r="30" spans="1:7" x14ac:dyDescent="0.25">
      <c r="A30" s="45"/>
      <c r="B30" s="10"/>
      <c r="D30" s="46"/>
      <c r="E30" s="47"/>
      <c r="F30" s="1733"/>
      <c r="G30" s="6"/>
    </row>
    <row r="31" spans="1:7" x14ac:dyDescent="0.25">
      <c r="A31" s="45"/>
      <c r="B31" s="10"/>
      <c r="D31" s="46"/>
      <c r="E31" s="47"/>
      <c r="F31" s="1733"/>
      <c r="G31" s="6"/>
    </row>
    <row r="32" spans="1:7" x14ac:dyDescent="0.25">
      <c r="A32" s="45"/>
      <c r="B32" s="10"/>
      <c r="D32" s="46"/>
      <c r="E32" s="47"/>
      <c r="F32" s="1733"/>
      <c r="G32" s="6"/>
    </row>
    <row r="33" spans="1:7" x14ac:dyDescent="0.25">
      <c r="A33" s="45"/>
      <c r="B33" s="10"/>
      <c r="D33" s="46"/>
      <c r="E33" s="47"/>
      <c r="F33" s="1733"/>
      <c r="G33" s="6"/>
    </row>
    <row r="34" spans="1:7" x14ac:dyDescent="0.25">
      <c r="A34" s="45"/>
      <c r="B34" s="10"/>
      <c r="D34" s="46"/>
      <c r="E34" s="47"/>
      <c r="F34" s="1733"/>
      <c r="G34" s="6"/>
    </row>
    <row r="35" spans="1:7" x14ac:dyDescent="0.25">
      <c r="A35" s="45"/>
      <c r="B35" s="10"/>
      <c r="D35" s="46"/>
      <c r="E35" s="47"/>
      <c r="F35" s="1733"/>
      <c r="G35" s="6"/>
    </row>
    <row r="36" spans="1:7" x14ac:dyDescent="0.25">
      <c r="A36" s="45"/>
      <c r="B36" s="10"/>
      <c r="D36" s="46"/>
      <c r="E36" s="47"/>
      <c r="F36" s="1733"/>
      <c r="G36" s="6"/>
    </row>
    <row r="37" spans="1:7" x14ac:dyDescent="0.25">
      <c r="A37" s="45"/>
      <c r="B37" s="10"/>
      <c r="D37" s="46"/>
      <c r="E37" s="47"/>
      <c r="F37" s="1733"/>
      <c r="G37" s="6"/>
    </row>
    <row r="38" spans="1:7" x14ac:dyDescent="0.25">
      <c r="A38" s="45"/>
      <c r="B38" s="10"/>
      <c r="D38" s="46"/>
      <c r="E38" s="47"/>
      <c r="F38" s="1733"/>
      <c r="G38" s="6"/>
    </row>
    <row r="39" spans="1:7" x14ac:dyDescent="0.25">
      <c r="A39" s="45"/>
      <c r="B39" s="10"/>
      <c r="D39" s="46"/>
      <c r="E39" s="47"/>
      <c r="F39" s="1733"/>
      <c r="G39" s="6"/>
    </row>
    <row r="40" spans="1:7" x14ac:dyDescent="0.25">
      <c r="A40" s="45"/>
      <c r="B40" s="10"/>
      <c r="D40" s="46"/>
      <c r="E40" s="47"/>
      <c r="F40" s="1733"/>
      <c r="G40" s="6"/>
    </row>
    <row r="41" spans="1:7" x14ac:dyDescent="0.25">
      <c r="A41" s="45"/>
      <c r="B41" s="10"/>
      <c r="D41" s="46"/>
      <c r="E41" s="47"/>
      <c r="F41" s="1733"/>
      <c r="G41" s="6"/>
    </row>
    <row r="42" spans="1:7" x14ac:dyDescent="0.25">
      <c r="A42" s="45"/>
      <c r="B42" s="10"/>
      <c r="D42" s="46"/>
      <c r="E42" s="47"/>
      <c r="F42" s="1733"/>
      <c r="G42" s="6"/>
    </row>
    <row r="43" spans="1:7" x14ac:dyDescent="0.25">
      <c r="A43" s="45"/>
      <c r="B43" s="10"/>
      <c r="D43" s="46"/>
      <c r="E43" s="47"/>
      <c r="F43" s="1733"/>
      <c r="G43" s="6"/>
    </row>
    <row r="44" spans="1:7" x14ac:dyDescent="0.25">
      <c r="A44" s="45"/>
      <c r="B44" s="10"/>
      <c r="D44" s="46"/>
      <c r="E44" s="47"/>
      <c r="F44" s="1733"/>
      <c r="G44" s="6"/>
    </row>
    <row r="45" spans="1:7" x14ac:dyDescent="0.25">
      <c r="A45" s="45"/>
      <c r="B45" s="10"/>
      <c r="D45" s="46"/>
      <c r="E45" s="47"/>
      <c r="F45" s="1733"/>
      <c r="G45" s="6"/>
    </row>
    <row r="46" spans="1:7" x14ac:dyDescent="0.25">
      <c r="A46" s="45"/>
      <c r="B46" s="10"/>
      <c r="D46" s="46"/>
      <c r="E46" s="47"/>
      <c r="F46" s="1733"/>
      <c r="G46" s="6"/>
    </row>
    <row r="47" spans="1:7" x14ac:dyDescent="0.25">
      <c r="A47" s="45"/>
      <c r="B47" s="10"/>
      <c r="D47" s="46"/>
      <c r="E47" s="47"/>
      <c r="F47" s="1733"/>
      <c r="G47" s="6"/>
    </row>
    <row r="48" spans="1:7" x14ac:dyDescent="0.25">
      <c r="A48" s="45"/>
      <c r="B48" s="10"/>
      <c r="D48" s="46"/>
      <c r="E48" s="47"/>
      <c r="F48" s="1733"/>
      <c r="G48" s="6"/>
    </row>
    <row r="49" spans="1:7" x14ac:dyDescent="0.25">
      <c r="A49" s="45"/>
      <c r="B49" s="10"/>
      <c r="D49" s="46"/>
      <c r="E49" s="47"/>
      <c r="F49" s="1733"/>
      <c r="G49" s="6"/>
    </row>
    <row r="50" spans="1:7" x14ac:dyDescent="0.25">
      <c r="A50" s="45"/>
      <c r="B50" s="10"/>
      <c r="D50" s="46"/>
      <c r="E50" s="47"/>
      <c r="F50" s="1733"/>
      <c r="G50" s="6"/>
    </row>
    <row r="51" spans="1:7" x14ac:dyDescent="0.25">
      <c r="A51" s="45"/>
      <c r="B51" s="10"/>
      <c r="D51" s="46"/>
      <c r="E51" s="47"/>
      <c r="F51" s="1733"/>
      <c r="G51" s="6"/>
    </row>
    <row r="52" spans="1:7" x14ac:dyDescent="0.25">
      <c r="A52" s="45"/>
      <c r="B52" s="10"/>
      <c r="D52" s="46"/>
      <c r="E52" s="47"/>
      <c r="F52" s="1733"/>
      <c r="G52" s="6"/>
    </row>
    <row r="53" spans="1:7" x14ac:dyDescent="0.25">
      <c r="A53" s="48" t="s">
        <v>62</v>
      </c>
      <c r="B53" s="10"/>
      <c r="D53" s="46"/>
      <c r="E53" s="47"/>
      <c r="F53" s="1733"/>
      <c r="G53" s="6"/>
    </row>
    <row r="54" spans="1:7" x14ac:dyDescent="0.25">
      <c r="A54" s="49"/>
      <c r="B54" s="50"/>
      <c r="C54" s="51" t="s">
        <v>63</v>
      </c>
      <c r="D54" s="52"/>
      <c r="E54" s="53"/>
      <c r="F54" s="1734"/>
      <c r="G54" s="50"/>
    </row>
    <row r="55" spans="1:7" x14ac:dyDescent="0.25">
      <c r="A55" s="45"/>
      <c r="B55" s="6"/>
      <c r="C55" s="48"/>
      <c r="D55" s="46"/>
      <c r="E55" s="47"/>
      <c r="F55" s="1733"/>
      <c r="G55" s="6"/>
    </row>
    <row r="56" spans="1:7" x14ac:dyDescent="0.25">
      <c r="A56" s="45"/>
      <c r="B56" s="18" t="s">
        <v>20</v>
      </c>
      <c r="C56" s="19" t="s">
        <v>21</v>
      </c>
      <c r="D56" s="46"/>
      <c r="E56" s="47"/>
      <c r="F56" s="1733"/>
      <c r="G56" s="6"/>
    </row>
    <row r="57" spans="1:7" x14ac:dyDescent="0.25">
      <c r="A57" s="45"/>
      <c r="B57" s="6"/>
      <c r="C57" s="6"/>
      <c r="D57" s="46"/>
      <c r="E57" s="47"/>
      <c r="F57" s="1733"/>
      <c r="G57" s="6"/>
    </row>
    <row r="58" spans="1:7" x14ac:dyDescent="0.25">
      <c r="A58" s="8"/>
      <c r="B58" s="54" t="s">
        <v>26</v>
      </c>
      <c r="C58" s="55" t="s">
        <v>27</v>
      </c>
      <c r="D58" s="54" t="s">
        <v>28</v>
      </c>
      <c r="E58" s="56" t="s">
        <v>29</v>
      </c>
      <c r="F58" s="1735" t="s">
        <v>30</v>
      </c>
      <c r="G58" s="57" t="s">
        <v>31</v>
      </c>
    </row>
    <row r="59" spans="1:7" x14ac:dyDescent="0.25">
      <c r="A59" s="8"/>
      <c r="B59" s="8"/>
      <c r="C59" s="58"/>
      <c r="D59" s="8"/>
      <c r="E59" s="9"/>
      <c r="F59" s="1736"/>
      <c r="G59" s="59"/>
    </row>
    <row r="60" spans="1:7" x14ac:dyDescent="0.25">
      <c r="A60" s="60"/>
      <c r="B60" s="61" t="s">
        <v>22</v>
      </c>
      <c r="C60" s="62" t="s">
        <v>23</v>
      </c>
      <c r="D60" s="63"/>
      <c r="E60" s="64"/>
      <c r="F60" s="1737"/>
      <c r="G60" s="64"/>
    </row>
    <row r="61" spans="1:7" ht="8.1" customHeight="1" x14ac:dyDescent="0.25">
      <c r="A61" s="60"/>
      <c r="B61" s="4"/>
      <c r="C61" s="5"/>
      <c r="D61" s="1"/>
      <c r="E61" s="2"/>
      <c r="F61" s="1742"/>
      <c r="G61" s="84">
        <f t="shared" ref="G61" si="0">ROUND(E61*F61,2)</f>
        <v>0</v>
      </c>
    </row>
    <row r="62" spans="1:7" ht="15.95" customHeight="1" x14ac:dyDescent="0.25">
      <c r="A62" s="60"/>
      <c r="B62" s="4" t="s">
        <v>32</v>
      </c>
      <c r="C62" s="5" t="s">
        <v>64</v>
      </c>
      <c r="D62" s="1" t="s">
        <v>65</v>
      </c>
      <c r="E62" s="2">
        <v>290</v>
      </c>
      <c r="F62" s="1742"/>
      <c r="G62" s="64">
        <f>ROUND(E62*F62,2)</f>
        <v>0</v>
      </c>
    </row>
    <row r="63" spans="1:7" ht="8.1" customHeight="1" x14ac:dyDescent="0.25">
      <c r="A63" s="60"/>
      <c r="B63" s="4"/>
      <c r="C63" s="5"/>
      <c r="D63" s="1"/>
      <c r="E63" s="2"/>
      <c r="F63" s="1742"/>
      <c r="G63" s="64"/>
    </row>
    <row r="64" spans="1:7" ht="24" x14ac:dyDescent="0.25">
      <c r="A64" s="60"/>
      <c r="B64" s="65" t="s">
        <v>35</v>
      </c>
      <c r="C64" s="85" t="s">
        <v>66</v>
      </c>
      <c r="D64" s="86" t="s">
        <v>39</v>
      </c>
      <c r="E64" s="64">
        <v>15</v>
      </c>
      <c r="F64" s="1737"/>
      <c r="G64" s="64">
        <f>ROUND(E64*F64,2)</f>
        <v>0</v>
      </c>
    </row>
    <row r="65" spans="1:7" ht="8.1" customHeight="1" x14ac:dyDescent="0.25">
      <c r="A65" s="60"/>
      <c r="B65" s="65"/>
      <c r="C65" s="4"/>
      <c r="D65" s="86"/>
      <c r="E65" s="87"/>
      <c r="F65" s="1743"/>
      <c r="G65" s="64"/>
    </row>
    <row r="66" spans="1:7" s="205" customFormat="1" ht="15.95" customHeight="1" x14ac:dyDescent="0.25">
      <c r="A66" s="60"/>
      <c r="B66" s="4" t="s">
        <v>37</v>
      </c>
      <c r="C66" s="5" t="s">
        <v>67</v>
      </c>
      <c r="D66" s="1" t="s">
        <v>39</v>
      </c>
      <c r="E66" s="2">
        <v>1</v>
      </c>
      <c r="F66" s="1742"/>
      <c r="G66" s="64">
        <f>ROUND(E66*F66,2)</f>
        <v>0</v>
      </c>
    </row>
    <row r="67" spans="1:7" ht="8.1" customHeight="1" x14ac:dyDescent="0.25">
      <c r="A67" s="60"/>
      <c r="B67" s="65"/>
      <c r="C67" s="77"/>
      <c r="D67" s="63"/>
      <c r="E67" s="64"/>
      <c r="F67" s="1737"/>
      <c r="G67" s="64"/>
    </row>
    <row r="68" spans="1:7" x14ac:dyDescent="0.25">
      <c r="A68" s="60"/>
      <c r="B68" s="63"/>
      <c r="C68" s="1182" t="s">
        <v>59</v>
      </c>
      <c r="D68" s="1183"/>
      <c r="E68" s="1184"/>
      <c r="F68" s="1739"/>
      <c r="G68" s="1184">
        <f>ROUND(SUM(G61:G66),2)</f>
        <v>0</v>
      </c>
    </row>
    <row r="69" spans="1:7" x14ac:dyDescent="0.25">
      <c r="A69" s="8"/>
      <c r="B69" s="8"/>
      <c r="C69" s="58"/>
      <c r="D69" s="8"/>
      <c r="E69" s="9"/>
      <c r="F69" s="1736"/>
      <c r="G69" s="1325"/>
    </row>
    <row r="70" spans="1:7" x14ac:dyDescent="0.25">
      <c r="A70" s="60"/>
      <c r="B70" s="61" t="s">
        <v>24</v>
      </c>
      <c r="C70" s="62" t="s">
        <v>60</v>
      </c>
      <c r="D70" s="63"/>
      <c r="E70" s="64"/>
      <c r="F70" s="1737"/>
      <c r="G70" s="64"/>
    </row>
    <row r="71" spans="1:7" s="72" customFormat="1" ht="8.1" customHeight="1" x14ac:dyDescent="0.25">
      <c r="A71" s="67"/>
      <c r="B71" s="68"/>
      <c r="C71" s="88"/>
      <c r="D71" s="89"/>
      <c r="E71" s="90"/>
      <c r="F71" s="1744"/>
      <c r="G71" s="90"/>
    </row>
    <row r="72" spans="1:7" s="72" customFormat="1" ht="60" x14ac:dyDescent="0.25">
      <c r="A72" s="67"/>
      <c r="B72" s="68" t="s">
        <v>32</v>
      </c>
      <c r="C72" s="91" t="s">
        <v>68</v>
      </c>
      <c r="D72" s="89" t="s">
        <v>69</v>
      </c>
      <c r="E72" s="64">
        <v>550</v>
      </c>
      <c r="F72" s="1744"/>
      <c r="G72" s="90">
        <f>ROUND(E72*F72,2)</f>
        <v>0</v>
      </c>
    </row>
    <row r="73" spans="1:7" s="72" customFormat="1" ht="8.1" customHeight="1" x14ac:dyDescent="0.25">
      <c r="A73" s="67"/>
      <c r="B73" s="68"/>
      <c r="C73" s="91"/>
      <c r="D73" s="89"/>
      <c r="E73" s="64"/>
      <c r="F73" s="1744"/>
      <c r="G73" s="90"/>
    </row>
    <row r="74" spans="1:7" s="72" customFormat="1" x14ac:dyDescent="0.25">
      <c r="A74" s="67"/>
      <c r="B74" s="68" t="s">
        <v>35</v>
      </c>
      <c r="C74" s="78" t="s">
        <v>70</v>
      </c>
      <c r="D74" s="89" t="s">
        <v>71</v>
      </c>
      <c r="E74" s="64">
        <v>720</v>
      </c>
      <c r="F74" s="1744"/>
      <c r="G74" s="90">
        <f>ROUND(E74*F74,2)</f>
        <v>0</v>
      </c>
    </row>
    <row r="75" spans="1:7" s="72" customFormat="1" ht="8.1" customHeight="1" x14ac:dyDescent="0.25">
      <c r="A75" s="67"/>
      <c r="B75" s="68"/>
      <c r="C75" s="91"/>
      <c r="D75" s="89"/>
      <c r="E75" s="90"/>
      <c r="F75" s="1744"/>
      <c r="G75" s="90"/>
    </row>
    <row r="76" spans="1:7" s="72" customFormat="1" ht="85.5" x14ac:dyDescent="0.25">
      <c r="A76" s="67"/>
      <c r="B76" s="68" t="s">
        <v>37</v>
      </c>
      <c r="C76" s="91" t="s">
        <v>72</v>
      </c>
      <c r="D76" s="89" t="s">
        <v>69</v>
      </c>
      <c r="E76" s="64">
        <v>1500</v>
      </c>
      <c r="F76" s="1744"/>
      <c r="G76" s="90">
        <f>ROUND(E76*F76,2)</f>
        <v>0</v>
      </c>
    </row>
    <row r="77" spans="1:7" s="72" customFormat="1" ht="8.1" customHeight="1" x14ac:dyDescent="0.25">
      <c r="A77" s="67"/>
      <c r="B77" s="68"/>
      <c r="C77" s="91"/>
      <c r="D77" s="89"/>
      <c r="E77" s="64"/>
      <c r="F77" s="1744"/>
      <c r="G77" s="90"/>
    </row>
    <row r="78" spans="1:7" s="72" customFormat="1" ht="36" x14ac:dyDescent="0.25">
      <c r="A78" s="67"/>
      <c r="B78" s="68" t="s">
        <v>40</v>
      </c>
      <c r="C78" s="4" t="s">
        <v>73</v>
      </c>
      <c r="D78" s="89" t="s">
        <v>69</v>
      </c>
      <c r="E78" s="64">
        <v>2300</v>
      </c>
      <c r="F78" s="1744"/>
      <c r="G78" s="90">
        <f>ROUND(E78*F78,2)</f>
        <v>0</v>
      </c>
    </row>
    <row r="79" spans="1:7" s="72" customFormat="1" ht="8.1" customHeight="1" x14ac:dyDescent="0.25">
      <c r="A79" s="67"/>
      <c r="B79" s="68"/>
      <c r="C79" s="78"/>
      <c r="D79" s="89"/>
      <c r="E79" s="90"/>
      <c r="F79" s="1744"/>
      <c r="G79" s="90"/>
    </row>
    <row r="80" spans="1:7" s="72" customFormat="1" ht="75.75" customHeight="1" x14ac:dyDescent="0.25">
      <c r="A80" s="67"/>
      <c r="B80" s="68" t="s">
        <v>42</v>
      </c>
      <c r="C80" s="91" t="s">
        <v>74</v>
      </c>
      <c r="D80" s="89" t="s">
        <v>69</v>
      </c>
      <c r="E80" s="64">
        <v>850</v>
      </c>
      <c r="F80" s="1744"/>
      <c r="G80" s="90">
        <f>ROUND(E80*F80,2)</f>
        <v>0</v>
      </c>
    </row>
    <row r="81" spans="1:7" ht="8.1" customHeight="1" x14ac:dyDescent="0.25">
      <c r="A81" s="60"/>
      <c r="B81" s="65"/>
      <c r="C81" s="77"/>
      <c r="D81" s="63"/>
      <c r="E81" s="64"/>
      <c r="F81" s="1737"/>
      <c r="G81" s="64"/>
    </row>
    <row r="82" spans="1:7" x14ac:dyDescent="0.25">
      <c r="A82" s="60"/>
      <c r="B82" s="63"/>
      <c r="C82" s="1182" t="s">
        <v>75</v>
      </c>
      <c r="D82" s="1183"/>
      <c r="E82" s="1184"/>
      <c r="F82" s="1739"/>
      <c r="G82" s="1184">
        <f>ROUND(SUM(G72:G80),2)</f>
        <v>0</v>
      </c>
    </row>
    <row r="83" spans="1:7" x14ac:dyDescent="0.25">
      <c r="A83" s="60"/>
      <c r="B83" s="63"/>
      <c r="C83" s="78"/>
      <c r="D83" s="63"/>
      <c r="E83" s="64"/>
      <c r="F83" s="1737"/>
      <c r="G83" s="64"/>
    </row>
    <row r="84" spans="1:7" customFormat="1" x14ac:dyDescent="0.25">
      <c r="F84" s="1741"/>
    </row>
    <row r="85" spans="1:7" customFormat="1" ht="8.1" customHeight="1" x14ac:dyDescent="0.25">
      <c r="F85" s="1741"/>
    </row>
    <row r="86" spans="1:7" customFormat="1" x14ac:dyDescent="0.25">
      <c r="F86" s="1741"/>
    </row>
    <row r="87" spans="1:7" customFormat="1" ht="8.1" customHeight="1" x14ac:dyDescent="0.25">
      <c r="F87" s="1741"/>
    </row>
    <row r="88" spans="1:7" customFormat="1" x14ac:dyDescent="0.25">
      <c r="F88" s="1741"/>
    </row>
    <row r="89" spans="1:7" customFormat="1" ht="8.1" customHeight="1" x14ac:dyDescent="0.25">
      <c r="F89" s="1741"/>
    </row>
    <row r="90" spans="1:7" ht="8.1" customHeight="1" x14ac:dyDescent="0.25">
      <c r="A90" s="60"/>
      <c r="B90" s="63"/>
      <c r="C90" s="78"/>
      <c r="D90" s="63"/>
      <c r="E90" s="64"/>
      <c r="F90" s="1737"/>
      <c r="G90" s="64"/>
    </row>
    <row r="100" spans="1:7" x14ac:dyDescent="0.25">
      <c r="A100" s="6"/>
      <c r="B100" s="6"/>
      <c r="C100" s="7"/>
      <c r="D100" s="8"/>
      <c r="E100" s="9"/>
      <c r="F100" s="1725"/>
      <c r="G100" s="10"/>
    </row>
    <row r="101" spans="1:7" ht="18" x14ac:dyDescent="0.25">
      <c r="A101" s="1647" t="s">
        <v>1615</v>
      </c>
      <c r="B101" s="1646"/>
      <c r="C101" s="1646"/>
      <c r="D101" s="1646"/>
      <c r="E101" s="1646"/>
      <c r="F101" s="1745"/>
      <c r="G101" s="1646"/>
    </row>
    <row r="102" spans="1:7" ht="18" x14ac:dyDescent="0.25">
      <c r="A102" s="1647" t="s">
        <v>1604</v>
      </c>
      <c r="B102" s="13"/>
      <c r="C102" s="14"/>
      <c r="D102" s="15"/>
      <c r="E102" s="16"/>
      <c r="F102" s="1727"/>
      <c r="G102" s="13"/>
    </row>
    <row r="103" spans="1:7" x14ac:dyDescent="0.25">
      <c r="A103" s="17"/>
      <c r="B103" s="18" t="s">
        <v>20</v>
      </c>
      <c r="C103" s="19" t="s">
        <v>21</v>
      </c>
      <c r="D103" s="20"/>
      <c r="E103" s="21"/>
      <c r="F103" s="1728"/>
      <c r="G103" s="22"/>
    </row>
    <row r="104" spans="1:7" x14ac:dyDescent="0.25">
      <c r="A104" s="17"/>
      <c r="B104" s="18"/>
      <c r="C104" s="19"/>
      <c r="D104" s="20"/>
      <c r="E104" s="21"/>
      <c r="F104" s="1728"/>
      <c r="G104" s="1316"/>
    </row>
    <row r="105" spans="1:7" x14ac:dyDescent="0.25">
      <c r="A105" s="17"/>
      <c r="B105" s="25" t="s">
        <v>22</v>
      </c>
      <c r="C105" s="26" t="s">
        <v>23</v>
      </c>
      <c r="D105" s="27"/>
      <c r="E105" s="28"/>
      <c r="F105" s="1729"/>
      <c r="G105" s="1321">
        <f>ROUND(G167,2)</f>
        <v>0</v>
      </c>
    </row>
    <row r="106" spans="1:7" x14ac:dyDescent="0.25">
      <c r="A106" s="17"/>
      <c r="B106" s="25" t="s">
        <v>24</v>
      </c>
      <c r="C106" s="26" t="s">
        <v>60</v>
      </c>
      <c r="D106" s="27"/>
      <c r="E106" s="28"/>
      <c r="F106" s="1729"/>
      <c r="G106" s="1321">
        <f>ROUND(G179,2)</f>
        <v>0</v>
      </c>
    </row>
    <row r="107" spans="1:7" x14ac:dyDescent="0.25">
      <c r="A107" s="17"/>
      <c r="B107" s="18"/>
      <c r="C107" s="29"/>
      <c r="D107" s="30"/>
      <c r="E107" s="31"/>
      <c r="F107" s="1730"/>
      <c r="G107" s="1322"/>
    </row>
    <row r="108" spans="1:7" ht="15.75" thickBot="1" x14ac:dyDescent="0.3">
      <c r="A108" s="32"/>
      <c r="B108" s="33"/>
      <c r="C108" s="34" t="s">
        <v>25</v>
      </c>
      <c r="D108" s="35"/>
      <c r="E108" s="36"/>
      <c r="F108" s="1731"/>
      <c r="G108" s="1323">
        <f>ROUND(SUM(G105:G106),2)</f>
        <v>0</v>
      </c>
    </row>
    <row r="109" spans="1:7" ht="15.75" thickTop="1" x14ac:dyDescent="0.25">
      <c r="A109" s="39"/>
      <c r="B109" s="40"/>
      <c r="C109" s="41"/>
      <c r="D109" s="42"/>
      <c r="E109" s="43"/>
      <c r="F109" s="1732"/>
      <c r="G109" s="44"/>
    </row>
    <row r="110" spans="1:7" x14ac:dyDescent="0.25">
      <c r="A110" s="39"/>
      <c r="B110" s="40"/>
      <c r="C110" s="41"/>
      <c r="D110" s="42"/>
      <c r="E110" s="43"/>
      <c r="F110" s="1732"/>
      <c r="G110" s="44"/>
    </row>
    <row r="111" spans="1:7" x14ac:dyDescent="0.25">
      <c r="A111" s="39"/>
      <c r="B111" s="40"/>
      <c r="C111" s="41"/>
      <c r="D111" s="42"/>
      <c r="E111" s="43"/>
      <c r="F111" s="1732"/>
      <c r="G111" s="44"/>
    </row>
    <row r="112" spans="1:7" x14ac:dyDescent="0.25">
      <c r="A112" s="45"/>
      <c r="B112" s="10"/>
      <c r="D112" s="46"/>
      <c r="E112" s="47"/>
      <c r="F112" s="1733"/>
      <c r="G112" s="6"/>
    </row>
    <row r="113" spans="1:7" x14ac:dyDescent="0.25">
      <c r="A113" s="45"/>
      <c r="B113" s="10"/>
      <c r="D113" s="46"/>
      <c r="E113" s="47"/>
      <c r="F113" s="1733"/>
      <c r="G113" s="6"/>
    </row>
    <row r="114" spans="1:7" x14ac:dyDescent="0.25">
      <c r="A114" s="45"/>
      <c r="B114" s="10"/>
      <c r="D114" s="46"/>
      <c r="E114" s="47"/>
      <c r="F114" s="1733"/>
      <c r="G114" s="6"/>
    </row>
    <row r="115" spans="1:7" x14ac:dyDescent="0.25">
      <c r="A115" s="45"/>
      <c r="B115" s="10"/>
      <c r="D115" s="46"/>
      <c r="E115" s="47"/>
      <c r="F115" s="1733"/>
      <c r="G115" s="6"/>
    </row>
    <row r="116" spans="1:7" x14ac:dyDescent="0.25">
      <c r="A116" s="45"/>
      <c r="B116" s="10"/>
      <c r="D116" s="46"/>
      <c r="E116" s="47"/>
      <c r="F116" s="1733"/>
      <c r="G116" s="6"/>
    </row>
    <row r="117" spans="1:7" x14ac:dyDescent="0.25">
      <c r="A117" s="45"/>
      <c r="B117" s="10"/>
      <c r="D117" s="46"/>
      <c r="E117" s="47"/>
      <c r="F117" s="1733"/>
      <c r="G117" s="6"/>
    </row>
    <row r="118" spans="1:7" x14ac:dyDescent="0.25">
      <c r="A118" s="45"/>
      <c r="B118" s="10"/>
      <c r="D118" s="46"/>
      <c r="E118" s="47"/>
      <c r="F118" s="1733"/>
      <c r="G118" s="6"/>
    </row>
    <row r="119" spans="1:7" x14ac:dyDescent="0.25">
      <c r="A119" s="45"/>
      <c r="B119" s="10"/>
      <c r="D119" s="46"/>
      <c r="E119" s="47"/>
      <c r="F119" s="1733"/>
      <c r="G119" s="6"/>
    </row>
    <row r="120" spans="1:7" x14ac:dyDescent="0.25">
      <c r="A120" s="45"/>
      <c r="B120" s="10"/>
      <c r="D120" s="46"/>
      <c r="E120" s="47"/>
      <c r="F120" s="1733"/>
      <c r="G120" s="6"/>
    </row>
    <row r="121" spans="1:7" x14ac:dyDescent="0.25">
      <c r="A121" s="45"/>
      <c r="B121" s="10"/>
      <c r="D121" s="46"/>
      <c r="E121" s="47"/>
      <c r="F121" s="1733"/>
      <c r="G121" s="6"/>
    </row>
    <row r="122" spans="1:7" x14ac:dyDescent="0.25">
      <c r="A122" s="45"/>
      <c r="B122" s="10"/>
      <c r="D122" s="46"/>
      <c r="E122" s="47"/>
      <c r="F122" s="1733"/>
      <c r="G122" s="6"/>
    </row>
    <row r="123" spans="1:7" x14ac:dyDescent="0.25">
      <c r="A123" s="45"/>
      <c r="B123" s="10"/>
      <c r="D123" s="46"/>
      <c r="E123" s="47"/>
      <c r="F123" s="1733"/>
      <c r="G123" s="6"/>
    </row>
    <row r="124" spans="1:7" x14ac:dyDescent="0.25">
      <c r="A124" s="45"/>
      <c r="B124" s="10"/>
      <c r="D124" s="46"/>
      <c r="E124" s="47"/>
      <c r="F124" s="1733"/>
      <c r="G124" s="6"/>
    </row>
    <row r="125" spans="1:7" x14ac:dyDescent="0.25">
      <c r="A125" s="45"/>
      <c r="B125" s="10"/>
      <c r="D125" s="46"/>
      <c r="E125" s="47"/>
      <c r="F125" s="1733"/>
      <c r="G125" s="6"/>
    </row>
    <row r="126" spans="1:7" x14ac:dyDescent="0.25">
      <c r="A126" s="45"/>
      <c r="B126" s="10"/>
      <c r="D126" s="46"/>
      <c r="E126" s="47"/>
      <c r="F126" s="1733"/>
      <c r="G126" s="6"/>
    </row>
    <row r="127" spans="1:7" x14ac:dyDescent="0.25">
      <c r="A127" s="45"/>
      <c r="B127" s="10"/>
      <c r="D127" s="46"/>
      <c r="E127" s="47"/>
      <c r="F127" s="1733"/>
      <c r="G127" s="6"/>
    </row>
    <row r="128" spans="1:7" x14ac:dyDescent="0.25">
      <c r="A128" s="45"/>
      <c r="B128" s="10"/>
      <c r="D128" s="46"/>
      <c r="E128" s="47"/>
      <c r="F128" s="1733"/>
      <c r="G128" s="6"/>
    </row>
    <row r="129" spans="1:7" x14ac:dyDescent="0.25">
      <c r="A129" s="45"/>
      <c r="B129" s="10"/>
      <c r="D129" s="46"/>
      <c r="E129" s="47"/>
      <c r="F129" s="1733"/>
      <c r="G129" s="6"/>
    </row>
    <row r="130" spans="1:7" x14ac:dyDescent="0.25">
      <c r="A130" s="45"/>
      <c r="B130" s="10"/>
      <c r="D130" s="46"/>
      <c r="E130" s="47"/>
      <c r="F130" s="1733"/>
      <c r="G130" s="6"/>
    </row>
    <row r="131" spans="1:7" x14ac:dyDescent="0.25">
      <c r="A131" s="45"/>
      <c r="B131" s="10"/>
      <c r="D131" s="46"/>
      <c r="E131" s="47"/>
      <c r="F131" s="1733"/>
      <c r="G131" s="6"/>
    </row>
    <row r="132" spans="1:7" x14ac:dyDescent="0.25">
      <c r="A132" s="45"/>
      <c r="B132" s="10"/>
      <c r="D132" s="46"/>
      <c r="E132" s="47"/>
      <c r="F132" s="1733"/>
      <c r="G132" s="6"/>
    </row>
    <row r="133" spans="1:7" x14ac:dyDescent="0.25">
      <c r="A133" s="45"/>
      <c r="B133" s="10"/>
      <c r="D133" s="46"/>
      <c r="E133" s="47"/>
      <c r="F133" s="1733"/>
      <c r="G133" s="6"/>
    </row>
    <row r="134" spans="1:7" x14ac:dyDescent="0.25">
      <c r="A134" s="45"/>
      <c r="B134" s="10"/>
      <c r="D134" s="46"/>
      <c r="E134" s="47"/>
      <c r="F134" s="1733"/>
      <c r="G134" s="6"/>
    </row>
    <row r="135" spans="1:7" x14ac:dyDescent="0.25">
      <c r="A135" s="45"/>
      <c r="B135" s="10"/>
      <c r="D135" s="46"/>
      <c r="E135" s="47"/>
      <c r="F135" s="1733"/>
      <c r="G135" s="6"/>
    </row>
    <row r="136" spans="1:7" x14ac:dyDescent="0.25">
      <c r="A136" s="45"/>
      <c r="B136" s="10"/>
      <c r="D136" s="46"/>
      <c r="E136" s="47"/>
      <c r="F136" s="1733"/>
      <c r="G136" s="6"/>
    </row>
    <row r="137" spans="1:7" x14ac:dyDescent="0.25">
      <c r="A137" s="45"/>
      <c r="B137" s="10"/>
      <c r="D137" s="46"/>
      <c r="E137" s="47"/>
      <c r="F137" s="1733"/>
      <c r="G137" s="6"/>
    </row>
    <row r="138" spans="1:7" x14ac:dyDescent="0.25">
      <c r="A138" s="45"/>
      <c r="B138" s="10"/>
      <c r="D138" s="46"/>
      <c r="E138" s="47"/>
      <c r="F138" s="1733"/>
      <c r="G138" s="6"/>
    </row>
    <row r="139" spans="1:7" x14ac:dyDescent="0.25">
      <c r="A139" s="45"/>
      <c r="B139" s="10"/>
      <c r="D139" s="46"/>
      <c r="E139" s="47"/>
      <c r="F139" s="1733"/>
      <c r="G139" s="6"/>
    </row>
    <row r="140" spans="1:7" x14ac:dyDescent="0.25">
      <c r="A140" s="45"/>
      <c r="B140" s="10"/>
      <c r="D140" s="46"/>
      <c r="E140" s="47"/>
      <c r="F140" s="1733"/>
      <c r="G140" s="6"/>
    </row>
    <row r="141" spans="1:7" x14ac:dyDescent="0.25">
      <c r="A141" s="45"/>
      <c r="B141" s="10"/>
      <c r="D141" s="46"/>
      <c r="E141" s="47"/>
      <c r="F141" s="1733"/>
      <c r="G141" s="6"/>
    </row>
    <row r="142" spans="1:7" x14ac:dyDescent="0.25">
      <c r="A142" s="45"/>
      <c r="B142" s="10"/>
      <c r="D142" s="46"/>
      <c r="E142" s="47"/>
      <c r="F142" s="1733"/>
      <c r="G142" s="6"/>
    </row>
    <row r="143" spans="1:7" x14ac:dyDescent="0.25">
      <c r="A143" s="45"/>
      <c r="B143" s="10"/>
      <c r="D143" s="46"/>
      <c r="E143" s="47"/>
      <c r="F143" s="1733"/>
      <c r="G143" s="6"/>
    </row>
    <row r="144" spans="1:7" x14ac:dyDescent="0.25">
      <c r="A144" s="45"/>
      <c r="B144" s="10"/>
      <c r="D144" s="46"/>
      <c r="E144" s="47"/>
      <c r="F144" s="1733"/>
      <c r="G144" s="6"/>
    </row>
    <row r="145" spans="1:7" x14ac:dyDescent="0.25">
      <c r="A145" s="45"/>
      <c r="B145" s="10"/>
      <c r="D145" s="46"/>
      <c r="E145" s="47"/>
      <c r="F145" s="1733"/>
      <c r="G145" s="6"/>
    </row>
    <row r="146" spans="1:7" x14ac:dyDescent="0.25">
      <c r="A146" s="45"/>
      <c r="B146" s="10"/>
      <c r="D146" s="46"/>
      <c r="E146" s="47"/>
      <c r="F146" s="1733"/>
      <c r="G146" s="6"/>
    </row>
    <row r="147" spans="1:7" x14ac:dyDescent="0.25">
      <c r="A147" s="45"/>
      <c r="B147" s="10"/>
      <c r="D147" s="46"/>
      <c r="E147" s="47"/>
      <c r="F147" s="1733"/>
      <c r="G147" s="6"/>
    </row>
    <row r="148" spans="1:7" x14ac:dyDescent="0.25">
      <c r="A148" s="45"/>
      <c r="B148" s="10"/>
      <c r="D148" s="46"/>
      <c r="E148" s="47"/>
      <c r="F148" s="1733"/>
      <c r="G148" s="6"/>
    </row>
    <row r="149" spans="1:7" x14ac:dyDescent="0.25">
      <c r="A149" s="45"/>
      <c r="B149" s="10"/>
      <c r="D149" s="46"/>
      <c r="E149" s="47"/>
      <c r="F149" s="1733"/>
      <c r="G149" s="6"/>
    </row>
    <row r="150" spans="1:7" x14ac:dyDescent="0.25">
      <c r="A150" s="45"/>
      <c r="B150" s="10"/>
      <c r="D150" s="46"/>
      <c r="E150" s="47"/>
      <c r="F150" s="1733"/>
      <c r="G150" s="6"/>
    </row>
    <row r="151" spans="1:7" x14ac:dyDescent="0.25">
      <c r="A151" s="45"/>
      <c r="B151" s="10"/>
      <c r="D151" s="46"/>
      <c r="E151" s="47"/>
      <c r="F151" s="1733"/>
      <c r="G151" s="6"/>
    </row>
    <row r="152" spans="1:7" x14ac:dyDescent="0.25">
      <c r="A152" s="48" t="s">
        <v>62</v>
      </c>
      <c r="B152" s="10"/>
      <c r="D152" s="46"/>
      <c r="E152" s="47"/>
      <c r="F152" s="1733"/>
      <c r="G152" s="6"/>
    </row>
    <row r="153" spans="1:7" x14ac:dyDescent="0.25">
      <c r="A153" s="49"/>
      <c r="B153" s="50"/>
      <c r="C153" s="51" t="s">
        <v>63</v>
      </c>
      <c r="D153" s="52"/>
      <c r="E153" s="53"/>
      <c r="F153" s="1734"/>
      <c r="G153" s="50"/>
    </row>
    <row r="154" spans="1:7" x14ac:dyDescent="0.25">
      <c r="A154" s="45"/>
      <c r="B154" s="6"/>
      <c r="C154" s="48"/>
      <c r="D154" s="46"/>
      <c r="E154" s="47"/>
      <c r="F154" s="1733"/>
      <c r="G154" s="6"/>
    </row>
    <row r="155" spans="1:7" x14ac:dyDescent="0.25">
      <c r="A155" s="45"/>
      <c r="B155" s="18" t="s">
        <v>20</v>
      </c>
      <c r="C155" s="19" t="s">
        <v>21</v>
      </c>
      <c r="D155" s="46"/>
      <c r="E155" s="47"/>
      <c r="F155" s="1733"/>
      <c r="G155" s="6"/>
    </row>
    <row r="156" spans="1:7" x14ac:dyDescent="0.25">
      <c r="A156" s="45"/>
      <c r="B156" s="6"/>
      <c r="C156" s="6"/>
      <c r="D156" s="46"/>
      <c r="E156" s="47"/>
      <c r="F156" s="1733"/>
      <c r="G156" s="6"/>
    </row>
    <row r="157" spans="1:7" x14ac:dyDescent="0.25">
      <c r="A157" s="8"/>
      <c r="B157" s="54" t="s">
        <v>26</v>
      </c>
      <c r="C157" s="55" t="s">
        <v>27</v>
      </c>
      <c r="D157" s="54" t="s">
        <v>28</v>
      </c>
      <c r="E157" s="56" t="s">
        <v>29</v>
      </c>
      <c r="F157" s="1735" t="s">
        <v>30</v>
      </c>
      <c r="G157" s="57" t="s">
        <v>31</v>
      </c>
    </row>
    <row r="158" spans="1:7" x14ac:dyDescent="0.25">
      <c r="A158" s="8"/>
      <c r="B158" s="8"/>
      <c r="C158" s="58"/>
      <c r="D158" s="8"/>
      <c r="E158" s="9"/>
      <c r="F158" s="1736"/>
      <c r="G158" s="59"/>
    </row>
    <row r="159" spans="1:7" x14ac:dyDescent="0.25">
      <c r="A159" s="60"/>
      <c r="B159" s="61" t="s">
        <v>22</v>
      </c>
      <c r="C159" s="62" t="s">
        <v>23</v>
      </c>
      <c r="D159" s="63"/>
      <c r="E159" s="64"/>
      <c r="F159" s="1737"/>
      <c r="G159" s="64"/>
    </row>
    <row r="160" spans="1:7" x14ac:dyDescent="0.25">
      <c r="A160" s="60"/>
      <c r="B160" s="4"/>
      <c r="C160" s="5"/>
      <c r="D160" s="1"/>
      <c r="E160" s="2"/>
      <c r="F160" s="1742"/>
      <c r="G160" s="84">
        <f t="shared" ref="G160" si="1">ROUND(E160*F160,2)</f>
        <v>0</v>
      </c>
    </row>
    <row r="161" spans="1:7" x14ac:dyDescent="0.25">
      <c r="A161" s="60"/>
      <c r="B161" s="4" t="s">
        <v>32</v>
      </c>
      <c r="C161" s="5" t="s">
        <v>64</v>
      </c>
      <c r="D161" s="1" t="s">
        <v>65</v>
      </c>
      <c r="E161" s="2">
        <v>230</v>
      </c>
      <c r="F161" s="1742"/>
      <c r="G161" s="64">
        <f>ROUND(E161*F161,2)</f>
        <v>0</v>
      </c>
    </row>
    <row r="162" spans="1:7" x14ac:dyDescent="0.25">
      <c r="A162" s="60"/>
      <c r="B162" s="4"/>
      <c r="C162" s="5"/>
      <c r="D162" s="1"/>
      <c r="E162" s="2"/>
      <c r="F162" s="1742"/>
      <c r="G162" s="64"/>
    </row>
    <row r="163" spans="1:7" ht="24" x14ac:dyDescent="0.25">
      <c r="A163" s="60"/>
      <c r="B163" s="65" t="s">
        <v>35</v>
      </c>
      <c r="C163" s="85" t="s">
        <v>66</v>
      </c>
      <c r="D163" s="86" t="s">
        <v>39</v>
      </c>
      <c r="E163" s="64">
        <v>12</v>
      </c>
      <c r="F163" s="1737"/>
      <c r="G163" s="64">
        <f>ROUND(E163*F163,2)</f>
        <v>0</v>
      </c>
    </row>
    <row r="164" spans="1:7" x14ac:dyDescent="0.25">
      <c r="A164" s="60"/>
      <c r="B164" s="65"/>
      <c r="C164" s="4"/>
      <c r="D164" s="86"/>
      <c r="E164" s="87"/>
      <c r="F164" s="1743"/>
      <c r="G164" s="64"/>
    </row>
    <row r="165" spans="1:7" x14ac:dyDescent="0.25">
      <c r="A165" s="60"/>
      <c r="B165" s="4" t="s">
        <v>37</v>
      </c>
      <c r="C165" s="5" t="s">
        <v>67</v>
      </c>
      <c r="D165" s="1" t="s">
        <v>39</v>
      </c>
      <c r="E165" s="2">
        <v>1</v>
      </c>
      <c r="F165" s="1742"/>
      <c r="G165" s="64">
        <f>ROUND(E165*F165,2)</f>
        <v>0</v>
      </c>
    </row>
    <row r="166" spans="1:7" x14ac:dyDescent="0.25">
      <c r="A166" s="60"/>
      <c r="B166" s="65"/>
      <c r="C166" s="77"/>
      <c r="D166" s="63"/>
      <c r="E166" s="64"/>
      <c r="F166" s="1737"/>
      <c r="G166" s="64"/>
    </row>
    <row r="167" spans="1:7" x14ac:dyDescent="0.25">
      <c r="A167" s="60"/>
      <c r="B167" s="63"/>
      <c r="C167" s="1182" t="s">
        <v>59</v>
      </c>
      <c r="D167" s="1183"/>
      <c r="E167" s="1184"/>
      <c r="F167" s="1739"/>
      <c r="G167" s="1184">
        <f>ROUND(SUM(G160:G165),2)</f>
        <v>0</v>
      </c>
    </row>
    <row r="168" spans="1:7" x14ac:dyDescent="0.25">
      <c r="A168" s="8"/>
      <c r="B168" s="8"/>
      <c r="C168" s="58"/>
      <c r="D168" s="8"/>
      <c r="E168" s="9"/>
      <c r="F168" s="1736"/>
      <c r="G168" s="1325"/>
    </row>
    <row r="169" spans="1:7" x14ac:dyDescent="0.25">
      <c r="A169" s="60"/>
      <c r="B169" s="61" t="s">
        <v>24</v>
      </c>
      <c r="C169" s="62" t="s">
        <v>60</v>
      </c>
      <c r="D169" s="63"/>
      <c r="E169" s="64"/>
      <c r="F169" s="1737"/>
      <c r="G169" s="64"/>
    </row>
    <row r="170" spans="1:7" x14ac:dyDescent="0.25">
      <c r="A170" s="67"/>
      <c r="B170" s="68"/>
      <c r="C170" s="91"/>
      <c r="D170" s="89"/>
      <c r="E170" s="90"/>
      <c r="F170" s="1744"/>
      <c r="G170" s="90"/>
    </row>
    <row r="171" spans="1:7" x14ac:dyDescent="0.25">
      <c r="A171" s="67"/>
      <c r="B171" s="68" t="s">
        <v>32</v>
      </c>
      <c r="C171" s="78" t="s">
        <v>70</v>
      </c>
      <c r="D171" s="89" t="s">
        <v>71</v>
      </c>
      <c r="E171" s="64">
        <v>1200</v>
      </c>
      <c r="F171" s="1744"/>
      <c r="G171" s="90">
        <f>ROUND(E171*F171,2)</f>
        <v>0</v>
      </c>
    </row>
    <row r="172" spans="1:7" x14ac:dyDescent="0.25">
      <c r="A172" s="67"/>
      <c r="B172" s="68"/>
      <c r="C172" s="91"/>
      <c r="D172" s="89"/>
      <c r="E172" s="90"/>
      <c r="F172" s="1744"/>
      <c r="G172" s="90"/>
    </row>
    <row r="173" spans="1:7" ht="85.5" x14ac:dyDescent="0.25">
      <c r="A173" s="67"/>
      <c r="B173" s="68" t="s">
        <v>35</v>
      </c>
      <c r="C173" s="91" t="s">
        <v>89</v>
      </c>
      <c r="D173" s="89" t="s">
        <v>69</v>
      </c>
      <c r="E173" s="64">
        <v>4000</v>
      </c>
      <c r="F173" s="1744"/>
      <c r="G173" s="90">
        <f>ROUND(E173*F173,2)</f>
        <v>0</v>
      </c>
    </row>
    <row r="174" spans="1:7" x14ac:dyDescent="0.25">
      <c r="A174" s="67"/>
      <c r="B174" s="68"/>
      <c r="C174" s="78"/>
      <c r="D174" s="89"/>
      <c r="E174" s="64"/>
      <c r="F174" s="1744"/>
      <c r="G174" s="90"/>
    </row>
    <row r="175" spans="1:7" ht="85.5" x14ac:dyDescent="0.25">
      <c r="A175" s="67"/>
      <c r="B175" s="68" t="s">
        <v>37</v>
      </c>
      <c r="C175" s="91" t="s">
        <v>74</v>
      </c>
      <c r="D175" s="89" t="s">
        <v>69</v>
      </c>
      <c r="E175" s="64">
        <v>600</v>
      </c>
      <c r="F175" s="1744"/>
      <c r="G175" s="90">
        <f>ROUND(E175*F175,2)</f>
        <v>0</v>
      </c>
    </row>
    <row r="176" spans="1:7" x14ac:dyDescent="0.25">
      <c r="A176" s="67"/>
      <c r="B176" s="68"/>
      <c r="C176" s="91"/>
      <c r="D176" s="89"/>
      <c r="E176" s="64"/>
      <c r="F176" s="1744"/>
      <c r="G176" s="90"/>
    </row>
    <row r="177" spans="1:7" ht="60" x14ac:dyDescent="0.25">
      <c r="A177" s="67"/>
      <c r="B177" s="68" t="s">
        <v>40</v>
      </c>
      <c r="C177" s="91" t="s">
        <v>90</v>
      </c>
      <c r="D177" s="89" t="s">
        <v>69</v>
      </c>
      <c r="E177" s="64">
        <v>4600</v>
      </c>
      <c r="F177" s="1744"/>
      <c r="G177" s="90">
        <f>ROUND(E177*F177,2)</f>
        <v>0</v>
      </c>
    </row>
    <row r="178" spans="1:7" x14ac:dyDescent="0.25">
      <c r="A178" s="60"/>
      <c r="B178" s="65"/>
      <c r="C178" s="77"/>
      <c r="D178" s="63"/>
      <c r="E178" s="64"/>
      <c r="F178" s="1737"/>
      <c r="G178" s="64"/>
    </row>
    <row r="179" spans="1:7" x14ac:dyDescent="0.25">
      <c r="A179" s="60"/>
      <c r="B179" s="63"/>
      <c r="C179" s="1182" t="s">
        <v>75</v>
      </c>
      <c r="D179" s="1183"/>
      <c r="E179" s="1184"/>
      <c r="F179" s="1739"/>
      <c r="G179" s="1184">
        <f>ROUND(SUM(G171:G177),2)</f>
        <v>0</v>
      </c>
    </row>
    <row r="180" spans="1:7" x14ac:dyDescent="0.25">
      <c r="A180" s="60"/>
      <c r="B180" s="63"/>
      <c r="C180" s="78"/>
      <c r="D180" s="63"/>
      <c r="E180" s="64"/>
      <c r="F180" s="1737"/>
      <c r="G180" s="64"/>
    </row>
    <row r="181" spans="1:7" x14ac:dyDescent="0.25">
      <c r="A181" s="79"/>
      <c r="B181" s="66"/>
      <c r="C181" s="62"/>
      <c r="D181" s="63"/>
      <c r="E181" s="64"/>
      <c r="F181" s="1737"/>
      <c r="G181" s="80"/>
    </row>
    <row r="182" spans="1:7" x14ac:dyDescent="0.25">
      <c r="A182" s="79"/>
      <c r="B182" s="65"/>
      <c r="C182" s="66"/>
      <c r="D182" s="63"/>
      <c r="E182" s="64"/>
      <c r="F182" s="1737"/>
      <c r="G182" s="64"/>
    </row>
    <row r="183" spans="1:7" x14ac:dyDescent="0.25">
      <c r="A183" s="79"/>
      <c r="B183" s="65"/>
      <c r="C183" s="77"/>
      <c r="D183" s="63"/>
      <c r="E183" s="64"/>
      <c r="F183" s="1737"/>
      <c r="G183" s="64"/>
    </row>
    <row r="184" spans="1:7" customFormat="1" x14ac:dyDescent="0.25">
      <c r="F184" s="1741"/>
    </row>
    <row r="185" spans="1:7" customFormat="1" x14ac:dyDescent="0.25">
      <c r="F185" s="1741"/>
    </row>
    <row r="186" spans="1:7" customFormat="1" x14ac:dyDescent="0.25">
      <c r="F186" s="1741"/>
    </row>
    <row r="187" spans="1:7" customFormat="1" x14ac:dyDescent="0.25">
      <c r="F187" s="1741"/>
    </row>
    <row r="193" spans="1:7" x14ac:dyDescent="0.25">
      <c r="A193" s="6"/>
      <c r="B193" s="6"/>
      <c r="C193" s="7"/>
      <c r="D193" s="8"/>
      <c r="E193" s="9"/>
      <c r="F193" s="1725"/>
      <c r="G193" s="10"/>
    </row>
    <row r="194" spans="1:7" ht="18" x14ac:dyDescent="0.25">
      <c r="A194" s="1647" t="s">
        <v>1606</v>
      </c>
      <c r="B194" s="1646"/>
      <c r="C194" s="1646"/>
      <c r="D194" s="1646"/>
      <c r="E194" s="1646"/>
      <c r="F194" s="1745"/>
      <c r="G194" s="1646"/>
    </row>
    <row r="195" spans="1:7" ht="18" x14ac:dyDescent="0.25">
      <c r="A195" s="1647" t="s">
        <v>1605</v>
      </c>
      <c r="B195" s="1646"/>
      <c r="C195" s="1646"/>
      <c r="D195" s="1646"/>
      <c r="E195" s="1646"/>
      <c r="F195" s="1745"/>
      <c r="G195" s="1646"/>
    </row>
    <row r="196" spans="1:7" x14ac:dyDescent="0.25">
      <c r="A196" s="12"/>
      <c r="B196" s="13"/>
      <c r="C196" s="14"/>
      <c r="D196" s="15"/>
      <c r="E196" s="16"/>
      <c r="F196" s="1727"/>
      <c r="G196" s="13"/>
    </row>
    <row r="197" spans="1:7" x14ac:dyDescent="0.25">
      <c r="A197" s="17"/>
      <c r="B197" s="18" t="s">
        <v>20</v>
      </c>
      <c r="C197" s="19" t="s">
        <v>21</v>
      </c>
      <c r="D197" s="20"/>
      <c r="E197" s="21"/>
      <c r="F197" s="1728"/>
      <c r="G197" s="22"/>
    </row>
    <row r="198" spans="1:7" x14ac:dyDescent="0.25">
      <c r="A198" s="17"/>
      <c r="B198" s="18"/>
      <c r="C198" s="19"/>
      <c r="D198" s="20"/>
      <c r="E198" s="21"/>
      <c r="F198" s="1728"/>
      <c r="G198" s="1318"/>
    </row>
    <row r="199" spans="1:7" x14ac:dyDescent="0.25">
      <c r="A199" s="17"/>
      <c r="B199" s="25" t="s">
        <v>22</v>
      </c>
      <c r="C199" s="26" t="s">
        <v>60</v>
      </c>
      <c r="D199" s="27"/>
      <c r="E199" s="28"/>
      <c r="F199" s="1729"/>
      <c r="G199" s="1321">
        <f>ROUND(G263,2)</f>
        <v>0</v>
      </c>
    </row>
    <row r="200" spans="1:7" x14ac:dyDescent="0.25">
      <c r="A200" s="17"/>
      <c r="B200" s="18"/>
      <c r="C200" s="29"/>
      <c r="D200" s="30"/>
      <c r="E200" s="31"/>
      <c r="F200" s="1730"/>
      <c r="G200" s="1322"/>
    </row>
    <row r="201" spans="1:7" ht="15.75" thickBot="1" x14ac:dyDescent="0.3">
      <c r="A201" s="32"/>
      <c r="B201" s="33"/>
      <c r="C201" s="34" t="s">
        <v>25</v>
      </c>
      <c r="D201" s="35"/>
      <c r="E201" s="36"/>
      <c r="F201" s="1731"/>
      <c r="G201" s="1323">
        <f>ROUND(SUM(G199:G199),2)</f>
        <v>0</v>
      </c>
    </row>
    <row r="202" spans="1:7" ht="15.75" thickTop="1" x14ac:dyDescent="0.25">
      <c r="A202" s="39"/>
      <c r="B202" s="40"/>
      <c r="C202" s="41"/>
      <c r="D202" s="42"/>
      <c r="E202" s="43"/>
      <c r="F202" s="1732"/>
      <c r="G202" s="44"/>
    </row>
    <row r="203" spans="1:7" x14ac:dyDescent="0.25">
      <c r="A203" s="39"/>
      <c r="B203" s="40"/>
      <c r="C203" s="41"/>
      <c r="D203" s="42"/>
      <c r="E203" s="43"/>
      <c r="F203" s="1732"/>
      <c r="G203" s="44"/>
    </row>
    <row r="204" spans="1:7" x14ac:dyDescent="0.25">
      <c r="A204" s="39"/>
      <c r="B204" s="40"/>
      <c r="C204" s="41"/>
      <c r="D204" s="42"/>
      <c r="E204" s="43"/>
      <c r="F204" s="1732"/>
      <c r="G204" s="44"/>
    </row>
    <row r="205" spans="1:7" x14ac:dyDescent="0.25">
      <c r="A205" s="45"/>
      <c r="B205" s="10"/>
      <c r="D205" s="46"/>
      <c r="E205" s="47"/>
      <c r="F205" s="1733"/>
      <c r="G205" s="6"/>
    </row>
    <row r="206" spans="1:7" x14ac:dyDescent="0.25">
      <c r="A206" s="45"/>
      <c r="B206" s="10"/>
      <c r="D206" s="46"/>
      <c r="E206" s="47"/>
      <c r="F206" s="1733"/>
      <c r="G206" s="6"/>
    </row>
    <row r="207" spans="1:7" x14ac:dyDescent="0.25">
      <c r="A207" s="45"/>
      <c r="B207" s="10"/>
      <c r="D207" s="46"/>
      <c r="E207" s="47"/>
      <c r="F207" s="1733"/>
      <c r="G207" s="6"/>
    </row>
    <row r="208" spans="1:7" x14ac:dyDescent="0.25">
      <c r="A208" s="45"/>
      <c r="B208" s="10"/>
      <c r="D208" s="46"/>
      <c r="E208" s="47"/>
      <c r="F208" s="1733"/>
      <c r="G208" s="6"/>
    </row>
    <row r="209" spans="1:7" x14ac:dyDescent="0.25">
      <c r="A209" s="45"/>
      <c r="B209" s="10"/>
      <c r="D209" s="46"/>
      <c r="E209" s="47"/>
      <c r="F209" s="1733"/>
      <c r="G209" s="6"/>
    </row>
    <row r="210" spans="1:7" x14ac:dyDescent="0.25">
      <c r="A210" s="45"/>
      <c r="B210" s="10"/>
      <c r="D210" s="46"/>
      <c r="E210" s="47"/>
      <c r="F210" s="1733"/>
      <c r="G210" s="6"/>
    </row>
    <row r="211" spans="1:7" x14ac:dyDescent="0.25">
      <c r="A211" s="45"/>
      <c r="B211" s="10"/>
      <c r="D211" s="46"/>
      <c r="E211" s="47"/>
      <c r="F211" s="1733"/>
      <c r="G211" s="6"/>
    </row>
    <row r="212" spans="1:7" x14ac:dyDescent="0.25">
      <c r="A212" s="45"/>
      <c r="B212" s="10"/>
      <c r="D212" s="46"/>
      <c r="E212" s="47"/>
      <c r="F212" s="1733"/>
      <c r="G212" s="6"/>
    </row>
    <row r="213" spans="1:7" x14ac:dyDescent="0.25">
      <c r="A213" s="45"/>
      <c r="B213" s="10"/>
      <c r="D213" s="46"/>
      <c r="E213" s="47"/>
      <c r="F213" s="1733"/>
      <c r="G213" s="6"/>
    </row>
    <row r="214" spans="1:7" x14ac:dyDescent="0.25">
      <c r="A214" s="45"/>
      <c r="B214" s="10"/>
      <c r="D214" s="46"/>
      <c r="E214" s="47"/>
      <c r="F214" s="1733"/>
      <c r="G214" s="6"/>
    </row>
    <row r="215" spans="1:7" x14ac:dyDescent="0.25">
      <c r="A215" s="45"/>
      <c r="B215" s="10"/>
      <c r="D215" s="46"/>
      <c r="E215" s="47"/>
      <c r="F215" s="1733"/>
      <c r="G215" s="6"/>
    </row>
    <row r="216" spans="1:7" x14ac:dyDescent="0.25">
      <c r="A216" s="45"/>
      <c r="B216" s="10"/>
      <c r="D216" s="46"/>
      <c r="E216" s="47"/>
      <c r="F216" s="1733"/>
      <c r="G216" s="6"/>
    </row>
    <row r="217" spans="1:7" x14ac:dyDescent="0.25">
      <c r="A217" s="45"/>
      <c r="B217" s="10"/>
      <c r="D217" s="46"/>
      <c r="E217" s="47"/>
      <c r="F217" s="1733"/>
      <c r="G217" s="6"/>
    </row>
    <row r="218" spans="1:7" x14ac:dyDescent="0.25">
      <c r="A218" s="45"/>
      <c r="B218" s="10"/>
      <c r="D218" s="46"/>
      <c r="E218" s="47"/>
      <c r="F218" s="1733"/>
      <c r="G218" s="6"/>
    </row>
    <row r="219" spans="1:7" x14ac:dyDescent="0.25">
      <c r="A219" s="45"/>
      <c r="B219" s="10"/>
      <c r="D219" s="46"/>
      <c r="E219" s="47"/>
      <c r="F219" s="1733"/>
      <c r="G219" s="6"/>
    </row>
    <row r="220" spans="1:7" x14ac:dyDescent="0.25">
      <c r="A220" s="45"/>
      <c r="B220" s="10"/>
      <c r="D220" s="46"/>
      <c r="E220" s="47"/>
      <c r="F220" s="1733"/>
      <c r="G220" s="6"/>
    </row>
    <row r="221" spans="1:7" x14ac:dyDescent="0.25">
      <c r="A221" s="45"/>
      <c r="B221" s="10"/>
      <c r="D221" s="46"/>
      <c r="E221" s="47"/>
      <c r="F221" s="1733"/>
      <c r="G221" s="6"/>
    </row>
    <row r="222" spans="1:7" x14ac:dyDescent="0.25">
      <c r="A222" s="45"/>
      <c r="B222" s="10"/>
      <c r="D222" s="46"/>
      <c r="E222" s="47"/>
      <c r="F222" s="1733"/>
      <c r="G222" s="6"/>
    </row>
    <row r="223" spans="1:7" x14ac:dyDescent="0.25">
      <c r="A223" s="45"/>
      <c r="B223" s="10"/>
      <c r="D223" s="46"/>
      <c r="E223" s="47"/>
      <c r="F223" s="1733"/>
      <c r="G223" s="6"/>
    </row>
    <row r="224" spans="1:7" x14ac:dyDescent="0.25">
      <c r="A224" s="45"/>
      <c r="B224" s="10"/>
      <c r="D224" s="46"/>
      <c r="E224" s="47"/>
      <c r="F224" s="1733"/>
      <c r="G224" s="6"/>
    </row>
    <row r="225" spans="1:7" x14ac:dyDescent="0.25">
      <c r="A225" s="45"/>
      <c r="B225" s="10"/>
      <c r="D225" s="46"/>
      <c r="E225" s="47"/>
      <c r="F225" s="1733"/>
      <c r="G225" s="6"/>
    </row>
    <row r="226" spans="1:7" x14ac:dyDescent="0.25">
      <c r="A226" s="45"/>
      <c r="B226" s="10"/>
      <c r="D226" s="46"/>
      <c r="E226" s="47"/>
      <c r="F226" s="1733"/>
      <c r="G226" s="6"/>
    </row>
    <row r="227" spans="1:7" x14ac:dyDescent="0.25">
      <c r="A227" s="45"/>
      <c r="B227" s="10"/>
      <c r="D227" s="46"/>
      <c r="E227" s="47"/>
      <c r="F227" s="1733"/>
      <c r="G227" s="6"/>
    </row>
    <row r="228" spans="1:7" x14ac:dyDescent="0.25">
      <c r="A228" s="45"/>
      <c r="B228" s="10"/>
      <c r="D228" s="46"/>
      <c r="E228" s="47"/>
      <c r="F228" s="1733"/>
      <c r="G228" s="6"/>
    </row>
    <row r="229" spans="1:7" x14ac:dyDescent="0.25">
      <c r="A229" s="45"/>
      <c r="B229" s="10"/>
      <c r="D229" s="46"/>
      <c r="E229" s="47"/>
      <c r="F229" s="1733"/>
      <c r="G229" s="6"/>
    </row>
    <row r="230" spans="1:7" x14ac:dyDescent="0.25">
      <c r="A230" s="45"/>
      <c r="B230" s="10"/>
      <c r="D230" s="46"/>
      <c r="E230" s="47"/>
      <c r="F230" s="1733"/>
      <c r="G230" s="6"/>
    </row>
    <row r="231" spans="1:7" x14ac:dyDescent="0.25">
      <c r="A231" s="45"/>
      <c r="B231" s="10"/>
      <c r="D231" s="46"/>
      <c r="E231" s="47"/>
      <c r="F231" s="1733"/>
      <c r="G231" s="6"/>
    </row>
    <row r="232" spans="1:7" x14ac:dyDescent="0.25">
      <c r="A232" s="45"/>
      <c r="B232" s="10"/>
      <c r="D232" s="46"/>
      <c r="E232" s="47"/>
      <c r="F232" s="1733"/>
      <c r="G232" s="6"/>
    </row>
    <row r="233" spans="1:7" x14ac:dyDescent="0.25">
      <c r="A233" s="45"/>
      <c r="B233" s="10"/>
      <c r="D233" s="46"/>
      <c r="E233" s="47"/>
      <c r="F233" s="1733"/>
      <c r="G233" s="6"/>
    </row>
    <row r="234" spans="1:7" x14ac:dyDescent="0.25">
      <c r="A234" s="45"/>
      <c r="B234" s="10"/>
      <c r="D234" s="46"/>
      <c r="E234" s="47"/>
      <c r="F234" s="1733"/>
      <c r="G234" s="6"/>
    </row>
    <row r="235" spans="1:7" x14ac:dyDescent="0.25">
      <c r="A235" s="45"/>
      <c r="B235" s="10"/>
      <c r="D235" s="46"/>
      <c r="E235" s="47"/>
      <c r="F235" s="1733"/>
      <c r="G235" s="6"/>
    </row>
    <row r="236" spans="1:7" x14ac:dyDescent="0.25">
      <c r="A236" s="45"/>
      <c r="B236" s="10"/>
      <c r="D236" s="46"/>
      <c r="E236" s="47"/>
      <c r="F236" s="1733"/>
      <c r="G236" s="6"/>
    </row>
    <row r="237" spans="1:7" x14ac:dyDescent="0.25">
      <c r="A237" s="45"/>
      <c r="B237" s="10"/>
      <c r="D237" s="46"/>
      <c r="E237" s="47"/>
      <c r="F237" s="1733"/>
      <c r="G237" s="6"/>
    </row>
    <row r="238" spans="1:7" x14ac:dyDescent="0.25">
      <c r="A238" s="45"/>
      <c r="B238" s="10"/>
      <c r="D238" s="46"/>
      <c r="E238" s="47"/>
      <c r="F238" s="1733"/>
      <c r="G238" s="6"/>
    </row>
    <row r="239" spans="1:7" x14ac:dyDescent="0.25">
      <c r="A239" s="45"/>
      <c r="B239" s="10"/>
      <c r="D239" s="46"/>
      <c r="E239" s="47"/>
      <c r="F239" s="1733"/>
      <c r="G239" s="6"/>
    </row>
    <row r="240" spans="1:7" x14ac:dyDescent="0.25">
      <c r="A240" s="45"/>
      <c r="B240" s="10"/>
      <c r="D240" s="46"/>
      <c r="E240" s="47"/>
      <c r="F240" s="1733"/>
      <c r="G240" s="6"/>
    </row>
    <row r="241" spans="1:7" x14ac:dyDescent="0.25">
      <c r="A241" s="45"/>
      <c r="B241" s="10"/>
      <c r="D241" s="46"/>
      <c r="E241" s="47"/>
      <c r="F241" s="1733"/>
      <c r="G241" s="6"/>
    </row>
    <row r="242" spans="1:7" x14ac:dyDescent="0.25">
      <c r="A242" s="45"/>
      <c r="B242" s="10"/>
      <c r="D242" s="46"/>
      <c r="E242" s="47"/>
      <c r="F242" s="1733"/>
      <c r="G242" s="6"/>
    </row>
    <row r="243" spans="1:7" x14ac:dyDescent="0.25">
      <c r="A243" s="45"/>
      <c r="B243" s="10"/>
      <c r="D243" s="46"/>
      <c r="E243" s="47"/>
      <c r="F243" s="1733"/>
      <c r="G243" s="6"/>
    </row>
    <row r="244" spans="1:7" x14ac:dyDescent="0.25">
      <c r="A244" s="45"/>
      <c r="B244" s="10"/>
      <c r="D244" s="46"/>
      <c r="E244" s="47"/>
      <c r="F244" s="1733"/>
      <c r="G244" s="6"/>
    </row>
    <row r="245" spans="1:7" x14ac:dyDescent="0.25">
      <c r="A245" s="45"/>
      <c r="B245" s="10"/>
      <c r="D245" s="46"/>
      <c r="E245" s="47"/>
      <c r="F245" s="1733"/>
      <c r="G245" s="6"/>
    </row>
    <row r="246" spans="1:7" x14ac:dyDescent="0.25">
      <c r="A246" s="48" t="s">
        <v>62</v>
      </c>
      <c r="B246" s="10"/>
      <c r="D246" s="46"/>
      <c r="E246" s="47"/>
      <c r="F246" s="1733"/>
      <c r="G246" s="6"/>
    </row>
    <row r="247" spans="1:7" x14ac:dyDescent="0.25">
      <c r="A247" s="49"/>
      <c r="B247" s="50"/>
      <c r="C247" s="51" t="s">
        <v>63</v>
      </c>
      <c r="D247" s="52"/>
      <c r="E247" s="53"/>
      <c r="F247" s="1734"/>
      <c r="G247" s="50"/>
    </row>
    <row r="248" spans="1:7" x14ac:dyDescent="0.25">
      <c r="A248" s="45"/>
      <c r="B248" s="6"/>
      <c r="C248" s="48"/>
      <c r="D248" s="46"/>
      <c r="E248" s="47"/>
      <c r="F248" s="1733"/>
      <c r="G248" s="6"/>
    </row>
    <row r="249" spans="1:7" x14ac:dyDescent="0.25">
      <c r="A249" s="45"/>
      <c r="B249" s="18" t="s">
        <v>20</v>
      </c>
      <c r="C249" s="19" t="s">
        <v>21</v>
      </c>
      <c r="D249" s="46"/>
      <c r="E249" s="47"/>
      <c r="F249" s="1733"/>
      <c r="G249" s="6"/>
    </row>
    <row r="250" spans="1:7" x14ac:dyDescent="0.25">
      <c r="A250" s="45"/>
      <c r="B250" s="6"/>
      <c r="C250" s="6"/>
      <c r="D250" s="46"/>
      <c r="E250" s="47"/>
      <c r="F250" s="1733"/>
      <c r="G250" s="6"/>
    </row>
    <row r="251" spans="1:7" x14ac:dyDescent="0.25">
      <c r="A251" s="8"/>
      <c r="B251" s="54" t="s">
        <v>26</v>
      </c>
      <c r="C251" s="55" t="s">
        <v>27</v>
      </c>
      <c r="D251" s="54" t="s">
        <v>28</v>
      </c>
      <c r="E251" s="56" t="s">
        <v>29</v>
      </c>
      <c r="F251" s="1735" t="s">
        <v>30</v>
      </c>
      <c r="G251" s="57" t="s">
        <v>31</v>
      </c>
    </row>
    <row r="252" spans="1:7" x14ac:dyDescent="0.25">
      <c r="A252" s="8"/>
      <c r="B252" s="8"/>
      <c r="C252" s="58"/>
      <c r="D252" s="8"/>
      <c r="E252" s="9"/>
      <c r="F252" s="1736"/>
      <c r="G252" s="59"/>
    </row>
    <row r="253" spans="1:7" x14ac:dyDescent="0.25">
      <c r="A253" s="60"/>
      <c r="B253" s="61" t="s">
        <v>22</v>
      </c>
      <c r="C253" s="62" t="s">
        <v>60</v>
      </c>
      <c r="D253" s="63"/>
      <c r="E253" s="64"/>
      <c r="F253" s="1737"/>
      <c r="G253" s="64"/>
    </row>
    <row r="254" spans="1:7" x14ac:dyDescent="0.25">
      <c r="A254" s="67"/>
      <c r="B254" s="68"/>
      <c r="C254" s="91"/>
      <c r="D254" s="89"/>
      <c r="E254" s="90"/>
      <c r="F254" s="1744"/>
      <c r="G254" s="90"/>
    </row>
    <row r="255" spans="1:7" ht="85.5" x14ac:dyDescent="0.25">
      <c r="A255" s="67"/>
      <c r="B255" s="68" t="s">
        <v>32</v>
      </c>
      <c r="C255" s="91" t="s">
        <v>89</v>
      </c>
      <c r="D255" s="89" t="s">
        <v>69</v>
      </c>
      <c r="E255" s="64">
        <v>1500</v>
      </c>
      <c r="F255" s="1744"/>
      <c r="G255" s="90">
        <f>ROUND(E255*F255,2)</f>
        <v>0</v>
      </c>
    </row>
    <row r="256" spans="1:7" x14ac:dyDescent="0.25">
      <c r="A256" s="67"/>
      <c r="B256" s="68"/>
      <c r="C256" s="78"/>
      <c r="D256" s="89"/>
      <c r="E256" s="64"/>
      <c r="F256" s="1744"/>
      <c r="G256" s="90"/>
    </row>
    <row r="257" spans="1:7" ht="85.5" x14ac:dyDescent="0.25">
      <c r="A257" s="67"/>
      <c r="B257" s="68" t="s">
        <v>35</v>
      </c>
      <c r="C257" s="91" t="s">
        <v>74</v>
      </c>
      <c r="D257" s="89" t="s">
        <v>69</v>
      </c>
      <c r="E257" s="64">
        <v>100</v>
      </c>
      <c r="F257" s="1744"/>
      <c r="G257" s="90">
        <f>ROUND(E257*F257,2)</f>
        <v>0</v>
      </c>
    </row>
    <row r="258" spans="1:7" x14ac:dyDescent="0.25">
      <c r="A258" s="67"/>
      <c r="B258" s="92"/>
      <c r="C258" s="91"/>
      <c r="D258" s="89"/>
      <c r="E258" s="64"/>
      <c r="F258" s="1737"/>
      <c r="G258" s="90"/>
    </row>
    <row r="259" spans="1:7" ht="48" x14ac:dyDescent="0.25">
      <c r="A259" s="67"/>
      <c r="B259" s="92" t="s">
        <v>37</v>
      </c>
      <c r="C259" s="93" t="s">
        <v>91</v>
      </c>
      <c r="D259" s="94" t="s">
        <v>71</v>
      </c>
      <c r="E259" s="95">
        <v>600</v>
      </c>
      <c r="F259" s="1746"/>
      <c r="G259" s="90">
        <f>ROUND(E259*F259,2)</f>
        <v>0</v>
      </c>
    </row>
    <row r="260" spans="1:7" x14ac:dyDescent="0.25">
      <c r="A260" s="67"/>
      <c r="B260" s="68"/>
      <c r="C260" s="91"/>
      <c r="D260" s="89"/>
      <c r="E260" s="64"/>
      <c r="F260" s="1744"/>
      <c r="G260" s="90"/>
    </row>
    <row r="261" spans="1:7" ht="60" x14ac:dyDescent="0.25">
      <c r="A261" s="67"/>
      <c r="B261" s="68" t="s">
        <v>40</v>
      </c>
      <c r="C261" s="91" t="s">
        <v>90</v>
      </c>
      <c r="D261" s="89" t="s">
        <v>69</v>
      </c>
      <c r="E261" s="64">
        <v>1600</v>
      </c>
      <c r="F261" s="1744"/>
      <c r="G261" s="90">
        <f>ROUND(E261*F261,2)</f>
        <v>0</v>
      </c>
    </row>
    <row r="262" spans="1:7" x14ac:dyDescent="0.25">
      <c r="A262" s="60"/>
      <c r="B262" s="65"/>
      <c r="C262" s="77"/>
      <c r="D262" s="63"/>
      <c r="E262" s="64"/>
      <c r="F262" s="1737"/>
      <c r="G262" s="64"/>
    </row>
    <row r="263" spans="1:7" x14ac:dyDescent="0.25">
      <c r="A263" s="60"/>
      <c r="B263" s="63"/>
      <c r="C263" s="1182" t="s">
        <v>75</v>
      </c>
      <c r="D263" s="1183"/>
      <c r="E263" s="1184"/>
      <c r="F263" s="1739"/>
      <c r="G263" s="1184">
        <f>ROUND(SUM(G254:G261),2)</f>
        <v>0</v>
      </c>
    </row>
    <row r="264" spans="1:7" x14ac:dyDescent="0.25">
      <c r="A264" s="60"/>
      <c r="B264" s="63"/>
      <c r="C264" s="78"/>
      <c r="D264" s="63"/>
      <c r="E264" s="64"/>
      <c r="F264" s="1737"/>
      <c r="G264" s="64"/>
    </row>
    <row r="265" spans="1:7" customFormat="1" x14ac:dyDescent="0.25">
      <c r="F265" s="1741"/>
    </row>
    <row r="266" spans="1:7" customFormat="1" x14ac:dyDescent="0.25">
      <c r="F266" s="1741"/>
    </row>
    <row r="267" spans="1:7" customFormat="1" x14ac:dyDescent="0.25">
      <c r="F267" s="1741"/>
    </row>
    <row r="268" spans="1:7" customFormat="1" x14ac:dyDescent="0.25">
      <c r="F268" s="1741"/>
    </row>
    <row r="269" spans="1:7" customFormat="1" x14ac:dyDescent="0.25">
      <c r="F269" s="1741"/>
    </row>
    <row r="270" spans="1:7" customFormat="1" x14ac:dyDescent="0.25">
      <c r="F270" s="1741"/>
    </row>
    <row r="287" spans="1:7" x14ac:dyDescent="0.25">
      <c r="A287" s="6"/>
      <c r="B287" s="6"/>
      <c r="C287" s="7"/>
      <c r="D287" s="8"/>
      <c r="E287" s="9"/>
      <c r="F287" s="1725"/>
      <c r="G287" s="10"/>
    </row>
    <row r="288" spans="1:7" ht="18" x14ac:dyDescent="0.25">
      <c r="A288" s="1647" t="s">
        <v>1607</v>
      </c>
      <c r="B288" s="1646"/>
      <c r="C288" s="1646"/>
      <c r="D288" s="1646"/>
      <c r="E288" s="1646"/>
      <c r="F288" s="1745"/>
      <c r="G288" s="1646"/>
    </row>
    <row r="289" spans="1:7" ht="18" x14ac:dyDescent="0.25">
      <c r="A289" s="1647" t="s">
        <v>1608</v>
      </c>
      <c r="B289" s="1646"/>
      <c r="C289" s="1646"/>
      <c r="D289" s="1646"/>
      <c r="E289" s="1646"/>
      <c r="F289" s="1745"/>
      <c r="G289" s="1646"/>
    </row>
    <row r="290" spans="1:7" x14ac:dyDescent="0.25">
      <c r="A290" s="12"/>
      <c r="B290" s="13"/>
      <c r="C290" s="14"/>
      <c r="D290" s="15"/>
      <c r="E290" s="16"/>
      <c r="F290" s="1727"/>
      <c r="G290" s="13"/>
    </row>
    <row r="291" spans="1:7" x14ac:dyDescent="0.25">
      <c r="A291" s="17"/>
      <c r="B291" s="18" t="s">
        <v>20</v>
      </c>
      <c r="C291" s="19" t="s">
        <v>21</v>
      </c>
      <c r="D291" s="20"/>
      <c r="E291" s="21"/>
      <c r="F291" s="1728"/>
      <c r="G291" s="22"/>
    </row>
    <row r="292" spans="1:7" x14ac:dyDescent="0.25">
      <c r="A292" s="17"/>
      <c r="B292" s="18"/>
      <c r="C292" s="19"/>
      <c r="D292" s="20"/>
      <c r="E292" s="21"/>
      <c r="F292" s="1728"/>
      <c r="G292" s="22"/>
    </row>
    <row r="293" spans="1:7" x14ac:dyDescent="0.25">
      <c r="A293" s="17"/>
      <c r="B293" s="25" t="s">
        <v>22</v>
      </c>
      <c r="C293" s="26" t="s">
        <v>23</v>
      </c>
      <c r="D293" s="27"/>
      <c r="E293" s="28"/>
      <c r="F293" s="1729"/>
      <c r="G293" s="1321">
        <f>ROUND(G357,2)</f>
        <v>0</v>
      </c>
    </row>
    <row r="294" spans="1:7" x14ac:dyDescent="0.25">
      <c r="A294" s="17"/>
      <c r="B294" s="25" t="s">
        <v>24</v>
      </c>
      <c r="C294" s="26" t="s">
        <v>60</v>
      </c>
      <c r="D294" s="27"/>
      <c r="E294" s="28"/>
      <c r="F294" s="1729"/>
      <c r="G294" s="1321">
        <f>ROUND(G371,2)</f>
        <v>0</v>
      </c>
    </row>
    <row r="295" spans="1:7" x14ac:dyDescent="0.25">
      <c r="A295" s="17"/>
      <c r="B295" s="25" t="s">
        <v>61</v>
      </c>
      <c r="C295" s="26" t="s">
        <v>92</v>
      </c>
      <c r="D295" s="27"/>
      <c r="E295" s="28"/>
      <c r="F295" s="1729"/>
      <c r="G295" s="1321">
        <f>ROUND(G385,2)</f>
        <v>0</v>
      </c>
    </row>
    <row r="296" spans="1:7" x14ac:dyDescent="0.25">
      <c r="A296" s="17"/>
      <c r="B296" s="18"/>
      <c r="C296" s="29"/>
      <c r="D296" s="30"/>
      <c r="E296" s="31"/>
      <c r="F296" s="1730"/>
      <c r="G296" s="1322"/>
    </row>
    <row r="297" spans="1:7" ht="15.75" thickBot="1" x14ac:dyDescent="0.3">
      <c r="A297" s="32"/>
      <c r="B297" s="33"/>
      <c r="C297" s="34" t="s">
        <v>25</v>
      </c>
      <c r="D297" s="35"/>
      <c r="E297" s="36"/>
      <c r="F297" s="1731"/>
      <c r="G297" s="1323">
        <f>ROUND(SUM(G293:G295),2)</f>
        <v>0</v>
      </c>
    </row>
    <row r="298" spans="1:7" ht="15.75" thickTop="1" x14ac:dyDescent="0.25">
      <c r="A298" s="39"/>
      <c r="B298" s="40"/>
      <c r="C298" s="41"/>
      <c r="D298" s="42"/>
      <c r="E298" s="43"/>
      <c r="F298" s="1732"/>
      <c r="G298" s="44"/>
    </row>
    <row r="299" spans="1:7" x14ac:dyDescent="0.25">
      <c r="A299" s="39"/>
      <c r="B299" s="40"/>
      <c r="C299" s="41"/>
      <c r="D299" s="42"/>
      <c r="E299" s="43"/>
      <c r="F299" s="1732"/>
      <c r="G299" s="44"/>
    </row>
    <row r="300" spans="1:7" x14ac:dyDescent="0.25">
      <c r="A300" s="39"/>
      <c r="B300" s="40"/>
      <c r="C300" s="41"/>
      <c r="D300" s="42"/>
      <c r="E300" s="43"/>
      <c r="F300" s="1732"/>
      <c r="G300" s="44"/>
    </row>
    <row r="301" spans="1:7" x14ac:dyDescent="0.25">
      <c r="A301" s="45"/>
      <c r="B301" s="10"/>
      <c r="D301" s="46"/>
      <c r="E301" s="47"/>
      <c r="F301" s="1733"/>
      <c r="G301" s="6"/>
    </row>
    <row r="302" spans="1:7" x14ac:dyDescent="0.25">
      <c r="A302" s="45"/>
      <c r="B302" s="10"/>
      <c r="D302" s="46"/>
      <c r="E302" s="47"/>
      <c r="F302" s="1733"/>
      <c r="G302" s="6"/>
    </row>
    <row r="303" spans="1:7" x14ac:dyDescent="0.25">
      <c r="A303" s="45"/>
      <c r="B303" s="10"/>
      <c r="D303" s="46"/>
      <c r="E303" s="47"/>
      <c r="F303" s="1733"/>
      <c r="G303" s="6"/>
    </row>
    <row r="304" spans="1:7" x14ac:dyDescent="0.25">
      <c r="A304" s="45"/>
      <c r="B304" s="10"/>
      <c r="D304" s="46"/>
      <c r="E304" s="47"/>
      <c r="F304" s="1733"/>
      <c r="G304" s="6"/>
    </row>
    <row r="305" spans="1:7" x14ac:dyDescent="0.25">
      <c r="A305" s="45"/>
      <c r="B305" s="10"/>
      <c r="D305" s="46"/>
      <c r="E305" s="47"/>
      <c r="F305" s="1733"/>
      <c r="G305" s="6"/>
    </row>
    <row r="306" spans="1:7" x14ac:dyDescent="0.25">
      <c r="A306" s="45"/>
      <c r="B306" s="10"/>
      <c r="D306" s="46"/>
      <c r="E306" s="47"/>
      <c r="F306" s="1733"/>
      <c r="G306" s="6"/>
    </row>
    <row r="307" spans="1:7" x14ac:dyDescent="0.25">
      <c r="A307" s="45"/>
      <c r="B307" s="10"/>
      <c r="D307" s="46"/>
      <c r="E307" s="47"/>
      <c r="F307" s="1733"/>
      <c r="G307" s="6"/>
    </row>
    <row r="308" spans="1:7" x14ac:dyDescent="0.25">
      <c r="A308" s="45"/>
      <c r="B308" s="10"/>
      <c r="D308" s="46"/>
      <c r="E308" s="47"/>
      <c r="F308" s="1733"/>
      <c r="G308" s="6"/>
    </row>
    <row r="309" spans="1:7" x14ac:dyDescent="0.25">
      <c r="A309" s="45"/>
      <c r="B309" s="10"/>
      <c r="D309" s="46"/>
      <c r="E309" s="47"/>
      <c r="F309" s="1733"/>
      <c r="G309" s="6"/>
    </row>
    <row r="310" spans="1:7" x14ac:dyDescent="0.25">
      <c r="A310" s="45"/>
      <c r="B310" s="10"/>
      <c r="D310" s="46"/>
      <c r="E310" s="47"/>
      <c r="F310" s="1733"/>
      <c r="G310" s="6"/>
    </row>
    <row r="311" spans="1:7" x14ac:dyDescent="0.25">
      <c r="A311" s="45"/>
      <c r="B311" s="10"/>
      <c r="D311" s="46"/>
      <c r="E311" s="47"/>
      <c r="F311" s="1733"/>
      <c r="G311" s="6"/>
    </row>
    <row r="312" spans="1:7" x14ac:dyDescent="0.25">
      <c r="A312" s="45"/>
      <c r="B312" s="10"/>
      <c r="D312" s="46"/>
      <c r="E312" s="47"/>
      <c r="F312" s="1733"/>
      <c r="G312" s="6"/>
    </row>
    <row r="313" spans="1:7" x14ac:dyDescent="0.25">
      <c r="A313" s="45"/>
      <c r="B313" s="10"/>
      <c r="D313" s="46"/>
      <c r="E313" s="47"/>
      <c r="F313" s="1733"/>
      <c r="G313" s="6"/>
    </row>
    <row r="314" spans="1:7" x14ac:dyDescent="0.25">
      <c r="A314" s="45"/>
      <c r="B314" s="10"/>
      <c r="D314" s="46"/>
      <c r="E314" s="47"/>
      <c r="F314" s="1733"/>
      <c r="G314" s="6"/>
    </row>
    <row r="315" spans="1:7" x14ac:dyDescent="0.25">
      <c r="A315" s="45"/>
      <c r="B315" s="10"/>
      <c r="D315" s="46"/>
      <c r="E315" s="47"/>
      <c r="F315" s="1733"/>
      <c r="G315" s="6"/>
    </row>
    <row r="316" spans="1:7" x14ac:dyDescent="0.25">
      <c r="A316" s="45"/>
      <c r="B316" s="10"/>
      <c r="D316" s="46"/>
      <c r="E316" s="47"/>
      <c r="F316" s="1733"/>
      <c r="G316" s="6"/>
    </row>
    <row r="317" spans="1:7" x14ac:dyDescent="0.25">
      <c r="A317" s="45"/>
      <c r="B317" s="10"/>
      <c r="D317" s="46"/>
      <c r="E317" s="47"/>
      <c r="F317" s="1733"/>
      <c r="G317" s="6"/>
    </row>
    <row r="318" spans="1:7" x14ac:dyDescent="0.25">
      <c r="A318" s="45"/>
      <c r="B318" s="10"/>
      <c r="D318" s="46"/>
      <c r="E318" s="47"/>
      <c r="F318" s="1733"/>
      <c r="G318" s="6"/>
    </row>
    <row r="319" spans="1:7" x14ac:dyDescent="0.25">
      <c r="A319" s="45"/>
      <c r="B319" s="10"/>
      <c r="D319" s="46"/>
      <c r="E319" s="47"/>
      <c r="F319" s="1733"/>
      <c r="G319" s="6"/>
    </row>
    <row r="320" spans="1:7" x14ac:dyDescent="0.25">
      <c r="A320" s="45"/>
      <c r="B320" s="10"/>
      <c r="D320" s="46"/>
      <c r="E320" s="47"/>
      <c r="F320" s="1733"/>
      <c r="G320" s="6"/>
    </row>
    <row r="321" spans="1:7" x14ac:dyDescent="0.25">
      <c r="A321" s="45"/>
      <c r="B321" s="10"/>
      <c r="D321" s="46"/>
      <c r="E321" s="47"/>
      <c r="F321" s="1733"/>
      <c r="G321" s="6"/>
    </row>
    <row r="322" spans="1:7" x14ac:dyDescent="0.25">
      <c r="A322" s="45"/>
      <c r="B322" s="10"/>
      <c r="D322" s="46"/>
      <c r="E322" s="47"/>
      <c r="F322" s="1733"/>
      <c r="G322" s="6"/>
    </row>
    <row r="323" spans="1:7" x14ac:dyDescent="0.25">
      <c r="A323" s="45"/>
      <c r="B323" s="10"/>
      <c r="D323" s="46"/>
      <c r="E323" s="47"/>
      <c r="F323" s="1733"/>
      <c r="G323" s="6"/>
    </row>
    <row r="324" spans="1:7" x14ac:dyDescent="0.25">
      <c r="A324" s="45"/>
      <c r="B324" s="10"/>
      <c r="D324" s="46"/>
      <c r="E324" s="47"/>
      <c r="F324" s="1733"/>
      <c r="G324" s="6"/>
    </row>
    <row r="325" spans="1:7" x14ac:dyDescent="0.25">
      <c r="A325" s="45"/>
      <c r="B325" s="10"/>
      <c r="D325" s="46"/>
      <c r="E325" s="47"/>
      <c r="F325" s="1733"/>
      <c r="G325" s="6"/>
    </row>
    <row r="326" spans="1:7" x14ac:dyDescent="0.25">
      <c r="A326" s="45"/>
      <c r="B326" s="10"/>
      <c r="D326" s="46"/>
      <c r="E326" s="47"/>
      <c r="F326" s="1733"/>
      <c r="G326" s="6"/>
    </row>
    <row r="327" spans="1:7" x14ac:dyDescent="0.25">
      <c r="A327" s="45"/>
      <c r="B327" s="10"/>
      <c r="D327" s="46"/>
      <c r="E327" s="47"/>
      <c r="F327" s="1733"/>
      <c r="G327" s="6"/>
    </row>
    <row r="328" spans="1:7" x14ac:dyDescent="0.25">
      <c r="A328" s="45"/>
      <c r="B328" s="10"/>
      <c r="D328" s="46"/>
      <c r="E328" s="47"/>
      <c r="F328" s="1733"/>
      <c r="G328" s="6"/>
    </row>
    <row r="329" spans="1:7" x14ac:dyDescent="0.25">
      <c r="A329" s="45"/>
      <c r="B329" s="10"/>
      <c r="D329" s="46"/>
      <c r="E329" s="47"/>
      <c r="F329" s="1733"/>
      <c r="G329" s="6"/>
    </row>
    <row r="330" spans="1:7" x14ac:dyDescent="0.25">
      <c r="A330" s="45"/>
      <c r="B330" s="10"/>
      <c r="D330" s="46"/>
      <c r="E330" s="47"/>
      <c r="F330" s="1733"/>
      <c r="G330" s="6"/>
    </row>
    <row r="331" spans="1:7" x14ac:dyDescent="0.25">
      <c r="A331" s="45"/>
      <c r="B331" s="10"/>
      <c r="D331" s="46"/>
      <c r="E331" s="47"/>
      <c r="F331" s="1733"/>
      <c r="G331" s="6"/>
    </row>
    <row r="332" spans="1:7" x14ac:dyDescent="0.25">
      <c r="A332" s="45"/>
      <c r="B332" s="10"/>
      <c r="D332" s="46"/>
      <c r="E332" s="47"/>
      <c r="F332" s="1733"/>
      <c r="G332" s="6"/>
    </row>
    <row r="333" spans="1:7" x14ac:dyDescent="0.25">
      <c r="A333" s="45"/>
      <c r="B333" s="10"/>
      <c r="D333" s="46"/>
      <c r="E333" s="47"/>
      <c r="F333" s="1733"/>
      <c r="G333" s="6"/>
    </row>
    <row r="334" spans="1:7" x14ac:dyDescent="0.25">
      <c r="A334" s="45"/>
      <c r="B334" s="10"/>
      <c r="D334" s="46"/>
      <c r="E334" s="47"/>
      <c r="F334" s="1733"/>
      <c r="G334" s="6"/>
    </row>
    <row r="335" spans="1:7" x14ac:dyDescent="0.25">
      <c r="A335" s="45"/>
      <c r="B335" s="10"/>
      <c r="D335" s="46"/>
      <c r="E335" s="47"/>
      <c r="F335" s="1733"/>
      <c r="G335" s="6"/>
    </row>
    <row r="336" spans="1:7" x14ac:dyDescent="0.25">
      <c r="A336" s="45"/>
      <c r="B336" s="10"/>
      <c r="D336" s="46"/>
      <c r="E336" s="47"/>
      <c r="F336" s="1733"/>
      <c r="G336" s="6"/>
    </row>
    <row r="337" spans="1:7" x14ac:dyDescent="0.25">
      <c r="A337" s="45"/>
      <c r="B337" s="10"/>
      <c r="D337" s="46"/>
      <c r="E337" s="47"/>
      <c r="F337" s="1733"/>
      <c r="G337" s="6"/>
    </row>
    <row r="338" spans="1:7" x14ac:dyDescent="0.25">
      <c r="A338" s="45"/>
      <c r="B338" s="10"/>
      <c r="D338" s="46"/>
      <c r="E338" s="47"/>
      <c r="F338" s="1733"/>
      <c r="G338" s="6"/>
    </row>
    <row r="339" spans="1:7" x14ac:dyDescent="0.25">
      <c r="A339" s="45"/>
      <c r="B339" s="10"/>
      <c r="D339" s="46"/>
      <c r="E339" s="47"/>
      <c r="F339" s="1733"/>
      <c r="G339" s="6"/>
    </row>
    <row r="340" spans="1:7" x14ac:dyDescent="0.25">
      <c r="A340" s="48" t="s">
        <v>62</v>
      </c>
      <c r="B340" s="10"/>
      <c r="D340" s="46"/>
      <c r="E340" s="47"/>
      <c r="F340" s="1733"/>
      <c r="G340" s="6"/>
    </row>
    <row r="341" spans="1:7" x14ac:dyDescent="0.25">
      <c r="A341" s="49"/>
      <c r="B341" s="50"/>
      <c r="C341" s="51" t="s">
        <v>63</v>
      </c>
      <c r="D341" s="52"/>
      <c r="E341" s="53"/>
      <c r="F341" s="1734"/>
      <c r="G341" s="50"/>
    </row>
    <row r="342" spans="1:7" x14ac:dyDescent="0.25">
      <c r="A342" s="45"/>
      <c r="B342" s="6"/>
      <c r="C342" s="48"/>
      <c r="D342" s="46"/>
      <c r="E342" s="47"/>
      <c r="F342" s="1733"/>
      <c r="G342" s="6"/>
    </row>
    <row r="343" spans="1:7" x14ac:dyDescent="0.25">
      <c r="A343" s="45"/>
      <c r="B343" s="18" t="s">
        <v>20</v>
      </c>
      <c r="C343" s="19" t="s">
        <v>21</v>
      </c>
      <c r="D343" s="46"/>
      <c r="E343" s="47"/>
      <c r="F343" s="1733"/>
      <c r="G343" s="6"/>
    </row>
    <row r="344" spans="1:7" x14ac:dyDescent="0.25">
      <c r="A344" s="45"/>
      <c r="B344" s="6"/>
      <c r="C344" s="6"/>
      <c r="D344" s="46"/>
      <c r="E344" s="47"/>
      <c r="F344" s="1733"/>
      <c r="G344" s="6"/>
    </row>
    <row r="345" spans="1:7" x14ac:dyDescent="0.25">
      <c r="A345" s="8"/>
      <c r="B345" s="54" t="s">
        <v>26</v>
      </c>
      <c r="C345" s="55" t="s">
        <v>27</v>
      </c>
      <c r="D345" s="54" t="s">
        <v>28</v>
      </c>
      <c r="E345" s="56" t="s">
        <v>29</v>
      </c>
      <c r="F345" s="1735" t="s">
        <v>30</v>
      </c>
      <c r="G345" s="57" t="s">
        <v>31</v>
      </c>
    </row>
    <row r="346" spans="1:7" x14ac:dyDescent="0.25">
      <c r="A346" s="8"/>
      <c r="B346" s="8"/>
      <c r="C346" s="58"/>
      <c r="D346" s="8"/>
      <c r="E346" s="9"/>
      <c r="F346" s="1736"/>
      <c r="G346" s="59"/>
    </row>
    <row r="347" spans="1:7" x14ac:dyDescent="0.25">
      <c r="A347" s="60"/>
      <c r="B347" s="61" t="s">
        <v>22</v>
      </c>
      <c r="C347" s="62" t="s">
        <v>23</v>
      </c>
      <c r="D347" s="63"/>
      <c r="E347" s="64"/>
      <c r="F347" s="1737"/>
      <c r="G347" s="64"/>
    </row>
    <row r="348" spans="1:7" x14ac:dyDescent="0.25">
      <c r="A348" s="60"/>
      <c r="B348" s="4"/>
      <c r="C348" s="5"/>
      <c r="D348" s="1"/>
      <c r="E348" s="2"/>
      <c r="F348" s="1742"/>
      <c r="G348" s="84">
        <f t="shared" ref="G348" si="2">ROUND(E348*F348,2)</f>
        <v>0</v>
      </c>
    </row>
    <row r="349" spans="1:7" x14ac:dyDescent="0.25">
      <c r="A349" s="60"/>
      <c r="B349" s="4" t="s">
        <v>32</v>
      </c>
      <c r="C349" s="96" t="s">
        <v>94</v>
      </c>
      <c r="D349" s="1" t="s">
        <v>58</v>
      </c>
      <c r="E349" s="2">
        <v>1</v>
      </c>
      <c r="F349" s="1742"/>
      <c r="G349" s="64">
        <f>ROUND(E349*F349,2)</f>
        <v>0</v>
      </c>
    </row>
    <row r="350" spans="1:7" x14ac:dyDescent="0.25">
      <c r="A350" s="60"/>
      <c r="B350" s="65"/>
      <c r="C350" s="96"/>
      <c r="D350" s="86"/>
      <c r="E350" s="64"/>
      <c r="F350" s="1737"/>
      <c r="G350" s="64"/>
    </row>
    <row r="351" spans="1:7" x14ac:dyDescent="0.25">
      <c r="A351" s="60"/>
      <c r="B351" s="65" t="s">
        <v>35</v>
      </c>
      <c r="C351" s="96" t="s">
        <v>95</v>
      </c>
      <c r="D351" s="86" t="s">
        <v>71</v>
      </c>
      <c r="E351" s="97">
        <v>350</v>
      </c>
      <c r="F351" s="1747"/>
      <c r="G351" s="64">
        <f>ROUND(E351*F351,2)</f>
        <v>0</v>
      </c>
    </row>
    <row r="352" spans="1:7" x14ac:dyDescent="0.25">
      <c r="A352" s="60"/>
      <c r="B352" s="65"/>
      <c r="C352" s="96"/>
      <c r="D352" s="86"/>
      <c r="E352" s="64"/>
      <c r="F352" s="1737"/>
      <c r="G352" s="64"/>
    </row>
    <row r="353" spans="1:7" x14ac:dyDescent="0.25">
      <c r="A353" s="60"/>
      <c r="B353" s="65" t="s">
        <v>37</v>
      </c>
      <c r="C353" s="96" t="s">
        <v>96</v>
      </c>
      <c r="D353" s="86"/>
      <c r="E353" s="64"/>
      <c r="F353" s="1737"/>
      <c r="G353" s="64"/>
    </row>
    <row r="354" spans="1:7" x14ac:dyDescent="0.25">
      <c r="A354" s="60"/>
      <c r="B354" s="65" t="s">
        <v>97</v>
      </c>
      <c r="C354" s="96" t="s">
        <v>98</v>
      </c>
      <c r="D354" s="86" t="s">
        <v>39</v>
      </c>
      <c r="E354" s="64">
        <v>20</v>
      </c>
      <c r="F354" s="1737"/>
      <c r="G354" s="64">
        <f>ROUND(E354*F354,2)</f>
        <v>0</v>
      </c>
    </row>
    <row r="355" spans="1:7" x14ac:dyDescent="0.25">
      <c r="A355" s="60"/>
      <c r="B355" s="65" t="s">
        <v>99</v>
      </c>
      <c r="C355" s="96" t="s">
        <v>100</v>
      </c>
      <c r="D355" s="86" t="s">
        <v>39</v>
      </c>
      <c r="E355" s="64">
        <v>10</v>
      </c>
      <c r="F355" s="1737"/>
      <c r="G355" s="64">
        <f>ROUND(E355*F355,2)</f>
        <v>0</v>
      </c>
    </row>
    <row r="356" spans="1:7" x14ac:dyDescent="0.25">
      <c r="A356" s="60"/>
      <c r="B356" s="65"/>
      <c r="C356" s="77"/>
      <c r="D356" s="63"/>
      <c r="E356" s="64"/>
      <c r="F356" s="1737"/>
      <c r="G356" s="64"/>
    </row>
    <row r="357" spans="1:7" x14ac:dyDescent="0.25">
      <c r="A357" s="60"/>
      <c r="B357" s="63"/>
      <c r="C357" s="1182" t="s">
        <v>59</v>
      </c>
      <c r="D357" s="1183"/>
      <c r="E357" s="1184"/>
      <c r="F357" s="1739"/>
      <c r="G357" s="1184">
        <f>ROUND(SUM(G349:G355),2)</f>
        <v>0</v>
      </c>
    </row>
    <row r="358" spans="1:7" x14ac:dyDescent="0.25">
      <c r="A358" s="8"/>
      <c r="B358" s="8"/>
      <c r="C358" s="58"/>
      <c r="D358" s="8"/>
      <c r="E358" s="9"/>
      <c r="F358" s="1736"/>
      <c r="G358" s="1325"/>
    </row>
    <row r="359" spans="1:7" x14ac:dyDescent="0.25">
      <c r="A359" s="60"/>
      <c r="B359" s="61" t="s">
        <v>24</v>
      </c>
      <c r="C359" s="62" t="s">
        <v>60</v>
      </c>
      <c r="D359" s="63"/>
      <c r="E359" s="64"/>
      <c r="F359" s="1737"/>
      <c r="G359" s="64"/>
    </row>
    <row r="360" spans="1:7" x14ac:dyDescent="0.25">
      <c r="A360" s="67"/>
      <c r="B360" s="68"/>
      <c r="C360" s="88"/>
      <c r="D360" s="89"/>
      <c r="E360" s="90"/>
      <c r="F360" s="1744"/>
      <c r="G360" s="90"/>
    </row>
    <row r="361" spans="1:7" ht="48" x14ac:dyDescent="0.25">
      <c r="A361" s="67"/>
      <c r="B361" s="68" t="s">
        <v>32</v>
      </c>
      <c r="C361" s="91" t="s">
        <v>101</v>
      </c>
      <c r="D361" s="89" t="s">
        <v>69</v>
      </c>
      <c r="E361" s="64">
        <v>80</v>
      </c>
      <c r="F361" s="1744"/>
      <c r="G361" s="90">
        <f>ROUND(E361*F361,2)</f>
        <v>0</v>
      </c>
    </row>
    <row r="362" spans="1:7" x14ac:dyDescent="0.25">
      <c r="A362" s="67"/>
      <c r="B362" s="68"/>
      <c r="C362" s="91"/>
      <c r="D362" s="89"/>
      <c r="E362" s="64"/>
      <c r="F362" s="1744"/>
      <c r="G362" s="90"/>
    </row>
    <row r="363" spans="1:7" x14ac:dyDescent="0.25">
      <c r="A363" s="67"/>
      <c r="B363" s="68" t="s">
        <v>35</v>
      </c>
      <c r="C363" s="78" t="s">
        <v>70</v>
      </c>
      <c r="D363" s="89" t="s">
        <v>71</v>
      </c>
      <c r="E363" s="64">
        <v>600</v>
      </c>
      <c r="F363" s="1744"/>
      <c r="G363" s="90">
        <f>ROUND(E363*F363,2)</f>
        <v>0</v>
      </c>
    </row>
    <row r="364" spans="1:7" x14ac:dyDescent="0.25">
      <c r="A364" s="67"/>
      <c r="B364" s="68"/>
      <c r="C364" s="78"/>
      <c r="D364" s="89"/>
      <c r="E364" s="64"/>
      <c r="F364" s="1744"/>
      <c r="G364" s="90"/>
    </row>
    <row r="365" spans="1:7" ht="85.5" x14ac:dyDescent="0.25">
      <c r="A365" s="67"/>
      <c r="B365" s="68" t="s">
        <v>37</v>
      </c>
      <c r="C365" s="91" t="s">
        <v>74</v>
      </c>
      <c r="D365" s="89" t="s">
        <v>69</v>
      </c>
      <c r="E365" s="64">
        <v>200</v>
      </c>
      <c r="F365" s="1744"/>
      <c r="G365" s="90">
        <f>ROUND(E365*F365,2)</f>
        <v>0</v>
      </c>
    </row>
    <row r="366" spans="1:7" x14ac:dyDescent="0.25">
      <c r="A366" s="67"/>
      <c r="B366" s="68"/>
      <c r="C366" s="91"/>
      <c r="D366" s="89"/>
      <c r="E366" s="64"/>
      <c r="F366" s="1744"/>
      <c r="G366" s="90"/>
    </row>
    <row r="367" spans="1:7" ht="60" x14ac:dyDescent="0.25">
      <c r="A367" s="67"/>
      <c r="B367" s="68" t="s">
        <v>40</v>
      </c>
      <c r="C367" s="91" t="s">
        <v>102</v>
      </c>
      <c r="D367" s="89" t="s">
        <v>69</v>
      </c>
      <c r="E367" s="64">
        <v>200</v>
      </c>
      <c r="F367" s="1744"/>
      <c r="G367" s="90">
        <f>ROUND(E367*F367,2)</f>
        <v>0</v>
      </c>
    </row>
    <row r="368" spans="1:7" x14ac:dyDescent="0.25">
      <c r="A368" s="67"/>
      <c r="B368" s="68"/>
      <c r="C368" s="78"/>
      <c r="D368" s="89"/>
      <c r="E368" s="64"/>
      <c r="F368" s="1744"/>
      <c r="G368" s="90"/>
    </row>
    <row r="369" spans="1:7" ht="73.5" x14ac:dyDescent="0.25">
      <c r="A369" s="67"/>
      <c r="B369" s="68" t="s">
        <v>42</v>
      </c>
      <c r="C369" s="91" t="s">
        <v>103</v>
      </c>
      <c r="D369" s="89" t="s">
        <v>69</v>
      </c>
      <c r="E369" s="64">
        <v>120</v>
      </c>
      <c r="F369" s="1744"/>
      <c r="G369" s="90">
        <f>ROUND(E369*F369,2)</f>
        <v>0</v>
      </c>
    </row>
    <row r="370" spans="1:7" x14ac:dyDescent="0.25">
      <c r="A370" s="60"/>
      <c r="B370" s="65"/>
      <c r="C370" s="77"/>
      <c r="D370" s="63"/>
      <c r="E370" s="64"/>
      <c r="F370" s="1737"/>
      <c r="G370" s="64"/>
    </row>
    <row r="371" spans="1:7" x14ac:dyDescent="0.25">
      <c r="A371" s="60"/>
      <c r="B371" s="63"/>
      <c r="C371" s="1182" t="s">
        <v>75</v>
      </c>
      <c r="D371" s="1183"/>
      <c r="E371" s="1184"/>
      <c r="F371" s="1739"/>
      <c r="G371" s="1184">
        <f>ROUND(SUM(G361:G369),2)</f>
        <v>0</v>
      </c>
    </row>
    <row r="372" spans="1:7" x14ac:dyDescent="0.25">
      <c r="A372" s="60"/>
      <c r="B372" s="63"/>
      <c r="C372" s="78"/>
      <c r="D372" s="63"/>
      <c r="E372" s="64"/>
      <c r="F372" s="1737"/>
      <c r="G372" s="64"/>
    </row>
    <row r="373" spans="1:7" x14ac:dyDescent="0.25">
      <c r="A373" s="79"/>
      <c r="B373" s="66" t="s">
        <v>61</v>
      </c>
      <c r="C373" s="66" t="s">
        <v>92</v>
      </c>
      <c r="D373" s="63"/>
      <c r="E373" s="64"/>
      <c r="F373" s="1737"/>
      <c r="G373" s="64"/>
    </row>
    <row r="374" spans="1:7" x14ac:dyDescent="0.25">
      <c r="A374" s="67"/>
      <c r="B374" s="92"/>
      <c r="C374" s="98"/>
      <c r="D374" s="89"/>
      <c r="E374" s="90"/>
      <c r="F374" s="1744"/>
      <c r="G374" s="90"/>
    </row>
    <row r="375" spans="1:7" ht="48" x14ac:dyDescent="0.25">
      <c r="A375" s="67"/>
      <c r="B375" s="92" t="s">
        <v>32</v>
      </c>
      <c r="C375" s="91" t="s">
        <v>104</v>
      </c>
      <c r="D375" s="89" t="s">
        <v>69</v>
      </c>
      <c r="E375" s="64">
        <v>80</v>
      </c>
      <c r="F375" s="1744"/>
      <c r="G375" s="90">
        <f>ROUND(E375*F375,2)</f>
        <v>0</v>
      </c>
    </row>
    <row r="376" spans="1:7" x14ac:dyDescent="0.25">
      <c r="B376" s="63"/>
      <c r="C376" s="66"/>
      <c r="D376" s="63"/>
      <c r="E376" s="64"/>
      <c r="F376" s="1737"/>
      <c r="G376" s="90"/>
    </row>
    <row r="377" spans="1:7" ht="36" x14ac:dyDescent="0.25">
      <c r="A377" s="79"/>
      <c r="B377" s="4" t="s">
        <v>35</v>
      </c>
      <c r="C377" s="4" t="s">
        <v>105</v>
      </c>
      <c r="D377" s="99" t="s">
        <v>71</v>
      </c>
      <c r="E377" s="97">
        <v>3500</v>
      </c>
      <c r="F377" s="1742"/>
      <c r="G377" s="90">
        <f>ROUND(E377*F377,2)</f>
        <v>0</v>
      </c>
    </row>
    <row r="378" spans="1:7" x14ac:dyDescent="0.25">
      <c r="A378" s="79"/>
      <c r="B378" s="100"/>
      <c r="C378" s="100"/>
      <c r="D378" s="99"/>
      <c r="E378" s="101"/>
      <c r="F378" s="1742"/>
      <c r="G378" s="90"/>
    </row>
    <row r="379" spans="1:7" ht="24" x14ac:dyDescent="0.25">
      <c r="A379" s="79"/>
      <c r="B379" s="4" t="s">
        <v>37</v>
      </c>
      <c r="C379" s="4" t="s">
        <v>106</v>
      </c>
      <c r="D379" s="99" t="s">
        <v>71</v>
      </c>
      <c r="E379" s="101">
        <v>3500</v>
      </c>
      <c r="F379" s="1742"/>
      <c r="G379" s="90">
        <f>ROUND(E379*F379,2)</f>
        <v>0</v>
      </c>
    </row>
    <row r="380" spans="1:7" x14ac:dyDescent="0.25">
      <c r="A380" s="79"/>
      <c r="B380" s="4"/>
      <c r="C380" s="4"/>
      <c r="D380" s="99"/>
      <c r="E380" s="101"/>
      <c r="F380" s="1742"/>
      <c r="G380" s="90"/>
    </row>
    <row r="381" spans="1:7" x14ac:dyDescent="0.25">
      <c r="A381" s="79"/>
      <c r="B381" s="4" t="s">
        <v>40</v>
      </c>
      <c r="C381" s="4" t="s">
        <v>107</v>
      </c>
      <c r="D381" s="99"/>
      <c r="E381" s="2"/>
      <c r="F381" s="1742"/>
      <c r="G381" s="90"/>
    </row>
    <row r="382" spans="1:7" x14ac:dyDescent="0.25">
      <c r="A382" s="79"/>
      <c r="B382" s="4" t="s">
        <v>97</v>
      </c>
      <c r="C382" s="4" t="s">
        <v>108</v>
      </c>
      <c r="D382" s="99" t="s">
        <v>109</v>
      </c>
      <c r="E382" s="2">
        <v>32</v>
      </c>
      <c r="F382" s="1742"/>
      <c r="G382" s="90">
        <f>ROUND(E382*F382,2)</f>
        <v>0</v>
      </c>
    </row>
    <row r="383" spans="1:7" x14ac:dyDescent="0.25">
      <c r="A383" s="79"/>
      <c r="B383" s="4" t="s">
        <v>99</v>
      </c>
      <c r="C383" s="4" t="s">
        <v>110</v>
      </c>
      <c r="D383" s="99" t="s">
        <v>109</v>
      </c>
      <c r="E383" s="2">
        <v>64</v>
      </c>
      <c r="F383" s="1742"/>
      <c r="G383" s="90">
        <f>ROUND(E383*F383,2)</f>
        <v>0</v>
      </c>
    </row>
    <row r="384" spans="1:7" x14ac:dyDescent="0.25">
      <c r="A384" s="60"/>
      <c r="B384" s="63"/>
      <c r="C384" s="81"/>
      <c r="D384" s="82"/>
      <c r="E384" s="83"/>
      <c r="F384" s="1748"/>
      <c r="G384" s="83"/>
    </row>
    <row r="385" spans="1:7" x14ac:dyDescent="0.25">
      <c r="A385" s="60"/>
      <c r="B385" s="63"/>
      <c r="C385" s="1185" t="s">
        <v>111</v>
      </c>
      <c r="D385" s="1186"/>
      <c r="E385" s="1187"/>
      <c r="F385" s="1749"/>
      <c r="G385" s="1187">
        <f>ROUND(SUM(G375:G383),2)</f>
        <v>0</v>
      </c>
    </row>
    <row r="386" spans="1:7" x14ac:dyDescent="0.25">
      <c r="A386" s="60"/>
      <c r="B386" s="63"/>
      <c r="C386" s="102"/>
      <c r="D386" s="63"/>
      <c r="E386" s="64"/>
      <c r="F386" s="1737"/>
      <c r="G386" s="64"/>
    </row>
    <row r="387" spans="1:7" customFormat="1" x14ac:dyDescent="0.25">
      <c r="F387" s="1741"/>
    </row>
    <row r="388" spans="1:7" customFormat="1" x14ac:dyDescent="0.25">
      <c r="F388" s="1741"/>
    </row>
    <row r="389" spans="1:7" customFormat="1" x14ac:dyDescent="0.25">
      <c r="F389" s="1741"/>
    </row>
    <row r="390" spans="1:7" customFormat="1" x14ac:dyDescent="0.25">
      <c r="F390" s="1741"/>
    </row>
    <row r="391" spans="1:7" customFormat="1" x14ac:dyDescent="0.25">
      <c r="F391" s="1741"/>
    </row>
    <row r="392" spans="1:7" customFormat="1" x14ac:dyDescent="0.25">
      <c r="F392" s="1741"/>
    </row>
    <row r="431" spans="1:7" x14ac:dyDescent="0.25">
      <c r="A431" s="6"/>
      <c r="B431" s="6"/>
      <c r="C431" s="7"/>
      <c r="D431" s="8"/>
      <c r="E431" s="9"/>
      <c r="F431" s="1725"/>
      <c r="G431" s="10"/>
    </row>
    <row r="432" spans="1:7" ht="18" x14ac:dyDescent="0.25">
      <c r="A432" s="1647" t="s">
        <v>1609</v>
      </c>
      <c r="B432" s="1646"/>
      <c r="C432" s="1646"/>
      <c r="D432" s="1646"/>
      <c r="E432" s="1646"/>
      <c r="F432" s="1745"/>
      <c r="G432" s="1646"/>
    </row>
    <row r="433" spans="1:7" ht="18" x14ac:dyDescent="0.25">
      <c r="A433" s="1647" t="s">
        <v>1610</v>
      </c>
      <c r="B433" s="1646"/>
      <c r="C433" s="1646"/>
      <c r="D433" s="1646"/>
      <c r="E433" s="1646"/>
      <c r="F433" s="1745"/>
      <c r="G433" s="1646"/>
    </row>
    <row r="434" spans="1:7" x14ac:dyDescent="0.25">
      <c r="A434" s="12"/>
      <c r="B434" s="13"/>
      <c r="C434" s="14"/>
      <c r="D434" s="15"/>
      <c r="E434" s="16"/>
      <c r="F434" s="1727"/>
      <c r="G434" s="13"/>
    </row>
    <row r="435" spans="1:7" x14ac:dyDescent="0.25">
      <c r="A435" s="17"/>
      <c r="B435" s="18" t="s">
        <v>20</v>
      </c>
      <c r="C435" s="19" t="s">
        <v>21</v>
      </c>
      <c r="D435" s="20"/>
      <c r="E435" s="21"/>
      <c r="F435" s="1728"/>
      <c r="G435" s="22"/>
    </row>
    <row r="436" spans="1:7" x14ac:dyDescent="0.25">
      <c r="A436" s="17"/>
      <c r="B436" s="18"/>
      <c r="C436" s="19"/>
      <c r="D436" s="20"/>
      <c r="E436" s="21"/>
      <c r="F436" s="1728"/>
      <c r="G436" s="22"/>
    </row>
    <row r="437" spans="1:7" x14ac:dyDescent="0.25">
      <c r="A437" s="17"/>
      <c r="B437" s="25" t="s">
        <v>22</v>
      </c>
      <c r="C437" s="26" t="s">
        <v>23</v>
      </c>
      <c r="D437" s="27"/>
      <c r="E437" s="28"/>
      <c r="F437" s="1729"/>
      <c r="G437" s="1321">
        <f>ROUND(G503,2)</f>
        <v>0</v>
      </c>
    </row>
    <row r="438" spans="1:7" x14ac:dyDescent="0.25">
      <c r="A438" s="17"/>
      <c r="B438" s="25" t="s">
        <v>24</v>
      </c>
      <c r="C438" s="26" t="s">
        <v>60</v>
      </c>
      <c r="D438" s="27"/>
      <c r="E438" s="28"/>
      <c r="F438" s="1729"/>
      <c r="G438" s="1321">
        <f>ROUND(G519,2)</f>
        <v>0</v>
      </c>
    </row>
    <row r="439" spans="1:7" x14ac:dyDescent="0.25">
      <c r="A439" s="17"/>
      <c r="B439" s="25" t="s">
        <v>61</v>
      </c>
      <c r="C439" s="26" t="s">
        <v>112</v>
      </c>
      <c r="D439" s="27"/>
      <c r="E439" s="28"/>
      <c r="F439" s="1729"/>
      <c r="G439" s="1321">
        <f>ROUND(G535,2)</f>
        <v>0</v>
      </c>
    </row>
    <row r="440" spans="1:7" x14ac:dyDescent="0.25">
      <c r="A440" s="17"/>
      <c r="B440" s="25" t="s">
        <v>93</v>
      </c>
      <c r="C440" s="26" t="s">
        <v>113</v>
      </c>
      <c r="D440" s="27"/>
      <c r="E440" s="28"/>
      <c r="F440" s="1729"/>
      <c r="G440" s="1321">
        <f>ROUND(G543,2)</f>
        <v>0</v>
      </c>
    </row>
    <row r="441" spans="1:7" x14ac:dyDescent="0.25">
      <c r="A441" s="17"/>
      <c r="B441" s="25" t="s">
        <v>114</v>
      </c>
      <c r="C441" s="26" t="s">
        <v>115</v>
      </c>
      <c r="D441" s="27"/>
      <c r="E441" s="28"/>
      <c r="F441" s="1729"/>
      <c r="G441" s="1321">
        <f>ROUND(G551,2)</f>
        <v>0</v>
      </c>
    </row>
    <row r="442" spans="1:7" x14ac:dyDescent="0.25">
      <c r="A442" s="17"/>
      <c r="B442" s="25" t="s">
        <v>116</v>
      </c>
      <c r="C442" s="26" t="s">
        <v>117</v>
      </c>
      <c r="D442" s="27"/>
      <c r="E442" s="28"/>
      <c r="F442" s="1729"/>
      <c r="G442" s="1321">
        <f>ROUND(G559,2)</f>
        <v>0</v>
      </c>
    </row>
    <row r="443" spans="1:7" x14ac:dyDescent="0.25">
      <c r="A443" s="17"/>
      <c r="B443" s="25" t="s">
        <v>118</v>
      </c>
      <c r="C443" s="26" t="s">
        <v>92</v>
      </c>
      <c r="D443" s="27"/>
      <c r="E443" s="28"/>
      <c r="F443" s="1729"/>
      <c r="G443" s="1321">
        <f>ROUND(G576,2)</f>
        <v>0</v>
      </c>
    </row>
    <row r="444" spans="1:7" x14ac:dyDescent="0.25">
      <c r="A444" s="17"/>
      <c r="B444" s="18"/>
      <c r="C444" s="29"/>
      <c r="D444" s="30"/>
      <c r="E444" s="31"/>
      <c r="F444" s="1730"/>
      <c r="G444" s="1322"/>
    </row>
    <row r="445" spans="1:7" ht="15.75" thickBot="1" x14ac:dyDescent="0.3">
      <c r="A445" s="32"/>
      <c r="B445" s="33"/>
      <c r="C445" s="34" t="s">
        <v>119</v>
      </c>
      <c r="D445" s="35"/>
      <c r="E445" s="36"/>
      <c r="F445" s="1731"/>
      <c r="G445" s="1323">
        <f>ROUND(SUM(G437:G443),2)</f>
        <v>0</v>
      </c>
    </row>
    <row r="446" spans="1:7" ht="15.75" thickTop="1" x14ac:dyDescent="0.25">
      <c r="A446" s="39"/>
      <c r="B446" s="40"/>
      <c r="C446" s="41"/>
      <c r="D446" s="42"/>
      <c r="E446" s="43"/>
      <c r="F446" s="1732"/>
      <c r="G446" s="44"/>
    </row>
    <row r="447" spans="1:7" x14ac:dyDescent="0.25">
      <c r="A447" s="39"/>
      <c r="B447" s="40"/>
      <c r="C447" s="41"/>
      <c r="D447" s="42"/>
      <c r="E447" s="43"/>
      <c r="F447" s="1732"/>
      <c r="G447" s="44"/>
    </row>
    <row r="448" spans="1:7" x14ac:dyDescent="0.25">
      <c r="A448" s="45"/>
      <c r="B448" s="10"/>
      <c r="D448" s="46"/>
      <c r="E448" s="47"/>
      <c r="F448" s="1733"/>
      <c r="G448" s="6"/>
    </row>
    <row r="449" spans="1:7" x14ac:dyDescent="0.25">
      <c r="A449" s="45"/>
      <c r="B449" s="10"/>
      <c r="D449" s="46"/>
      <c r="E449" s="47"/>
      <c r="F449" s="1733"/>
      <c r="G449" s="6"/>
    </row>
    <row r="450" spans="1:7" x14ac:dyDescent="0.25">
      <c r="A450" s="45"/>
      <c r="B450" s="10"/>
      <c r="D450" s="46"/>
      <c r="E450" s="47"/>
      <c r="F450" s="1733"/>
      <c r="G450" s="6"/>
    </row>
    <row r="451" spans="1:7" x14ac:dyDescent="0.25">
      <c r="A451" s="45"/>
      <c r="B451" s="10"/>
      <c r="D451" s="46"/>
      <c r="E451" s="47"/>
      <c r="F451" s="1733"/>
      <c r="G451" s="6"/>
    </row>
    <row r="452" spans="1:7" x14ac:dyDescent="0.25">
      <c r="A452" s="45"/>
      <c r="B452" s="10"/>
      <c r="D452" s="46"/>
      <c r="E452" s="47"/>
      <c r="F452" s="1733"/>
      <c r="G452" s="6"/>
    </row>
    <row r="453" spans="1:7" x14ac:dyDescent="0.25">
      <c r="A453" s="45"/>
      <c r="B453" s="10"/>
      <c r="D453" s="46"/>
      <c r="E453" s="47"/>
      <c r="F453" s="1733"/>
      <c r="G453" s="6"/>
    </row>
    <row r="454" spans="1:7" x14ac:dyDescent="0.25">
      <c r="A454" s="45"/>
      <c r="B454" s="10"/>
      <c r="D454" s="46"/>
      <c r="E454" s="47"/>
      <c r="F454" s="1733"/>
      <c r="G454" s="6"/>
    </row>
    <row r="455" spans="1:7" x14ac:dyDescent="0.25">
      <c r="A455" s="45"/>
      <c r="B455" s="10"/>
      <c r="D455" s="46"/>
      <c r="E455" s="47"/>
      <c r="F455" s="1733"/>
      <c r="G455" s="6"/>
    </row>
    <row r="456" spans="1:7" x14ac:dyDescent="0.25">
      <c r="A456" s="45"/>
      <c r="B456" s="10"/>
      <c r="D456" s="46"/>
      <c r="E456" s="47"/>
      <c r="F456" s="1733"/>
      <c r="G456" s="6"/>
    </row>
    <row r="457" spans="1:7" x14ac:dyDescent="0.25">
      <c r="A457" s="45"/>
      <c r="B457" s="10"/>
      <c r="D457" s="46"/>
      <c r="E457" s="47"/>
      <c r="F457" s="1733"/>
      <c r="G457" s="6"/>
    </row>
    <row r="458" spans="1:7" x14ac:dyDescent="0.25">
      <c r="A458" s="45"/>
      <c r="B458" s="10"/>
      <c r="D458" s="46"/>
      <c r="E458" s="47"/>
      <c r="F458" s="1733"/>
      <c r="G458" s="6"/>
    </row>
    <row r="459" spans="1:7" x14ac:dyDescent="0.25">
      <c r="A459" s="45"/>
      <c r="B459" s="10"/>
      <c r="D459" s="46"/>
      <c r="E459" s="47"/>
      <c r="F459" s="1733"/>
      <c r="G459" s="6"/>
    </row>
    <row r="460" spans="1:7" x14ac:dyDescent="0.25">
      <c r="A460" s="45"/>
      <c r="B460" s="10"/>
      <c r="D460" s="46"/>
      <c r="E460" s="47"/>
      <c r="F460" s="1733"/>
      <c r="G460" s="6"/>
    </row>
    <row r="461" spans="1:7" x14ac:dyDescent="0.25">
      <c r="A461" s="45"/>
      <c r="B461" s="10"/>
      <c r="D461" s="46"/>
      <c r="E461" s="47"/>
      <c r="F461" s="1733"/>
      <c r="G461" s="6"/>
    </row>
    <row r="462" spans="1:7" x14ac:dyDescent="0.25">
      <c r="A462" s="45"/>
      <c r="B462" s="10"/>
      <c r="D462" s="46"/>
      <c r="E462" s="47"/>
      <c r="F462" s="1733"/>
      <c r="G462" s="6"/>
    </row>
    <row r="463" spans="1:7" x14ac:dyDescent="0.25">
      <c r="A463" s="45"/>
      <c r="B463" s="10"/>
      <c r="D463" s="46"/>
      <c r="E463" s="47"/>
      <c r="F463" s="1733"/>
      <c r="G463" s="6"/>
    </row>
    <row r="464" spans="1:7" x14ac:dyDescent="0.25">
      <c r="A464" s="45"/>
      <c r="B464" s="10"/>
      <c r="D464" s="46"/>
      <c r="E464" s="47"/>
      <c r="F464" s="1733"/>
      <c r="G464" s="6"/>
    </row>
    <row r="465" spans="1:7" x14ac:dyDescent="0.25">
      <c r="A465" s="45"/>
      <c r="B465" s="10"/>
      <c r="D465" s="46"/>
      <c r="E465" s="47"/>
      <c r="F465" s="1733"/>
      <c r="G465" s="6"/>
    </row>
    <row r="466" spans="1:7" x14ac:dyDescent="0.25">
      <c r="A466" s="45"/>
      <c r="B466" s="10"/>
      <c r="D466" s="46"/>
      <c r="E466" s="47"/>
      <c r="F466" s="1733"/>
      <c r="G466" s="6"/>
    </row>
    <row r="467" spans="1:7" x14ac:dyDescent="0.25">
      <c r="A467" s="45"/>
      <c r="B467" s="10"/>
      <c r="D467" s="46"/>
      <c r="E467" s="47"/>
      <c r="F467" s="1733"/>
      <c r="G467" s="6"/>
    </row>
    <row r="468" spans="1:7" x14ac:dyDescent="0.25">
      <c r="A468" s="45"/>
      <c r="B468" s="10"/>
      <c r="D468" s="46"/>
      <c r="E468" s="47"/>
      <c r="F468" s="1733"/>
      <c r="G468" s="6"/>
    </row>
    <row r="469" spans="1:7" x14ac:dyDescent="0.25">
      <c r="A469" s="45"/>
      <c r="B469" s="10"/>
      <c r="D469" s="46"/>
      <c r="E469" s="47"/>
      <c r="F469" s="1733"/>
      <c r="G469" s="6"/>
    </row>
    <row r="470" spans="1:7" x14ac:dyDescent="0.25">
      <c r="A470" s="45"/>
      <c r="B470" s="10"/>
      <c r="D470" s="46"/>
      <c r="E470" s="47"/>
      <c r="F470" s="1733"/>
      <c r="G470" s="6"/>
    </row>
    <row r="471" spans="1:7" x14ac:dyDescent="0.25">
      <c r="A471" s="45"/>
      <c r="B471" s="10"/>
      <c r="D471" s="46"/>
      <c r="E471" s="47"/>
      <c r="F471" s="1733"/>
      <c r="G471" s="6"/>
    </row>
    <row r="472" spans="1:7" x14ac:dyDescent="0.25">
      <c r="A472" s="45"/>
      <c r="B472" s="10"/>
      <c r="D472" s="46"/>
      <c r="E472" s="47"/>
      <c r="F472" s="1733"/>
      <c r="G472" s="6"/>
    </row>
    <row r="473" spans="1:7" x14ac:dyDescent="0.25">
      <c r="A473" s="45"/>
      <c r="B473" s="10"/>
      <c r="D473" s="46"/>
      <c r="E473" s="47"/>
      <c r="F473" s="1733"/>
      <c r="G473" s="6"/>
    </row>
    <row r="474" spans="1:7" x14ac:dyDescent="0.25">
      <c r="A474" s="45"/>
      <c r="B474" s="10"/>
      <c r="D474" s="46"/>
      <c r="E474" s="47"/>
      <c r="F474" s="1733"/>
      <c r="G474" s="6"/>
    </row>
    <row r="475" spans="1:7" x14ac:dyDescent="0.25">
      <c r="A475" s="45"/>
      <c r="B475" s="10"/>
      <c r="D475" s="46"/>
      <c r="E475" s="47"/>
      <c r="F475" s="1733"/>
      <c r="G475" s="6"/>
    </row>
    <row r="476" spans="1:7" x14ac:dyDescent="0.25">
      <c r="A476" s="45"/>
      <c r="B476" s="10"/>
      <c r="D476" s="46"/>
      <c r="E476" s="47"/>
      <c r="F476" s="1733"/>
      <c r="G476" s="6"/>
    </row>
    <row r="477" spans="1:7" x14ac:dyDescent="0.25">
      <c r="A477" s="45"/>
      <c r="B477" s="10"/>
      <c r="D477" s="46"/>
      <c r="E477" s="47"/>
      <c r="F477" s="1733"/>
      <c r="G477" s="6"/>
    </row>
    <row r="478" spans="1:7" x14ac:dyDescent="0.25">
      <c r="A478" s="45"/>
      <c r="B478" s="10"/>
      <c r="D478" s="46"/>
      <c r="E478" s="47"/>
      <c r="F478" s="1733"/>
      <c r="G478" s="6"/>
    </row>
    <row r="479" spans="1:7" x14ac:dyDescent="0.25">
      <c r="A479" s="45"/>
      <c r="B479" s="10"/>
      <c r="D479" s="46"/>
      <c r="E479" s="47"/>
      <c r="F479" s="1733"/>
      <c r="G479" s="6"/>
    </row>
    <row r="480" spans="1:7" x14ac:dyDescent="0.25">
      <c r="A480" s="45"/>
      <c r="B480" s="10"/>
      <c r="D480" s="46"/>
      <c r="E480" s="47"/>
      <c r="F480" s="1733"/>
      <c r="G480" s="6"/>
    </row>
    <row r="481" spans="1:7" x14ac:dyDescent="0.25">
      <c r="A481" s="45"/>
      <c r="B481" s="10"/>
      <c r="D481" s="46"/>
      <c r="E481" s="47"/>
      <c r="F481" s="1733"/>
      <c r="G481" s="6"/>
    </row>
    <row r="482" spans="1:7" x14ac:dyDescent="0.25">
      <c r="A482" s="45"/>
      <c r="B482" s="10"/>
      <c r="D482" s="46"/>
      <c r="E482" s="47"/>
      <c r="F482" s="1733"/>
      <c r="G482" s="6"/>
    </row>
    <row r="483" spans="1:7" x14ac:dyDescent="0.25">
      <c r="A483" s="45"/>
      <c r="B483" s="10"/>
      <c r="D483" s="46"/>
      <c r="E483" s="47"/>
      <c r="F483" s="1733"/>
      <c r="G483" s="6"/>
    </row>
    <row r="484" spans="1:7" x14ac:dyDescent="0.25">
      <c r="A484" s="48" t="s">
        <v>62</v>
      </c>
      <c r="B484" s="10"/>
      <c r="D484" s="46"/>
      <c r="E484" s="47"/>
      <c r="F484" s="1733"/>
      <c r="G484" s="6"/>
    </row>
    <row r="485" spans="1:7" x14ac:dyDescent="0.25">
      <c r="A485" s="49"/>
      <c r="B485" s="50"/>
      <c r="C485" s="51" t="s">
        <v>63</v>
      </c>
      <c r="D485" s="52"/>
      <c r="E485" s="53"/>
      <c r="F485" s="1734"/>
      <c r="G485" s="50"/>
    </row>
    <row r="486" spans="1:7" x14ac:dyDescent="0.25">
      <c r="A486" s="45"/>
      <c r="B486" s="6"/>
      <c r="C486" s="48"/>
      <c r="D486" s="46"/>
      <c r="E486" s="47"/>
      <c r="F486" s="1733"/>
      <c r="G486" s="6"/>
    </row>
    <row r="487" spans="1:7" x14ac:dyDescent="0.25">
      <c r="A487" s="45"/>
      <c r="B487" s="18" t="s">
        <v>20</v>
      </c>
      <c r="C487" s="19" t="s">
        <v>21</v>
      </c>
      <c r="D487" s="46"/>
      <c r="E487" s="47"/>
      <c r="F487" s="1733"/>
      <c r="G487" s="6"/>
    </row>
    <row r="488" spans="1:7" x14ac:dyDescent="0.25">
      <c r="A488" s="45"/>
      <c r="B488" s="6"/>
      <c r="C488" s="6"/>
      <c r="D488" s="46"/>
      <c r="E488" s="47"/>
      <c r="F488" s="1733"/>
      <c r="G488" s="6"/>
    </row>
    <row r="489" spans="1:7" x14ac:dyDescent="0.25">
      <c r="A489" s="8"/>
      <c r="B489" s="54" t="s">
        <v>26</v>
      </c>
      <c r="C489" s="55" t="s">
        <v>27</v>
      </c>
      <c r="D489" s="54" t="s">
        <v>28</v>
      </c>
      <c r="E489" s="56" t="s">
        <v>29</v>
      </c>
      <c r="F489" s="1735" t="s">
        <v>30</v>
      </c>
      <c r="G489" s="57" t="s">
        <v>31</v>
      </c>
    </row>
    <row r="490" spans="1:7" x14ac:dyDescent="0.25">
      <c r="A490" s="8"/>
      <c r="B490" s="8"/>
      <c r="C490" s="58"/>
      <c r="D490" s="8"/>
      <c r="E490" s="9"/>
      <c r="F490" s="1736"/>
      <c r="G490" s="59"/>
    </row>
    <row r="491" spans="1:7" x14ac:dyDescent="0.25">
      <c r="A491" s="60"/>
      <c r="B491" s="61" t="s">
        <v>22</v>
      </c>
      <c r="C491" s="62" t="s">
        <v>23</v>
      </c>
      <c r="D491" s="63"/>
      <c r="E491" s="64"/>
      <c r="F491" s="1737"/>
      <c r="G491" s="64"/>
    </row>
    <row r="492" spans="1:7" x14ac:dyDescent="0.25">
      <c r="A492" s="60"/>
      <c r="B492" s="65"/>
      <c r="C492" s="66"/>
      <c r="D492" s="63"/>
      <c r="E492" s="64"/>
      <c r="F492" s="1737"/>
      <c r="G492" s="64"/>
    </row>
    <row r="493" spans="1:7" s="205" customFormat="1" x14ac:dyDescent="0.25">
      <c r="A493" s="60"/>
      <c r="B493" s="4" t="s">
        <v>32</v>
      </c>
      <c r="C493" s="5" t="s">
        <v>120</v>
      </c>
      <c r="D493" s="99" t="s">
        <v>39</v>
      </c>
      <c r="E493" s="2">
        <v>1</v>
      </c>
      <c r="F493" s="1742"/>
      <c r="G493" s="64">
        <f>ROUND(E493*F493,2)</f>
        <v>0</v>
      </c>
    </row>
    <row r="494" spans="1:7" x14ac:dyDescent="0.25">
      <c r="A494" s="60"/>
      <c r="B494" s="4"/>
      <c r="C494" s="5"/>
      <c r="D494" s="99"/>
      <c r="E494" s="2"/>
      <c r="F494" s="1742"/>
      <c r="G494" s="64"/>
    </row>
    <row r="495" spans="1:7" ht="24" x14ac:dyDescent="0.25">
      <c r="A495" s="60"/>
      <c r="B495" s="65" t="s">
        <v>35</v>
      </c>
      <c r="C495" s="85" t="s">
        <v>66</v>
      </c>
      <c r="D495" s="63" t="s">
        <v>39</v>
      </c>
      <c r="E495" s="64">
        <v>4</v>
      </c>
      <c r="F495" s="1737"/>
      <c r="G495" s="64">
        <f>ROUND(E495*F495,2)</f>
        <v>0</v>
      </c>
    </row>
    <row r="496" spans="1:7" x14ac:dyDescent="0.25">
      <c r="A496" s="60"/>
      <c r="B496" s="65"/>
      <c r="C496" s="85"/>
      <c r="D496" s="63"/>
      <c r="E496" s="64"/>
      <c r="F496" s="1737"/>
      <c r="G496" s="64"/>
    </row>
    <row r="497" spans="1:7" x14ac:dyDescent="0.25">
      <c r="A497" s="60"/>
      <c r="B497" s="4" t="s">
        <v>37</v>
      </c>
      <c r="C497" s="103" t="s">
        <v>121</v>
      </c>
      <c r="D497" s="99"/>
      <c r="E497" s="2"/>
      <c r="F497" s="1742"/>
      <c r="G497" s="64"/>
    </row>
    <row r="498" spans="1:7" ht="24" x14ac:dyDescent="0.25">
      <c r="A498" s="60"/>
      <c r="B498" s="65" t="s">
        <v>97</v>
      </c>
      <c r="C498" s="4" t="s">
        <v>122</v>
      </c>
      <c r="D498" s="99" t="s">
        <v>65</v>
      </c>
      <c r="E498" s="2">
        <v>12</v>
      </c>
      <c r="F498" s="1742"/>
      <c r="G498" s="64">
        <f>ROUND(E498*F498,2)</f>
        <v>0</v>
      </c>
    </row>
    <row r="499" spans="1:7" ht="24" x14ac:dyDescent="0.25">
      <c r="A499" s="60"/>
      <c r="B499" s="65" t="s">
        <v>99</v>
      </c>
      <c r="C499" s="4" t="s">
        <v>123</v>
      </c>
      <c r="D499" s="99" t="s">
        <v>109</v>
      </c>
      <c r="E499" s="2">
        <v>8</v>
      </c>
      <c r="F499" s="1742"/>
      <c r="G499" s="64">
        <f>ROUND(E499*F499,2)</f>
        <v>0</v>
      </c>
    </row>
    <row r="500" spans="1:7" ht="24" x14ac:dyDescent="0.25">
      <c r="A500" s="60"/>
      <c r="B500" s="65" t="s">
        <v>124</v>
      </c>
      <c r="C500" s="4" t="s">
        <v>125</v>
      </c>
      <c r="D500" s="99" t="s">
        <v>109</v>
      </c>
      <c r="E500" s="2">
        <v>16</v>
      </c>
      <c r="F500" s="1742"/>
      <c r="G500" s="64">
        <f>ROUND(E500*F500,2)</f>
        <v>0</v>
      </c>
    </row>
    <row r="501" spans="1:7" x14ac:dyDescent="0.25">
      <c r="A501" s="60"/>
      <c r="B501" s="65" t="s">
        <v>126</v>
      </c>
      <c r="C501" s="4" t="s">
        <v>127</v>
      </c>
      <c r="D501" s="63" t="s">
        <v>109</v>
      </c>
      <c r="E501" s="87">
        <v>80</v>
      </c>
      <c r="F501" s="1743"/>
      <c r="G501" s="64">
        <f>ROUND(E501*F501,2)</f>
        <v>0</v>
      </c>
    </row>
    <row r="502" spans="1:7" x14ac:dyDescent="0.25">
      <c r="A502" s="60"/>
      <c r="B502" s="65"/>
      <c r="C502" s="77"/>
      <c r="D502" s="63"/>
      <c r="E502" s="64"/>
      <c r="F502" s="1737"/>
      <c r="G502" s="64"/>
    </row>
    <row r="503" spans="1:7" x14ac:dyDescent="0.25">
      <c r="A503" s="60"/>
      <c r="B503" s="63"/>
      <c r="C503" s="1182" t="s">
        <v>59</v>
      </c>
      <c r="D503" s="1183"/>
      <c r="E503" s="1184"/>
      <c r="F503" s="1739"/>
      <c r="G503" s="1184">
        <f>ROUND(SUM(G493:G501),2)</f>
        <v>0</v>
      </c>
    </row>
    <row r="504" spans="1:7" x14ac:dyDescent="0.25">
      <c r="A504" s="60"/>
      <c r="B504" s="63"/>
      <c r="C504" s="78"/>
      <c r="D504" s="63"/>
      <c r="E504" s="64"/>
      <c r="F504" s="1737"/>
      <c r="G504" s="64"/>
    </row>
    <row r="505" spans="1:7" x14ac:dyDescent="0.25">
      <c r="A505" s="60"/>
      <c r="B505" s="62" t="s">
        <v>24</v>
      </c>
      <c r="C505" s="104" t="s">
        <v>60</v>
      </c>
      <c r="D505" s="63"/>
      <c r="E505" s="64"/>
      <c r="F505" s="1737"/>
      <c r="G505" s="64"/>
    </row>
    <row r="506" spans="1:7" x14ac:dyDescent="0.25">
      <c r="A506" s="60"/>
      <c r="B506" s="78"/>
      <c r="C506" s="105"/>
      <c r="D506" s="63"/>
      <c r="E506" s="64"/>
      <c r="F506" s="1737"/>
      <c r="G506" s="64"/>
    </row>
    <row r="507" spans="1:7" x14ac:dyDescent="0.25">
      <c r="A507" s="60"/>
      <c r="B507" s="4" t="s">
        <v>32</v>
      </c>
      <c r="C507" s="96" t="s">
        <v>128</v>
      </c>
      <c r="D507" s="99" t="s">
        <v>69</v>
      </c>
      <c r="E507" s="2">
        <v>250</v>
      </c>
      <c r="F507" s="1742"/>
      <c r="G507" s="64">
        <f>ROUND(E507*F507,2)</f>
        <v>0</v>
      </c>
    </row>
    <row r="508" spans="1:7" x14ac:dyDescent="0.25">
      <c r="A508" s="60"/>
      <c r="B508" s="4"/>
      <c r="C508" s="96"/>
      <c r="D508" s="99"/>
      <c r="E508" s="2"/>
      <c r="F508" s="1742"/>
      <c r="G508" s="64"/>
    </row>
    <row r="509" spans="1:7" x14ac:dyDescent="0.25">
      <c r="A509" s="60"/>
      <c r="B509" s="4" t="s">
        <v>35</v>
      </c>
      <c r="C509" s="96" t="s">
        <v>129</v>
      </c>
      <c r="D509" s="99" t="s">
        <v>69</v>
      </c>
      <c r="E509" s="2">
        <v>2</v>
      </c>
      <c r="F509" s="1742"/>
      <c r="G509" s="64">
        <f>ROUND(E509*F509,2)</f>
        <v>0</v>
      </c>
    </row>
    <row r="510" spans="1:7" x14ac:dyDescent="0.25">
      <c r="A510" s="67"/>
      <c r="B510" s="68"/>
      <c r="C510" s="91"/>
      <c r="D510" s="89"/>
      <c r="E510" s="90"/>
      <c r="F510" s="1744"/>
      <c r="G510" s="90"/>
    </row>
    <row r="511" spans="1:7" ht="73.5" x14ac:dyDescent="0.25">
      <c r="A511" s="67"/>
      <c r="B511" s="68" t="s">
        <v>37</v>
      </c>
      <c r="C511" s="91" t="s">
        <v>130</v>
      </c>
      <c r="D511" s="89" t="s">
        <v>69</v>
      </c>
      <c r="E511" s="64">
        <v>64</v>
      </c>
      <c r="F511" s="1744"/>
      <c r="G511" s="90">
        <f>ROUND(E511*F511,2)</f>
        <v>0</v>
      </c>
    </row>
    <row r="512" spans="1:7" x14ac:dyDescent="0.25">
      <c r="A512" s="60"/>
      <c r="B512" s="4"/>
      <c r="C512" s="96"/>
      <c r="D512" s="99"/>
      <c r="E512" s="2"/>
      <c r="F512" s="1742"/>
      <c r="G512" s="90"/>
    </row>
    <row r="513" spans="1:7" ht="60" x14ac:dyDescent="0.25">
      <c r="A513" s="60"/>
      <c r="B513" s="4" t="s">
        <v>40</v>
      </c>
      <c r="C513" s="77" t="s">
        <v>131</v>
      </c>
      <c r="D513" s="63" t="s">
        <v>69</v>
      </c>
      <c r="E513" s="64">
        <v>92</v>
      </c>
      <c r="F513" s="1737"/>
      <c r="G513" s="90">
        <f>ROUND(E513*F513,2)</f>
        <v>0</v>
      </c>
    </row>
    <row r="514" spans="1:7" x14ac:dyDescent="0.25">
      <c r="A514" s="60"/>
      <c r="B514" s="4"/>
      <c r="C514" s="96"/>
      <c r="D514" s="99"/>
      <c r="E514" s="2"/>
      <c r="F514" s="1742"/>
      <c r="G514" s="90"/>
    </row>
    <row r="515" spans="1:7" ht="48" x14ac:dyDescent="0.25">
      <c r="A515" s="60"/>
      <c r="B515" s="4" t="s">
        <v>42</v>
      </c>
      <c r="C515" s="96" t="s">
        <v>132</v>
      </c>
      <c r="D515" s="99" t="s">
        <v>69</v>
      </c>
      <c r="E515" s="2">
        <f>E507+E509-E513</f>
        <v>160</v>
      </c>
      <c r="F515" s="1742"/>
      <c r="G515" s="90">
        <f>ROUND(E515*F515,2)</f>
        <v>0</v>
      </c>
    </row>
    <row r="516" spans="1:7" x14ac:dyDescent="0.25">
      <c r="A516" s="60"/>
      <c r="B516" s="106"/>
      <c r="C516" s="96"/>
      <c r="D516" s="99"/>
      <c r="E516" s="2"/>
      <c r="F516" s="1742"/>
      <c r="G516" s="90"/>
    </row>
    <row r="517" spans="1:7" ht="24" x14ac:dyDescent="0.25">
      <c r="A517" s="60"/>
      <c r="B517" s="106" t="s">
        <v>44</v>
      </c>
      <c r="C517" s="4" t="s">
        <v>133</v>
      </c>
      <c r="D517" s="99" t="s">
        <v>71</v>
      </c>
      <c r="E517" s="2">
        <v>60</v>
      </c>
      <c r="F517" s="1742"/>
      <c r="G517" s="90">
        <f>ROUND(E517*F517,2)</f>
        <v>0</v>
      </c>
    </row>
    <row r="518" spans="1:7" x14ac:dyDescent="0.25">
      <c r="A518" s="60"/>
      <c r="B518" s="63"/>
      <c r="C518" s="81"/>
      <c r="D518" s="82"/>
      <c r="E518" s="83"/>
      <c r="F518" s="1748"/>
      <c r="G518" s="83"/>
    </row>
    <row r="519" spans="1:7" x14ac:dyDescent="0.25">
      <c r="A519" s="60"/>
      <c r="B519" s="63"/>
      <c r="C519" s="1185" t="s">
        <v>75</v>
      </c>
      <c r="D519" s="1186"/>
      <c r="E519" s="1187"/>
      <c r="F519" s="1749"/>
      <c r="G519" s="1187">
        <f>ROUND(SUM(G507:G517),2)</f>
        <v>0</v>
      </c>
    </row>
    <row r="520" spans="1:7" x14ac:dyDescent="0.25">
      <c r="A520" s="60"/>
      <c r="B520" s="63"/>
      <c r="C520" s="107"/>
      <c r="D520" s="63"/>
      <c r="E520" s="64"/>
      <c r="F520" s="1737"/>
      <c r="G520" s="108"/>
    </row>
    <row r="521" spans="1:7" x14ac:dyDescent="0.25">
      <c r="A521" s="60"/>
      <c r="B521" s="66" t="s">
        <v>61</v>
      </c>
      <c r="C521" s="105" t="s">
        <v>112</v>
      </c>
      <c r="D521" s="63"/>
      <c r="E521" s="64"/>
      <c r="F521" s="1737"/>
      <c r="G521" s="64"/>
    </row>
    <row r="522" spans="1:7" x14ac:dyDescent="0.25">
      <c r="A522" s="60"/>
      <c r="B522" s="106"/>
      <c r="C522" s="4"/>
      <c r="D522" s="1"/>
      <c r="E522" s="2"/>
      <c r="F522" s="1742"/>
      <c r="G522" s="64"/>
    </row>
    <row r="523" spans="1:7" ht="36" x14ac:dyDescent="0.25">
      <c r="A523" s="60"/>
      <c r="B523" s="4" t="s">
        <v>32</v>
      </c>
      <c r="C523" s="4" t="s">
        <v>134</v>
      </c>
      <c r="D523" s="99" t="s">
        <v>69</v>
      </c>
      <c r="E523" s="2">
        <v>30</v>
      </c>
      <c r="F523" s="1742"/>
      <c r="G523" s="64">
        <f>ROUND(E523*F523,2)</f>
        <v>0</v>
      </c>
    </row>
    <row r="524" spans="1:7" x14ac:dyDescent="0.25">
      <c r="A524" s="60"/>
      <c r="B524" s="106"/>
      <c r="C524" s="4"/>
      <c r="D524" s="99"/>
      <c r="E524" s="2"/>
      <c r="F524" s="1742"/>
      <c r="G524" s="64"/>
    </row>
    <row r="525" spans="1:7" ht="24" x14ac:dyDescent="0.25">
      <c r="A525" s="60"/>
      <c r="B525" s="4" t="s">
        <v>35</v>
      </c>
      <c r="C525" s="4" t="s">
        <v>135</v>
      </c>
      <c r="D525" s="99" t="s">
        <v>65</v>
      </c>
      <c r="E525" s="2">
        <v>18</v>
      </c>
      <c r="F525" s="1742"/>
      <c r="G525" s="64">
        <f>ROUND(E525*F525,2)</f>
        <v>0</v>
      </c>
    </row>
    <row r="526" spans="1:7" x14ac:dyDescent="0.25">
      <c r="A526" s="60"/>
      <c r="B526" s="106"/>
      <c r="C526" s="4"/>
      <c r="D526" s="99"/>
      <c r="E526" s="2"/>
      <c r="F526" s="1742"/>
      <c r="G526" s="64"/>
    </row>
    <row r="527" spans="1:7" ht="36" x14ac:dyDescent="0.25">
      <c r="A527" s="60"/>
      <c r="B527" s="106" t="s">
        <v>37</v>
      </c>
      <c r="C527" s="4" t="s">
        <v>136</v>
      </c>
      <c r="D527" s="99" t="s">
        <v>69</v>
      </c>
      <c r="E527" s="2">
        <v>1.6</v>
      </c>
      <c r="F527" s="1742"/>
      <c r="G527" s="64">
        <f>ROUND(E527*F527,2)</f>
        <v>0</v>
      </c>
    </row>
    <row r="528" spans="1:7" x14ac:dyDescent="0.25">
      <c r="A528" s="60"/>
      <c r="B528" s="106"/>
      <c r="C528" s="109"/>
      <c r="D528" s="99"/>
      <c r="E528" s="2"/>
      <c r="F528" s="1742"/>
      <c r="G528" s="64"/>
    </row>
    <row r="529" spans="1:7" ht="48" x14ac:dyDescent="0.25">
      <c r="A529" s="60"/>
      <c r="B529" s="106" t="s">
        <v>40</v>
      </c>
      <c r="C529" s="110" t="s">
        <v>137</v>
      </c>
      <c r="D529" s="99" t="s">
        <v>138</v>
      </c>
      <c r="E529" s="2">
        <v>70</v>
      </c>
      <c r="F529" s="1742"/>
      <c r="G529" s="64">
        <f>ROUND(E529*F529,2)</f>
        <v>0</v>
      </c>
    </row>
    <row r="530" spans="1:7" x14ac:dyDescent="0.25">
      <c r="A530" s="60"/>
      <c r="B530" s="106"/>
      <c r="C530" s="109"/>
      <c r="D530" s="99"/>
      <c r="E530" s="2"/>
      <c r="F530" s="1742"/>
      <c r="G530" s="64"/>
    </row>
    <row r="531" spans="1:7" ht="36" x14ac:dyDescent="0.25">
      <c r="A531" s="60"/>
      <c r="B531" s="106" t="s">
        <v>42</v>
      </c>
      <c r="C531" s="110" t="s">
        <v>139</v>
      </c>
      <c r="D531" s="99" t="s">
        <v>138</v>
      </c>
      <c r="E531" s="2">
        <v>240</v>
      </c>
      <c r="F531" s="1742"/>
      <c r="G531" s="64">
        <f>ROUND(E531*F531,2)</f>
        <v>0</v>
      </c>
    </row>
    <row r="532" spans="1:7" x14ac:dyDescent="0.25">
      <c r="A532" s="60"/>
      <c r="B532" s="106"/>
      <c r="C532" s="109"/>
      <c r="D532" s="99"/>
      <c r="E532" s="2"/>
      <c r="F532" s="1742"/>
      <c r="G532" s="64"/>
    </row>
    <row r="533" spans="1:7" ht="36" x14ac:dyDescent="0.25">
      <c r="A533" s="60"/>
      <c r="B533" s="106" t="s">
        <v>44</v>
      </c>
      <c r="C533" s="4" t="s">
        <v>140</v>
      </c>
      <c r="D533" s="99" t="s">
        <v>138</v>
      </c>
      <c r="E533" s="2">
        <v>660</v>
      </c>
      <c r="F533" s="1742"/>
      <c r="G533" s="64">
        <f>ROUND(E533*F533,2)</f>
        <v>0</v>
      </c>
    </row>
    <row r="534" spans="1:7" x14ac:dyDescent="0.25">
      <c r="A534" s="60"/>
      <c r="B534" s="63"/>
      <c r="C534" s="81"/>
      <c r="D534" s="82"/>
      <c r="E534" s="83"/>
      <c r="F534" s="1748"/>
      <c r="G534" s="83"/>
    </row>
    <row r="535" spans="1:7" x14ac:dyDescent="0.25">
      <c r="A535" s="60"/>
      <c r="B535" s="63"/>
      <c r="C535" s="1185" t="s">
        <v>141</v>
      </c>
      <c r="D535" s="1186"/>
      <c r="E535" s="1187"/>
      <c r="F535" s="1749"/>
      <c r="G535" s="1187">
        <f>ROUND(SUM(G523:G533),2)</f>
        <v>0</v>
      </c>
    </row>
    <row r="536" spans="1:7" x14ac:dyDescent="0.25">
      <c r="A536" s="60"/>
      <c r="B536" s="4"/>
      <c r="C536" s="4"/>
      <c r="D536" s="99"/>
      <c r="E536" s="2"/>
      <c r="F536" s="1742"/>
      <c r="G536" s="64"/>
    </row>
    <row r="537" spans="1:7" x14ac:dyDescent="0.25">
      <c r="A537" s="60"/>
      <c r="B537" s="66" t="s">
        <v>93</v>
      </c>
      <c r="C537" s="105" t="s">
        <v>113</v>
      </c>
      <c r="D537" s="63"/>
      <c r="E537" s="64"/>
      <c r="F537" s="1737"/>
      <c r="G537" s="64"/>
    </row>
    <row r="538" spans="1:7" x14ac:dyDescent="0.25">
      <c r="A538" s="60"/>
      <c r="B538" s="106"/>
      <c r="C538" s="4"/>
      <c r="D538" s="99"/>
      <c r="E538" s="2"/>
      <c r="F538" s="1742"/>
      <c r="G538" s="64"/>
    </row>
    <row r="539" spans="1:7" ht="24" x14ac:dyDescent="0.25">
      <c r="A539" s="60"/>
      <c r="B539" s="106" t="s">
        <v>32</v>
      </c>
      <c r="C539" s="4" t="s">
        <v>142</v>
      </c>
      <c r="D539" s="99" t="s">
        <v>71</v>
      </c>
      <c r="E539" s="2">
        <v>16</v>
      </c>
      <c r="F539" s="1742"/>
      <c r="G539" s="64">
        <f>ROUND(E539*F539,2)</f>
        <v>0</v>
      </c>
    </row>
    <row r="540" spans="1:7" x14ac:dyDescent="0.25">
      <c r="A540" s="60"/>
      <c r="B540" s="106"/>
      <c r="C540" s="5"/>
      <c r="D540" s="99"/>
      <c r="E540" s="2"/>
      <c r="F540" s="1742"/>
      <c r="G540" s="64"/>
    </row>
    <row r="541" spans="1:7" ht="24" x14ac:dyDescent="0.25">
      <c r="A541" s="60"/>
      <c r="B541" s="106" t="s">
        <v>35</v>
      </c>
      <c r="C541" s="4" t="s">
        <v>143</v>
      </c>
      <c r="D541" s="99" t="s">
        <v>71</v>
      </c>
      <c r="E541" s="2">
        <v>11</v>
      </c>
      <c r="F541" s="1742"/>
      <c r="G541" s="64">
        <f>ROUND(E541*F541,2)</f>
        <v>0</v>
      </c>
    </row>
    <row r="542" spans="1:7" x14ac:dyDescent="0.25">
      <c r="A542" s="60"/>
      <c r="B542" s="63"/>
      <c r="C542" s="81"/>
      <c r="D542" s="82"/>
      <c r="E542" s="83"/>
      <c r="F542" s="1748"/>
      <c r="G542" s="83"/>
    </row>
    <row r="543" spans="1:7" x14ac:dyDescent="0.25">
      <c r="A543" s="60"/>
      <c r="B543" s="63"/>
      <c r="C543" s="3" t="s">
        <v>144</v>
      </c>
      <c r="D543" s="82"/>
      <c r="E543" s="83"/>
      <c r="F543" s="1748"/>
      <c r="G543" s="83">
        <f>ROUND(SUM(G539:G541),2)</f>
        <v>0</v>
      </c>
    </row>
    <row r="544" spans="1:7" x14ac:dyDescent="0.25">
      <c r="A544" s="60"/>
      <c r="B544" s="106"/>
      <c r="C544" s="4"/>
      <c r="D544" s="1"/>
      <c r="E544" s="2"/>
      <c r="F544" s="1742"/>
      <c r="G544" s="64"/>
    </row>
    <row r="545" spans="1:7" x14ac:dyDescent="0.25">
      <c r="A545" s="60"/>
      <c r="B545" s="66" t="s">
        <v>114</v>
      </c>
      <c r="C545" s="105" t="s">
        <v>115</v>
      </c>
      <c r="D545" s="63"/>
      <c r="E545" s="64"/>
      <c r="F545" s="1737"/>
      <c r="G545" s="64"/>
    </row>
    <row r="546" spans="1:7" x14ac:dyDescent="0.25">
      <c r="A546" s="60"/>
      <c r="B546" s="106"/>
      <c r="C546" s="4"/>
      <c r="D546" s="1"/>
      <c r="E546" s="2"/>
      <c r="F546" s="1742"/>
      <c r="G546" s="64"/>
    </row>
    <row r="547" spans="1:7" ht="24.75" x14ac:dyDescent="0.25">
      <c r="A547" s="60"/>
      <c r="B547" s="106" t="s">
        <v>32</v>
      </c>
      <c r="C547" s="109" t="s">
        <v>145</v>
      </c>
      <c r="D547" s="99" t="s">
        <v>39</v>
      </c>
      <c r="E547" s="2">
        <v>48</v>
      </c>
      <c r="F547" s="1742"/>
      <c r="G547" s="64">
        <f>ROUND(E547*F547,2)</f>
        <v>0</v>
      </c>
    </row>
    <row r="548" spans="1:7" x14ac:dyDescent="0.25">
      <c r="A548" s="60"/>
      <c r="B548" s="106"/>
      <c r="C548" s="103"/>
      <c r="D548" s="99"/>
      <c r="E548" s="2"/>
      <c r="F548" s="1742"/>
      <c r="G548" s="64"/>
    </row>
    <row r="549" spans="1:7" x14ac:dyDescent="0.25">
      <c r="A549" s="60"/>
      <c r="B549" s="106" t="s">
        <v>35</v>
      </c>
      <c r="C549" s="4" t="s">
        <v>146</v>
      </c>
      <c r="D549" s="99" t="s">
        <v>39</v>
      </c>
      <c r="E549" s="2">
        <v>32</v>
      </c>
      <c r="F549" s="1742"/>
      <c r="G549" s="64">
        <f>ROUND(E549*F549,2)</f>
        <v>0</v>
      </c>
    </row>
    <row r="550" spans="1:7" x14ac:dyDescent="0.25">
      <c r="A550" s="60"/>
      <c r="B550" s="63"/>
      <c r="C550" s="81"/>
      <c r="D550" s="82"/>
      <c r="E550" s="83"/>
      <c r="F550" s="1748"/>
      <c r="G550" s="83"/>
    </row>
    <row r="551" spans="1:7" x14ac:dyDescent="0.25">
      <c r="A551" s="60"/>
      <c r="B551" s="63"/>
      <c r="C551" s="1185" t="s">
        <v>147</v>
      </c>
      <c r="D551" s="1186"/>
      <c r="E551" s="1187"/>
      <c r="F551" s="1749"/>
      <c r="G551" s="1187">
        <f>ROUND(SUM(G547:G549),2)</f>
        <v>0</v>
      </c>
    </row>
    <row r="552" spans="1:7" x14ac:dyDescent="0.25">
      <c r="A552" s="60"/>
      <c r="B552" s="106"/>
      <c r="C552" s="4"/>
      <c r="D552" s="99"/>
      <c r="E552" s="2"/>
      <c r="F552" s="1742"/>
      <c r="G552" s="64"/>
    </row>
    <row r="553" spans="1:7" x14ac:dyDescent="0.25">
      <c r="A553" s="60"/>
      <c r="B553" s="66" t="s">
        <v>116</v>
      </c>
      <c r="C553" s="105" t="s">
        <v>117</v>
      </c>
      <c r="D553" s="63"/>
      <c r="E553" s="64"/>
      <c r="F553" s="1737"/>
      <c r="G553" s="64"/>
    </row>
    <row r="554" spans="1:7" x14ac:dyDescent="0.25">
      <c r="A554" s="60"/>
      <c r="B554" s="78"/>
      <c r="C554" s="105"/>
      <c r="D554" s="63"/>
      <c r="E554" s="64"/>
      <c r="F554" s="1737"/>
      <c r="G554" s="64"/>
    </row>
    <row r="555" spans="1:7" ht="36" x14ac:dyDescent="0.25">
      <c r="A555" s="60"/>
      <c r="B555" s="4" t="s">
        <v>32</v>
      </c>
      <c r="C555" s="4" t="s">
        <v>148</v>
      </c>
      <c r="D555" s="99" t="s">
        <v>69</v>
      </c>
      <c r="E555" s="2">
        <v>42</v>
      </c>
      <c r="F555" s="1742"/>
      <c r="G555" s="64">
        <f>ROUND(E555*F555,2)</f>
        <v>0</v>
      </c>
    </row>
    <row r="556" spans="1:7" x14ac:dyDescent="0.25">
      <c r="A556" s="60"/>
      <c r="B556" s="111"/>
      <c r="C556" s="5"/>
      <c r="D556" s="99"/>
      <c r="E556" s="2"/>
      <c r="F556" s="1742"/>
      <c r="G556" s="64"/>
    </row>
    <row r="557" spans="1:7" ht="48" x14ac:dyDescent="0.25">
      <c r="A557" s="60"/>
      <c r="B557" s="106" t="s">
        <v>35</v>
      </c>
      <c r="C557" s="4" t="s">
        <v>149</v>
      </c>
      <c r="D557" s="99" t="s">
        <v>69</v>
      </c>
      <c r="E557" s="2">
        <v>80</v>
      </c>
      <c r="F557" s="1742"/>
      <c r="G557" s="64">
        <f>ROUND(E557*F557,2)</f>
        <v>0</v>
      </c>
    </row>
    <row r="558" spans="1:7" x14ac:dyDescent="0.25">
      <c r="A558" s="60"/>
      <c r="B558" s="63"/>
      <c r="C558" s="81"/>
      <c r="D558" s="82"/>
      <c r="E558" s="83"/>
      <c r="F558" s="1748"/>
      <c r="G558" s="83"/>
    </row>
    <row r="559" spans="1:7" x14ac:dyDescent="0.25">
      <c r="A559" s="60"/>
      <c r="B559" s="63"/>
      <c r="C559" s="1185" t="s">
        <v>150</v>
      </c>
      <c r="D559" s="1186"/>
      <c r="E559" s="1187"/>
      <c r="F559" s="1749"/>
      <c r="G559" s="1187">
        <f>ROUND(SUM(G555:G557),2)</f>
        <v>0</v>
      </c>
    </row>
    <row r="560" spans="1:7" x14ac:dyDescent="0.25">
      <c r="A560" s="60"/>
      <c r="B560" s="106"/>
      <c r="C560" s="4"/>
      <c r="D560" s="1"/>
      <c r="E560" s="2"/>
      <c r="F560" s="1742"/>
      <c r="G560" s="64"/>
    </row>
    <row r="561" spans="1:7" x14ac:dyDescent="0.25">
      <c r="A561" s="79"/>
      <c r="B561" s="63"/>
      <c r="C561" s="78"/>
      <c r="D561" s="63"/>
      <c r="E561" s="64"/>
      <c r="F561" s="1737"/>
      <c r="G561" s="64"/>
    </row>
    <row r="562" spans="1:7" x14ac:dyDescent="0.25">
      <c r="A562" s="79"/>
      <c r="B562" s="66" t="s">
        <v>118</v>
      </c>
      <c r="C562" s="66" t="s">
        <v>92</v>
      </c>
      <c r="D562" s="63"/>
      <c r="E562" s="64"/>
      <c r="F562" s="1737"/>
      <c r="G562" s="64"/>
    </row>
    <row r="563" spans="1:7" x14ac:dyDescent="0.25">
      <c r="A563" s="79"/>
      <c r="B563" s="100"/>
      <c r="C563" s="100"/>
      <c r="D563" s="1"/>
      <c r="E563" s="101"/>
      <c r="F563" s="1742"/>
      <c r="G563" s="64"/>
    </row>
    <row r="564" spans="1:7" ht="48" x14ac:dyDescent="0.25">
      <c r="A564" s="79"/>
      <c r="B564" s="4" t="s">
        <v>32</v>
      </c>
      <c r="C564" s="4" t="s">
        <v>151</v>
      </c>
      <c r="D564" s="99" t="s">
        <v>39</v>
      </c>
      <c r="E564" s="2">
        <v>12</v>
      </c>
      <c r="F564" s="1742"/>
      <c r="G564" s="1326">
        <f>ROUND(E564*F564,2)</f>
        <v>0</v>
      </c>
    </row>
    <row r="565" spans="1:7" x14ac:dyDescent="0.25">
      <c r="A565" s="79"/>
      <c r="B565" s="100"/>
      <c r="C565" s="100"/>
      <c r="D565" s="99"/>
      <c r="E565" s="101"/>
      <c r="F565" s="1742"/>
      <c r="G565" s="64"/>
    </row>
    <row r="566" spans="1:7" ht="72" x14ac:dyDescent="0.25">
      <c r="A566" s="79"/>
      <c r="B566" s="4" t="s">
        <v>35</v>
      </c>
      <c r="C566" s="4" t="s">
        <v>152</v>
      </c>
      <c r="D566" s="99" t="s">
        <v>69</v>
      </c>
      <c r="E566" s="2">
        <v>112</v>
      </c>
      <c r="F566" s="1742"/>
      <c r="G566" s="1326">
        <f>ROUND(E566*F566,2)</f>
        <v>0</v>
      </c>
    </row>
    <row r="567" spans="1:7" x14ac:dyDescent="0.25">
      <c r="A567" s="60"/>
      <c r="B567" s="78"/>
      <c r="C567" s="105"/>
      <c r="D567" s="63"/>
      <c r="E567" s="64"/>
      <c r="F567" s="1737"/>
      <c r="G567" s="64"/>
    </row>
    <row r="568" spans="1:7" ht="48" x14ac:dyDescent="0.25">
      <c r="A568" s="60"/>
      <c r="B568" s="4" t="s">
        <v>37</v>
      </c>
      <c r="C568" s="4" t="s">
        <v>153</v>
      </c>
      <c r="D568" s="99" t="s">
        <v>69</v>
      </c>
      <c r="E568" s="2">
        <v>96</v>
      </c>
      <c r="F568" s="1742"/>
      <c r="G568" s="64">
        <f>ROUND(E568*F568,2)</f>
        <v>0</v>
      </c>
    </row>
    <row r="569" spans="1:7" x14ac:dyDescent="0.25">
      <c r="A569" s="79"/>
      <c r="B569" s="100"/>
      <c r="C569" s="100"/>
      <c r="D569" s="99"/>
      <c r="E569" s="101"/>
      <c r="F569" s="1742"/>
      <c r="G569" s="64"/>
    </row>
    <row r="570" spans="1:7" ht="24" x14ac:dyDescent="0.25">
      <c r="A570" s="79"/>
      <c r="B570" s="4" t="s">
        <v>40</v>
      </c>
      <c r="C570" s="4" t="s">
        <v>154</v>
      </c>
      <c r="D570" s="99" t="s">
        <v>71</v>
      </c>
      <c r="E570" s="97">
        <v>130</v>
      </c>
      <c r="F570" s="1742"/>
      <c r="G570" s="64">
        <f>ROUND(E570*F570,2)</f>
        <v>0</v>
      </c>
    </row>
    <row r="571" spans="1:7" x14ac:dyDescent="0.25">
      <c r="B571" s="63"/>
      <c r="C571" s="66"/>
      <c r="D571" s="63"/>
      <c r="E571" s="64"/>
      <c r="F571" s="1737"/>
      <c r="G571" s="64"/>
    </row>
    <row r="572" spans="1:7" ht="24" x14ac:dyDescent="0.25">
      <c r="A572" s="79"/>
      <c r="B572" s="4" t="s">
        <v>42</v>
      </c>
      <c r="C572" s="4" t="s">
        <v>155</v>
      </c>
      <c r="D572" s="99" t="s">
        <v>71</v>
      </c>
      <c r="E572" s="97">
        <v>250</v>
      </c>
      <c r="F572" s="1742"/>
      <c r="G572" s="64">
        <f>ROUND(E572*F572,2)</f>
        <v>0</v>
      </c>
    </row>
    <row r="573" spans="1:7" x14ac:dyDescent="0.25">
      <c r="A573" s="79"/>
      <c r="B573" s="100"/>
      <c r="C573" s="100"/>
      <c r="D573" s="99"/>
      <c r="E573" s="101"/>
      <c r="F573" s="1742"/>
      <c r="G573" s="64"/>
    </row>
    <row r="574" spans="1:7" x14ac:dyDescent="0.25">
      <c r="A574" s="79"/>
      <c r="B574" s="4" t="s">
        <v>44</v>
      </c>
      <c r="C574" s="4" t="s">
        <v>156</v>
      </c>
      <c r="D574" s="99" t="s">
        <v>71</v>
      </c>
      <c r="E574" s="101">
        <v>250</v>
      </c>
      <c r="F574" s="1742"/>
      <c r="G574" s="64">
        <f>ROUND(E574*F574,2)</f>
        <v>0</v>
      </c>
    </row>
    <row r="575" spans="1:7" x14ac:dyDescent="0.25">
      <c r="A575" s="60"/>
      <c r="B575" s="63"/>
      <c r="C575" s="81"/>
      <c r="D575" s="82"/>
      <c r="E575" s="83"/>
      <c r="F575" s="1748"/>
      <c r="G575" s="83"/>
    </row>
    <row r="576" spans="1:7" x14ac:dyDescent="0.25">
      <c r="A576" s="60"/>
      <c r="B576" s="63"/>
      <c r="C576" s="1185" t="s">
        <v>111</v>
      </c>
      <c r="D576" s="1186"/>
      <c r="E576" s="1187"/>
      <c r="F576" s="1749"/>
      <c r="G576" s="1187">
        <f>ROUND(SUM(G564:G574),2)</f>
        <v>0</v>
      </c>
    </row>
    <row r="577" spans="1:7" x14ac:dyDescent="0.25">
      <c r="A577" s="79"/>
      <c r="B577" s="63"/>
      <c r="C577" s="78"/>
      <c r="D577" s="63"/>
      <c r="E577" s="64"/>
      <c r="F577" s="1737"/>
      <c r="G577" s="64"/>
    </row>
    <row r="578" spans="1:7" customFormat="1" x14ac:dyDescent="0.25">
      <c r="F578" s="1741"/>
    </row>
    <row r="579" spans="1:7" customFormat="1" x14ac:dyDescent="0.25">
      <c r="F579" s="1741"/>
    </row>
    <row r="580" spans="1:7" customFormat="1" x14ac:dyDescent="0.25">
      <c r="F580" s="1741"/>
    </row>
    <row r="581" spans="1:7" customFormat="1" x14ac:dyDescent="0.25">
      <c r="F581" s="1741"/>
    </row>
    <row r="582" spans="1:7" customFormat="1" x14ac:dyDescent="0.25">
      <c r="F582" s="1741"/>
    </row>
    <row r="583" spans="1:7" customFormat="1" x14ac:dyDescent="0.25">
      <c r="F583" s="1741"/>
    </row>
    <row r="612" spans="1:7" x14ac:dyDescent="0.25">
      <c r="A612" s="6"/>
      <c r="B612" s="6"/>
      <c r="C612" s="7"/>
      <c r="D612" s="8"/>
      <c r="E612" s="9"/>
      <c r="F612" s="1725"/>
      <c r="G612" s="10"/>
    </row>
    <row r="613" spans="1:7" ht="18" x14ac:dyDescent="0.25">
      <c r="A613" s="1647" t="s">
        <v>1611</v>
      </c>
      <c r="B613" s="1648"/>
      <c r="C613" s="1648"/>
      <c r="D613" s="1648"/>
      <c r="E613" s="1648"/>
      <c r="F613" s="1726"/>
      <c r="G613" s="1648"/>
    </row>
    <row r="614" spans="1:7" ht="18" x14ac:dyDescent="0.25">
      <c r="A614" s="1647" t="s">
        <v>1612</v>
      </c>
      <c r="B614" s="1648"/>
      <c r="C614" s="1648"/>
      <c r="D614" s="1648"/>
      <c r="E614" s="1648"/>
      <c r="F614" s="1726"/>
      <c r="G614" s="1648"/>
    </row>
    <row r="615" spans="1:7" x14ac:dyDescent="0.25">
      <c r="A615" s="12"/>
      <c r="B615" s="13"/>
      <c r="C615" s="14"/>
      <c r="D615" s="15"/>
      <c r="E615" s="16"/>
      <c r="F615" s="1727"/>
      <c r="G615" s="13"/>
    </row>
    <row r="616" spans="1:7" x14ac:dyDescent="0.25">
      <c r="A616" s="17"/>
      <c r="B616" s="18" t="s">
        <v>20</v>
      </c>
      <c r="C616" s="19" t="s">
        <v>21</v>
      </c>
      <c r="D616" s="20"/>
      <c r="E616" s="21"/>
      <c r="F616" s="1728"/>
      <c r="G616" s="22"/>
    </row>
    <row r="617" spans="1:7" x14ac:dyDescent="0.25">
      <c r="A617" s="17"/>
      <c r="B617" s="18"/>
      <c r="C617" s="19"/>
      <c r="D617" s="20"/>
      <c r="E617" s="21"/>
      <c r="F617" s="1728"/>
      <c r="G617" s="22"/>
    </row>
    <row r="618" spans="1:7" x14ac:dyDescent="0.25">
      <c r="A618" s="17"/>
      <c r="B618" s="25" t="s">
        <v>22</v>
      </c>
      <c r="C618" s="26" t="s">
        <v>23</v>
      </c>
      <c r="D618" s="27"/>
      <c r="E618" s="28"/>
      <c r="F618" s="1729"/>
      <c r="G618" s="1321">
        <f>ROUND(G677,2)</f>
        <v>0</v>
      </c>
    </row>
    <row r="619" spans="1:7" x14ac:dyDescent="0.25">
      <c r="A619" s="17"/>
      <c r="B619" s="25" t="s">
        <v>24</v>
      </c>
      <c r="C619" s="26" t="s">
        <v>60</v>
      </c>
      <c r="D619" s="27"/>
      <c r="E619" s="28"/>
      <c r="F619" s="1729"/>
      <c r="G619" s="1321">
        <f>ROUND(G683,2)</f>
        <v>0</v>
      </c>
    </row>
    <row r="620" spans="1:7" x14ac:dyDescent="0.25">
      <c r="A620" s="17"/>
      <c r="B620" s="25" t="s">
        <v>61</v>
      </c>
      <c r="C620" s="26" t="s">
        <v>92</v>
      </c>
      <c r="D620" s="27"/>
      <c r="E620" s="28"/>
      <c r="F620" s="1729"/>
      <c r="G620" s="1321">
        <f>ROUND(G691,2)</f>
        <v>0</v>
      </c>
    </row>
    <row r="621" spans="1:7" x14ac:dyDescent="0.25">
      <c r="A621" s="17"/>
      <c r="B621" s="18"/>
      <c r="C621" s="29"/>
      <c r="D621" s="30"/>
      <c r="E621" s="31"/>
      <c r="F621" s="1730"/>
      <c r="G621" s="1322"/>
    </row>
    <row r="622" spans="1:7" ht="15.75" thickBot="1" x14ac:dyDescent="0.3">
      <c r="A622" s="32"/>
      <c r="B622" s="33"/>
      <c r="C622" s="34" t="s">
        <v>25</v>
      </c>
      <c r="D622" s="35"/>
      <c r="E622" s="36"/>
      <c r="F622" s="1731"/>
      <c r="G622" s="1323">
        <f>ROUND(SUM(G618:G620),2)</f>
        <v>0</v>
      </c>
    </row>
    <row r="623" spans="1:7" ht="15.75" thickTop="1" x14ac:dyDescent="0.25">
      <c r="A623" s="39"/>
      <c r="B623" s="40"/>
      <c r="C623" s="41"/>
      <c r="D623" s="42"/>
      <c r="E623" s="43"/>
      <c r="F623" s="1732"/>
      <c r="G623" s="44"/>
    </row>
    <row r="624" spans="1:7" x14ac:dyDescent="0.25">
      <c r="A624" s="39"/>
      <c r="B624" s="40"/>
      <c r="C624" s="41"/>
      <c r="D624" s="42"/>
      <c r="E624" s="43"/>
      <c r="F624" s="1732"/>
      <c r="G624" s="44"/>
    </row>
    <row r="625" spans="1:7" x14ac:dyDescent="0.25">
      <c r="A625" s="45"/>
      <c r="B625" s="10"/>
      <c r="D625" s="46"/>
      <c r="E625" s="47"/>
      <c r="F625" s="1733"/>
      <c r="G625" s="6"/>
    </row>
    <row r="626" spans="1:7" x14ac:dyDescent="0.25">
      <c r="A626" s="45"/>
      <c r="B626" s="10"/>
      <c r="D626" s="46"/>
      <c r="E626" s="47"/>
      <c r="F626" s="1733"/>
      <c r="G626" s="6"/>
    </row>
    <row r="627" spans="1:7" x14ac:dyDescent="0.25">
      <c r="A627" s="45"/>
      <c r="B627" s="10"/>
      <c r="D627" s="46"/>
      <c r="E627" s="47"/>
      <c r="F627" s="1733"/>
      <c r="G627" s="6"/>
    </row>
    <row r="628" spans="1:7" x14ac:dyDescent="0.25">
      <c r="A628" s="45"/>
      <c r="B628" s="10"/>
      <c r="D628" s="46"/>
      <c r="E628" s="47"/>
      <c r="F628" s="1733"/>
      <c r="G628" s="6"/>
    </row>
    <row r="629" spans="1:7" x14ac:dyDescent="0.25">
      <c r="A629" s="45"/>
      <c r="B629" s="10"/>
      <c r="D629" s="46"/>
      <c r="E629" s="47"/>
      <c r="F629" s="1733"/>
      <c r="G629" s="6"/>
    </row>
    <row r="630" spans="1:7" x14ac:dyDescent="0.25">
      <c r="A630" s="45"/>
      <c r="B630" s="10"/>
      <c r="D630" s="46"/>
      <c r="E630" s="47"/>
      <c r="F630" s="1733"/>
      <c r="G630" s="6"/>
    </row>
    <row r="631" spans="1:7" x14ac:dyDescent="0.25">
      <c r="A631" s="45"/>
      <c r="B631" s="10"/>
      <c r="D631" s="46"/>
      <c r="E631" s="47"/>
      <c r="F631" s="1733"/>
      <c r="G631" s="6"/>
    </row>
    <row r="632" spans="1:7" x14ac:dyDescent="0.25">
      <c r="A632" s="45"/>
      <c r="B632" s="10"/>
      <c r="D632" s="46"/>
      <c r="E632" s="47"/>
      <c r="F632" s="1733"/>
      <c r="G632" s="6"/>
    </row>
    <row r="633" spans="1:7" x14ac:dyDescent="0.25">
      <c r="A633" s="45"/>
      <c r="B633" s="10"/>
      <c r="D633" s="46"/>
      <c r="E633" s="47"/>
      <c r="F633" s="1733"/>
      <c r="G633" s="6"/>
    </row>
    <row r="634" spans="1:7" x14ac:dyDescent="0.25">
      <c r="A634" s="45"/>
      <c r="B634" s="10"/>
      <c r="D634" s="46"/>
      <c r="E634" s="47"/>
      <c r="F634" s="1733"/>
      <c r="G634" s="6"/>
    </row>
    <row r="635" spans="1:7" x14ac:dyDescent="0.25">
      <c r="A635" s="45"/>
      <c r="B635" s="10"/>
      <c r="D635" s="46"/>
      <c r="E635" s="47"/>
      <c r="F635" s="1733"/>
      <c r="G635" s="6"/>
    </row>
    <row r="636" spans="1:7" x14ac:dyDescent="0.25">
      <c r="A636" s="45"/>
      <c r="B636" s="10"/>
      <c r="D636" s="46"/>
      <c r="E636" s="47"/>
      <c r="F636" s="1733"/>
      <c r="G636" s="6"/>
    </row>
    <row r="637" spans="1:7" x14ac:dyDescent="0.25">
      <c r="A637" s="45"/>
      <c r="B637" s="10"/>
      <c r="D637" s="46"/>
      <c r="E637" s="47"/>
      <c r="F637" s="1733"/>
      <c r="G637" s="6"/>
    </row>
    <row r="638" spans="1:7" x14ac:dyDescent="0.25">
      <c r="A638" s="45"/>
      <c r="B638" s="10"/>
      <c r="D638" s="46"/>
      <c r="E638" s="47"/>
      <c r="F638" s="1733"/>
      <c r="G638" s="6"/>
    </row>
    <row r="639" spans="1:7" x14ac:dyDescent="0.25">
      <c r="A639" s="45"/>
      <c r="B639" s="10"/>
      <c r="D639" s="46"/>
      <c r="E639" s="47"/>
      <c r="F639" s="1733"/>
      <c r="G639" s="6"/>
    </row>
    <row r="640" spans="1:7" x14ac:dyDescent="0.25">
      <c r="A640" s="45"/>
      <c r="B640" s="10"/>
      <c r="D640" s="46"/>
      <c r="E640" s="47"/>
      <c r="F640" s="1733"/>
      <c r="G640" s="6"/>
    </row>
    <row r="641" spans="1:7" x14ac:dyDescent="0.25">
      <c r="A641" s="45"/>
      <c r="B641" s="10"/>
      <c r="D641" s="46"/>
      <c r="E641" s="47"/>
      <c r="F641" s="1733"/>
      <c r="G641" s="6"/>
    </row>
    <row r="642" spans="1:7" x14ac:dyDescent="0.25">
      <c r="A642" s="45"/>
      <c r="B642" s="10"/>
      <c r="D642" s="46"/>
      <c r="E642" s="47"/>
      <c r="F642" s="1733"/>
      <c r="G642" s="6"/>
    </row>
    <row r="643" spans="1:7" x14ac:dyDescent="0.25">
      <c r="A643" s="45"/>
      <c r="B643" s="10"/>
      <c r="D643" s="46"/>
      <c r="E643" s="47"/>
      <c r="F643" s="1733"/>
      <c r="G643" s="6"/>
    </row>
    <row r="644" spans="1:7" x14ac:dyDescent="0.25">
      <c r="A644" s="45"/>
      <c r="B644" s="10"/>
      <c r="D644" s="46"/>
      <c r="E644" s="47"/>
      <c r="F644" s="1733"/>
      <c r="G644" s="6"/>
    </row>
    <row r="645" spans="1:7" x14ac:dyDescent="0.25">
      <c r="A645" s="45"/>
      <c r="B645" s="10"/>
      <c r="D645" s="46"/>
      <c r="E645" s="47"/>
      <c r="F645" s="1733"/>
      <c r="G645" s="6"/>
    </row>
    <row r="646" spans="1:7" x14ac:dyDescent="0.25">
      <c r="A646" s="45"/>
      <c r="B646" s="10"/>
      <c r="D646" s="46"/>
      <c r="E646" s="47"/>
      <c r="F646" s="1733"/>
      <c r="G646" s="6"/>
    </row>
    <row r="647" spans="1:7" x14ac:dyDescent="0.25">
      <c r="A647" s="45"/>
      <c r="B647" s="10"/>
      <c r="D647" s="46"/>
      <c r="E647" s="47"/>
      <c r="F647" s="1733"/>
      <c r="G647" s="6"/>
    </row>
    <row r="648" spans="1:7" x14ac:dyDescent="0.25">
      <c r="A648" s="45"/>
      <c r="B648" s="10"/>
      <c r="D648" s="46"/>
      <c r="E648" s="47"/>
      <c r="F648" s="1733"/>
      <c r="G648" s="6"/>
    </row>
    <row r="649" spans="1:7" x14ac:dyDescent="0.25">
      <c r="A649" s="45"/>
      <c r="B649" s="10"/>
      <c r="D649" s="46"/>
      <c r="E649" s="47"/>
      <c r="F649" s="1733"/>
      <c r="G649" s="6"/>
    </row>
    <row r="650" spans="1:7" x14ac:dyDescent="0.25">
      <c r="A650" s="45"/>
      <c r="B650" s="10"/>
      <c r="D650" s="46"/>
      <c r="E650" s="47"/>
      <c r="F650" s="1733"/>
      <c r="G650" s="6"/>
    </row>
    <row r="651" spans="1:7" x14ac:dyDescent="0.25">
      <c r="A651" s="45"/>
      <c r="B651" s="10"/>
      <c r="D651" s="46"/>
      <c r="E651" s="47"/>
      <c r="F651" s="1733"/>
      <c r="G651" s="6"/>
    </row>
    <row r="652" spans="1:7" x14ac:dyDescent="0.25">
      <c r="A652" s="45"/>
      <c r="B652" s="10"/>
      <c r="D652" s="46"/>
      <c r="E652" s="47"/>
      <c r="F652" s="1733"/>
      <c r="G652" s="6"/>
    </row>
    <row r="653" spans="1:7" x14ac:dyDescent="0.25">
      <c r="A653" s="45"/>
      <c r="B653" s="10"/>
      <c r="D653" s="46"/>
      <c r="E653" s="47"/>
      <c r="F653" s="1733"/>
      <c r="G653" s="6"/>
    </row>
    <row r="654" spans="1:7" x14ac:dyDescent="0.25">
      <c r="A654" s="45"/>
      <c r="B654" s="10"/>
      <c r="D654" s="46"/>
      <c r="E654" s="47"/>
      <c r="F654" s="1733"/>
      <c r="G654" s="6"/>
    </row>
    <row r="655" spans="1:7" x14ac:dyDescent="0.25">
      <c r="A655" s="45"/>
      <c r="B655" s="10"/>
      <c r="D655" s="46"/>
      <c r="E655" s="47"/>
      <c r="F655" s="1733"/>
      <c r="G655" s="6"/>
    </row>
    <row r="656" spans="1:7" x14ac:dyDescent="0.25">
      <c r="A656" s="45"/>
      <c r="B656" s="10"/>
      <c r="D656" s="46"/>
      <c r="E656" s="47"/>
      <c r="F656" s="1733"/>
      <c r="G656" s="6"/>
    </row>
    <row r="657" spans="1:7" x14ac:dyDescent="0.25">
      <c r="A657" s="45"/>
      <c r="B657" s="10"/>
      <c r="D657" s="46"/>
      <c r="E657" s="47"/>
      <c r="F657" s="1733"/>
      <c r="G657" s="6"/>
    </row>
    <row r="658" spans="1:7" x14ac:dyDescent="0.25">
      <c r="A658" s="45"/>
      <c r="B658" s="10"/>
      <c r="D658" s="46"/>
      <c r="E658" s="47"/>
      <c r="F658" s="1733"/>
      <c r="G658" s="6"/>
    </row>
    <row r="659" spans="1:7" x14ac:dyDescent="0.25">
      <c r="A659" s="45"/>
      <c r="B659" s="10"/>
      <c r="D659" s="46"/>
      <c r="E659" s="47"/>
      <c r="F659" s="1733"/>
      <c r="G659" s="6"/>
    </row>
    <row r="660" spans="1:7" x14ac:dyDescent="0.25">
      <c r="A660" s="45"/>
      <c r="B660" s="10"/>
      <c r="D660" s="46"/>
      <c r="E660" s="47"/>
      <c r="F660" s="1733"/>
      <c r="G660" s="6"/>
    </row>
    <row r="661" spans="1:7" x14ac:dyDescent="0.25">
      <c r="A661" s="45"/>
      <c r="B661" s="10"/>
      <c r="D661" s="46"/>
      <c r="E661" s="47"/>
      <c r="F661" s="1733"/>
      <c r="G661" s="6"/>
    </row>
    <row r="662" spans="1:7" x14ac:dyDescent="0.25">
      <c r="A662" s="45"/>
      <c r="B662" s="10"/>
      <c r="D662" s="46"/>
      <c r="E662" s="47"/>
      <c r="F662" s="1733"/>
      <c r="G662" s="6"/>
    </row>
    <row r="663" spans="1:7" x14ac:dyDescent="0.25">
      <c r="A663" s="45"/>
      <c r="B663" s="10"/>
      <c r="D663" s="46"/>
      <c r="E663" s="47"/>
      <c r="F663" s="1733"/>
      <c r="G663" s="6"/>
    </row>
    <row r="664" spans="1:7" x14ac:dyDescent="0.25">
      <c r="A664" s="45"/>
      <c r="B664" s="10"/>
      <c r="D664" s="46"/>
      <c r="E664" s="47"/>
      <c r="F664" s="1733"/>
      <c r="G664" s="6"/>
    </row>
    <row r="665" spans="1:7" x14ac:dyDescent="0.25">
      <c r="A665" s="45"/>
      <c r="B665" s="10"/>
      <c r="D665" s="46"/>
      <c r="E665" s="47"/>
      <c r="F665" s="1733"/>
      <c r="G665" s="6"/>
    </row>
    <row r="666" spans="1:7" x14ac:dyDescent="0.25">
      <c r="A666" s="48" t="s">
        <v>62</v>
      </c>
      <c r="B666" s="10"/>
      <c r="D666" s="46"/>
      <c r="E666" s="47"/>
      <c r="F666" s="1733"/>
      <c r="G666" s="6"/>
    </row>
    <row r="667" spans="1:7" x14ac:dyDescent="0.25">
      <c r="A667" s="49"/>
      <c r="B667" s="50"/>
      <c r="C667" s="51" t="s">
        <v>63</v>
      </c>
      <c r="D667" s="52"/>
      <c r="E667" s="53"/>
      <c r="F667" s="1734"/>
      <c r="G667" s="50"/>
    </row>
    <row r="668" spans="1:7" x14ac:dyDescent="0.25">
      <c r="A668" s="45"/>
      <c r="B668" s="6"/>
      <c r="C668" s="48"/>
      <c r="D668" s="46"/>
      <c r="E668" s="47"/>
      <c r="F668" s="1733"/>
      <c r="G668" s="6"/>
    </row>
    <row r="669" spans="1:7" x14ac:dyDescent="0.25">
      <c r="A669" s="45"/>
      <c r="B669" s="18" t="s">
        <v>20</v>
      </c>
      <c r="C669" s="19" t="s">
        <v>21</v>
      </c>
      <c r="D669" s="46"/>
      <c r="E669" s="47"/>
      <c r="F669" s="1733"/>
      <c r="G669" s="6"/>
    </row>
    <row r="670" spans="1:7" x14ac:dyDescent="0.25">
      <c r="A670" s="45"/>
      <c r="B670" s="6"/>
      <c r="C670" s="6"/>
      <c r="D670" s="46"/>
      <c r="E670" s="47"/>
      <c r="F670" s="1733"/>
      <c r="G670" s="6"/>
    </row>
    <row r="671" spans="1:7" x14ac:dyDescent="0.25">
      <c r="A671" s="8"/>
      <c r="B671" s="54" t="s">
        <v>26</v>
      </c>
      <c r="C671" s="55" t="s">
        <v>27</v>
      </c>
      <c r="D671" s="54" t="s">
        <v>28</v>
      </c>
      <c r="E671" s="56" t="s">
        <v>29</v>
      </c>
      <c r="F671" s="1735" t="s">
        <v>30</v>
      </c>
      <c r="G671" s="57" t="s">
        <v>31</v>
      </c>
    </row>
    <row r="672" spans="1:7" x14ac:dyDescent="0.25">
      <c r="A672" s="8"/>
      <c r="B672" s="8"/>
      <c r="C672" s="58"/>
      <c r="D672" s="8"/>
      <c r="E672" s="9"/>
      <c r="F672" s="1736"/>
      <c r="G672" s="1325"/>
    </row>
    <row r="673" spans="1:7" x14ac:dyDescent="0.25">
      <c r="A673" s="60"/>
      <c r="B673" s="61" t="s">
        <v>22</v>
      </c>
      <c r="C673" s="62" t="s">
        <v>23</v>
      </c>
      <c r="D673" s="63"/>
      <c r="E673" s="64"/>
      <c r="F673" s="1737"/>
      <c r="G673" s="64"/>
    </row>
    <row r="674" spans="1:7" x14ac:dyDescent="0.25">
      <c r="A674" s="60"/>
      <c r="B674" s="4"/>
      <c r="C674" s="5"/>
      <c r="D674" s="1"/>
      <c r="E674" s="2"/>
      <c r="F674" s="1742"/>
      <c r="G674" s="64"/>
    </row>
    <row r="675" spans="1:7" ht="24" x14ac:dyDescent="0.25">
      <c r="A675" s="60"/>
      <c r="B675" s="4" t="s">
        <v>32</v>
      </c>
      <c r="C675" s="96" t="s">
        <v>157</v>
      </c>
      <c r="D675" s="1" t="s">
        <v>39</v>
      </c>
      <c r="E675" s="2">
        <v>20</v>
      </c>
      <c r="F675" s="1742"/>
      <c r="G675" s="64">
        <f>ROUND(E675*F675,2)</f>
        <v>0</v>
      </c>
    </row>
    <row r="676" spans="1:7" x14ac:dyDescent="0.25">
      <c r="A676" s="60"/>
      <c r="B676" s="65"/>
      <c r="C676" s="77"/>
      <c r="D676" s="63"/>
      <c r="E676" s="64"/>
      <c r="F676" s="1737"/>
      <c r="G676" s="64"/>
    </row>
    <row r="677" spans="1:7" x14ac:dyDescent="0.25">
      <c r="A677" s="60"/>
      <c r="B677" s="63"/>
      <c r="C677" s="1182" t="s">
        <v>59</v>
      </c>
      <c r="D677" s="1183"/>
      <c r="E677" s="1184"/>
      <c r="F677" s="1739"/>
      <c r="G677" s="1184">
        <f>ROUND(SUM(G675:G675),2)</f>
        <v>0</v>
      </c>
    </row>
    <row r="678" spans="1:7" x14ac:dyDescent="0.25">
      <c r="A678" s="8"/>
      <c r="B678" s="8"/>
      <c r="C678" s="58"/>
      <c r="D678" s="8"/>
      <c r="E678" s="9"/>
      <c r="F678" s="1736"/>
      <c r="G678" s="1325"/>
    </row>
    <row r="679" spans="1:7" x14ac:dyDescent="0.25">
      <c r="A679" s="60"/>
      <c r="B679" s="61" t="s">
        <v>24</v>
      </c>
      <c r="C679" s="62" t="s">
        <v>60</v>
      </c>
      <c r="D679" s="63"/>
      <c r="E679" s="64"/>
      <c r="F679" s="1737"/>
      <c r="G679" s="64"/>
    </row>
    <row r="680" spans="1:7" x14ac:dyDescent="0.25">
      <c r="A680" s="67"/>
      <c r="B680" s="68"/>
      <c r="C680" s="78"/>
      <c r="D680" s="89"/>
      <c r="E680" s="90"/>
      <c r="F680" s="1744"/>
      <c r="G680" s="90"/>
    </row>
    <row r="681" spans="1:7" ht="73.5" x14ac:dyDescent="0.25">
      <c r="A681" s="67"/>
      <c r="B681" s="68" t="s">
        <v>32</v>
      </c>
      <c r="C681" s="91" t="s">
        <v>103</v>
      </c>
      <c r="D681" s="89" t="s">
        <v>69</v>
      </c>
      <c r="E681" s="64">
        <v>200</v>
      </c>
      <c r="F681" s="1744"/>
      <c r="G681" s="90">
        <f>ROUND(E681*F681,2)</f>
        <v>0</v>
      </c>
    </row>
    <row r="682" spans="1:7" x14ac:dyDescent="0.25">
      <c r="A682" s="60"/>
      <c r="B682" s="65"/>
      <c r="C682" s="77"/>
      <c r="D682" s="63"/>
      <c r="E682" s="64"/>
      <c r="F682" s="1737"/>
      <c r="G682" s="64"/>
    </row>
    <row r="683" spans="1:7" x14ac:dyDescent="0.25">
      <c r="A683" s="60"/>
      <c r="B683" s="63"/>
      <c r="C683" s="1182" t="s">
        <v>75</v>
      </c>
      <c r="D683" s="1183"/>
      <c r="E683" s="1184"/>
      <c r="F683" s="1739"/>
      <c r="G683" s="1184">
        <f>ROUND(SUM(G681),2)</f>
        <v>0</v>
      </c>
    </row>
    <row r="684" spans="1:7" x14ac:dyDescent="0.25">
      <c r="A684" s="60"/>
      <c r="B684" s="63"/>
      <c r="C684" s="78"/>
      <c r="D684" s="63"/>
      <c r="E684" s="64"/>
      <c r="F684" s="1737"/>
      <c r="G684" s="64"/>
    </row>
    <row r="685" spans="1:7" x14ac:dyDescent="0.25">
      <c r="A685" s="79"/>
      <c r="B685" s="66" t="s">
        <v>61</v>
      </c>
      <c r="C685" s="66" t="s">
        <v>92</v>
      </c>
      <c r="D685" s="63"/>
      <c r="E685" s="64"/>
      <c r="F685" s="1737"/>
      <c r="G685" s="64"/>
    </row>
    <row r="686" spans="1:7" x14ac:dyDescent="0.25">
      <c r="A686" s="79"/>
      <c r="B686" s="4"/>
      <c r="C686" s="4"/>
      <c r="D686" s="99"/>
      <c r="E686" s="101"/>
      <c r="F686" s="1742"/>
      <c r="G686" s="64"/>
    </row>
    <row r="687" spans="1:7" x14ac:dyDescent="0.25">
      <c r="A687" s="79"/>
      <c r="B687" s="4" t="s">
        <v>32</v>
      </c>
      <c r="C687" s="4" t="s">
        <v>107</v>
      </c>
      <c r="D687" s="99"/>
      <c r="E687" s="2"/>
      <c r="F687" s="1742"/>
      <c r="G687" s="64"/>
    </row>
    <row r="688" spans="1:7" x14ac:dyDescent="0.25">
      <c r="A688" s="79"/>
      <c r="B688" s="4" t="s">
        <v>97</v>
      </c>
      <c r="C688" s="4" t="s">
        <v>108</v>
      </c>
      <c r="D688" s="99" t="s">
        <v>109</v>
      </c>
      <c r="E688" s="2">
        <v>32</v>
      </c>
      <c r="F688" s="1742"/>
      <c r="G688" s="64">
        <f>ROUND(E688*F688,2)</f>
        <v>0</v>
      </c>
    </row>
    <row r="689" spans="1:7" x14ac:dyDescent="0.25">
      <c r="A689" s="79"/>
      <c r="B689" s="4" t="s">
        <v>99</v>
      </c>
      <c r="C689" s="4" t="s">
        <v>110</v>
      </c>
      <c r="D689" s="99" t="s">
        <v>109</v>
      </c>
      <c r="E689" s="2">
        <v>64</v>
      </c>
      <c r="F689" s="1742"/>
      <c r="G689" s="64">
        <f>ROUND(E689*F689,2)</f>
        <v>0</v>
      </c>
    </row>
    <row r="690" spans="1:7" x14ac:dyDescent="0.25">
      <c r="A690" s="60"/>
      <c r="B690" s="63"/>
      <c r="C690" s="81"/>
      <c r="D690" s="82"/>
      <c r="E690" s="83"/>
      <c r="F690" s="1748"/>
      <c r="G690" s="83"/>
    </row>
    <row r="691" spans="1:7" x14ac:dyDescent="0.25">
      <c r="A691" s="60"/>
      <c r="B691" s="63"/>
      <c r="C691" s="1185" t="s">
        <v>111</v>
      </c>
      <c r="D691" s="1186"/>
      <c r="E691" s="1187"/>
      <c r="F691" s="1749"/>
      <c r="G691" s="1187">
        <f>ROUND(SUM(G688:G689),2)</f>
        <v>0</v>
      </c>
    </row>
    <row r="692" spans="1:7" x14ac:dyDescent="0.25">
      <c r="A692" s="60"/>
      <c r="B692" s="63"/>
      <c r="C692" s="102"/>
      <c r="D692" s="63"/>
      <c r="E692" s="64"/>
      <c r="F692" s="1737"/>
      <c r="G692" s="64"/>
    </row>
    <row r="693" spans="1:7" customFormat="1" x14ac:dyDescent="0.25">
      <c r="F693" s="1741"/>
    </row>
    <row r="694" spans="1:7" customFormat="1" x14ac:dyDescent="0.25">
      <c r="F694" s="1741"/>
    </row>
    <row r="695" spans="1:7" customFormat="1" x14ac:dyDescent="0.25">
      <c r="F695" s="1741"/>
    </row>
    <row r="696" spans="1:7" customFormat="1" x14ac:dyDescent="0.25">
      <c r="F696" s="1741"/>
      <c r="G696" s="1324"/>
    </row>
    <row r="697" spans="1:7" customFormat="1" x14ac:dyDescent="0.25">
      <c r="F697" s="1741"/>
    </row>
    <row r="698" spans="1:7" customFormat="1" x14ac:dyDescent="0.25">
      <c r="F698" s="1741"/>
    </row>
    <row r="699" spans="1:7" customFormat="1" x14ac:dyDescent="0.25">
      <c r="F699" s="1741"/>
    </row>
  </sheetData>
  <sheetProtection algorithmName="SHA-512" hashValue="8GorC/guSoj87dMqExTm7ElY7ZflYxVzAqnksxBdUo/liTI6t79ZmqKk/8kHeBj9R7aFnZVLnu1GFUySfWrvHA==" saltValue="xrOGh6ogIxoFEb/ViiT5fA==" spinCount="100000" sheet="1" objects="1" scenarios="1"/>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rowBreaks count="4" manualBreakCount="4">
    <brk id="99" max="6" man="1"/>
    <brk id="192" max="6" man="1"/>
    <brk id="430" max="6" man="1"/>
    <brk id="611"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L73"/>
  <sheetViews>
    <sheetView view="pageBreakPreview" zoomScale="110" zoomScaleNormal="55" zoomScaleSheetLayoutView="110" workbookViewId="0"/>
  </sheetViews>
  <sheetFormatPr defaultColWidth="9.140625" defaultRowHeight="15" x14ac:dyDescent="0.25"/>
  <cols>
    <col min="1" max="1" width="4.85546875" style="11" customWidth="1"/>
    <col min="2" max="2" width="4.5703125" style="11" bestFit="1" customWidth="1"/>
    <col min="3" max="3" width="39.28515625" style="11" customWidth="1"/>
    <col min="4" max="4" width="5.5703125" style="11" customWidth="1"/>
    <col min="5" max="5" width="10.5703125" style="11" bestFit="1" customWidth="1"/>
    <col min="6" max="6" width="11.42578125" style="1740" customWidth="1"/>
    <col min="7" max="7" width="14.5703125" style="11" bestFit="1" customWidth="1"/>
    <col min="8" max="9" width="10.7109375" style="11" bestFit="1" customWidth="1"/>
    <col min="10" max="16384" width="9.140625" style="11"/>
  </cols>
  <sheetData>
    <row r="1" spans="1:12" x14ac:dyDescent="0.25">
      <c r="A1" s="6"/>
      <c r="B1" s="6"/>
      <c r="C1" s="7"/>
      <c r="D1" s="8"/>
      <c r="E1" s="9"/>
      <c r="F1" s="1725"/>
      <c r="G1" s="10"/>
    </row>
    <row r="2" spans="1:12" ht="40.5" customHeight="1" x14ac:dyDescent="0.25">
      <c r="A2" s="1647" t="s">
        <v>340</v>
      </c>
      <c r="B2" s="1648"/>
      <c r="C2" s="1648"/>
      <c r="D2" s="1648"/>
      <c r="E2" s="1648"/>
      <c r="F2" s="1726"/>
      <c r="G2" s="1648"/>
    </row>
    <row r="3" spans="1:12" x14ac:dyDescent="0.25">
      <c r="A3" s="12"/>
      <c r="B3" s="13"/>
      <c r="C3" s="14"/>
      <c r="D3" s="15"/>
      <c r="E3" s="16"/>
      <c r="F3" s="1727"/>
      <c r="G3" s="13"/>
    </row>
    <row r="4" spans="1:12" x14ac:dyDescent="0.25">
      <c r="A4" s="17"/>
      <c r="B4" s="18" t="s">
        <v>20</v>
      </c>
      <c r="C4" s="19" t="s">
        <v>21</v>
      </c>
      <c r="D4" s="20"/>
      <c r="E4" s="21"/>
      <c r="F4" s="1728"/>
      <c r="G4" s="22"/>
      <c r="I4" s="23"/>
      <c r="J4" s="24"/>
    </row>
    <row r="5" spans="1:12" x14ac:dyDescent="0.25">
      <c r="A5" s="17"/>
      <c r="B5" s="18"/>
      <c r="C5" s="19"/>
      <c r="D5" s="20"/>
      <c r="E5" s="21"/>
      <c r="F5" s="1728"/>
      <c r="G5" s="22"/>
      <c r="I5" s="23"/>
      <c r="J5" s="24"/>
    </row>
    <row r="6" spans="1:12" x14ac:dyDescent="0.25">
      <c r="A6" s="17"/>
      <c r="B6" s="25" t="s">
        <v>22</v>
      </c>
      <c r="C6" s="26" t="s">
        <v>23</v>
      </c>
      <c r="D6" s="27"/>
      <c r="E6" s="28"/>
      <c r="F6" s="1729"/>
      <c r="G6" s="1321">
        <f>ROUND(G65,2)</f>
        <v>0</v>
      </c>
      <c r="I6" s="24"/>
      <c r="J6" s="24"/>
    </row>
    <row r="7" spans="1:12" x14ac:dyDescent="0.25">
      <c r="A7" s="17"/>
      <c r="B7" s="18"/>
      <c r="C7" s="29"/>
      <c r="D7" s="30"/>
      <c r="E7" s="31"/>
      <c r="F7" s="1730"/>
      <c r="G7" s="1322"/>
      <c r="I7" s="24"/>
      <c r="J7" s="24"/>
    </row>
    <row r="8" spans="1:12" ht="15.75" customHeight="1" thickBot="1" x14ac:dyDescent="0.3">
      <c r="A8" s="32"/>
      <c r="B8" s="33"/>
      <c r="C8" s="34" t="s">
        <v>25</v>
      </c>
      <c r="D8" s="35"/>
      <c r="E8" s="36"/>
      <c r="F8" s="1731"/>
      <c r="G8" s="1323">
        <f>ROUND(SUM(G6:G6),2)</f>
        <v>0</v>
      </c>
      <c r="K8" s="38"/>
      <c r="L8" s="24"/>
    </row>
    <row r="9" spans="1:12" ht="15.75" thickTop="1" x14ac:dyDescent="0.25">
      <c r="A9" s="39"/>
      <c r="B9" s="40"/>
      <c r="C9" s="41"/>
      <c r="D9" s="42"/>
      <c r="E9" s="43"/>
      <c r="F9" s="1732"/>
      <c r="G9" s="44"/>
      <c r="I9" s="24"/>
      <c r="J9" s="24"/>
    </row>
    <row r="10" spans="1:12" x14ac:dyDescent="0.25">
      <c r="A10" s="39"/>
      <c r="B10" s="40"/>
      <c r="C10" s="41"/>
      <c r="D10" s="42"/>
      <c r="E10" s="43"/>
      <c r="F10" s="1732"/>
      <c r="G10" s="44"/>
      <c r="I10" s="24"/>
      <c r="J10" s="24"/>
    </row>
    <row r="11" spans="1:12" x14ac:dyDescent="0.25">
      <c r="A11" s="39"/>
      <c r="B11" s="40"/>
      <c r="C11" s="41"/>
      <c r="D11" s="42"/>
      <c r="E11" s="43"/>
      <c r="F11" s="1732"/>
      <c r="G11" s="44"/>
      <c r="I11" s="24"/>
      <c r="J11" s="24"/>
    </row>
    <row r="12" spans="1:12" x14ac:dyDescent="0.25">
      <c r="A12" s="45"/>
      <c r="B12" s="10"/>
      <c r="D12" s="46"/>
      <c r="E12" s="47"/>
      <c r="F12" s="1733"/>
      <c r="G12" s="6"/>
    </row>
    <row r="13" spans="1:12" x14ac:dyDescent="0.25">
      <c r="A13" s="45"/>
      <c r="B13" s="10"/>
      <c r="D13" s="46"/>
      <c r="E13" s="47"/>
      <c r="F13" s="1733"/>
      <c r="G13" s="6"/>
    </row>
    <row r="14" spans="1:12" x14ac:dyDescent="0.25">
      <c r="A14" s="45"/>
      <c r="B14" s="10"/>
      <c r="D14" s="46"/>
      <c r="E14" s="47"/>
      <c r="F14" s="1733"/>
      <c r="G14" s="6"/>
    </row>
    <row r="15" spans="1:12" x14ac:dyDescent="0.25">
      <c r="A15" s="45"/>
      <c r="B15" s="10"/>
      <c r="D15" s="46"/>
      <c r="E15" s="47"/>
      <c r="F15" s="1733"/>
      <c r="G15" s="6"/>
    </row>
    <row r="16" spans="1:12" x14ac:dyDescent="0.25">
      <c r="A16" s="45"/>
      <c r="B16" s="10"/>
      <c r="D16" s="46"/>
      <c r="E16" s="47"/>
      <c r="F16" s="1733"/>
      <c r="G16" s="6"/>
    </row>
    <row r="17" spans="1:7" x14ac:dyDescent="0.25">
      <c r="A17" s="45"/>
      <c r="B17" s="10"/>
      <c r="D17" s="46"/>
      <c r="E17" s="47"/>
      <c r="F17" s="1733"/>
      <c r="G17" s="6"/>
    </row>
    <row r="18" spans="1:7" x14ac:dyDescent="0.25">
      <c r="A18" s="45"/>
      <c r="B18" s="10"/>
      <c r="D18" s="46"/>
      <c r="E18" s="47"/>
      <c r="F18" s="1733"/>
      <c r="G18" s="6"/>
    </row>
    <row r="19" spans="1:7" x14ac:dyDescent="0.25">
      <c r="A19" s="45"/>
      <c r="B19" s="10"/>
      <c r="D19" s="46"/>
      <c r="E19" s="47"/>
      <c r="F19" s="1733"/>
      <c r="G19" s="6"/>
    </row>
    <row r="20" spans="1:7" x14ac:dyDescent="0.25">
      <c r="A20" s="45"/>
      <c r="B20" s="10"/>
      <c r="D20" s="46"/>
      <c r="E20" s="47"/>
      <c r="F20" s="1733"/>
      <c r="G20" s="6"/>
    </row>
    <row r="21" spans="1:7" x14ac:dyDescent="0.25">
      <c r="A21" s="45"/>
      <c r="B21" s="10"/>
      <c r="D21" s="46"/>
      <c r="E21" s="47"/>
      <c r="F21" s="1733"/>
      <c r="G21" s="6"/>
    </row>
    <row r="22" spans="1:7" x14ac:dyDescent="0.25">
      <c r="A22" s="45"/>
      <c r="B22" s="10"/>
      <c r="D22" s="46"/>
      <c r="E22" s="47"/>
      <c r="F22" s="1733"/>
      <c r="G22" s="6"/>
    </row>
    <row r="23" spans="1:7" x14ac:dyDescent="0.25">
      <c r="A23" s="45"/>
      <c r="B23" s="10"/>
      <c r="D23" s="46"/>
      <c r="E23" s="47"/>
      <c r="F23" s="1733"/>
      <c r="G23" s="6"/>
    </row>
    <row r="24" spans="1:7" x14ac:dyDescent="0.25">
      <c r="A24" s="45"/>
      <c r="B24" s="10"/>
      <c r="D24" s="46"/>
      <c r="E24" s="47"/>
      <c r="F24" s="1733"/>
      <c r="G24" s="6"/>
    </row>
    <row r="25" spans="1:7" x14ac:dyDescent="0.25">
      <c r="A25" s="45"/>
      <c r="B25" s="10"/>
      <c r="D25" s="46"/>
      <c r="E25" s="47"/>
      <c r="F25" s="1733"/>
      <c r="G25" s="6"/>
    </row>
    <row r="26" spans="1:7" x14ac:dyDescent="0.25">
      <c r="A26" s="45"/>
      <c r="B26" s="10"/>
      <c r="D26" s="46"/>
      <c r="E26" s="47"/>
      <c r="F26" s="1733"/>
      <c r="G26" s="6"/>
    </row>
    <row r="27" spans="1:7" x14ac:dyDescent="0.25">
      <c r="A27" s="45"/>
      <c r="B27" s="10"/>
      <c r="D27" s="46"/>
      <c r="E27" s="47"/>
      <c r="F27" s="1733"/>
      <c r="G27" s="6"/>
    </row>
    <row r="28" spans="1:7" x14ac:dyDescent="0.25">
      <c r="A28" s="45"/>
      <c r="B28" s="10"/>
      <c r="D28" s="46"/>
      <c r="E28" s="47"/>
      <c r="F28" s="1733"/>
      <c r="G28" s="6"/>
    </row>
    <row r="29" spans="1:7" x14ac:dyDescent="0.25">
      <c r="A29" s="45"/>
      <c r="B29" s="10"/>
      <c r="D29" s="46"/>
      <c r="E29" s="47"/>
      <c r="F29" s="1733"/>
      <c r="G29" s="6"/>
    </row>
    <row r="30" spans="1:7" x14ac:dyDescent="0.25">
      <c r="A30" s="45"/>
      <c r="B30" s="10"/>
      <c r="D30" s="46"/>
      <c r="E30" s="47"/>
      <c r="F30" s="1733"/>
      <c r="G30" s="6"/>
    </row>
    <row r="31" spans="1:7" x14ac:dyDescent="0.25">
      <c r="A31" s="45"/>
      <c r="B31" s="10"/>
      <c r="D31" s="46"/>
      <c r="E31" s="47"/>
      <c r="F31" s="1733"/>
      <c r="G31" s="6"/>
    </row>
    <row r="32" spans="1:7" x14ac:dyDescent="0.25">
      <c r="A32" s="45"/>
      <c r="B32" s="10"/>
      <c r="D32" s="46"/>
      <c r="E32" s="47"/>
      <c r="F32" s="1733"/>
      <c r="G32" s="6"/>
    </row>
    <row r="33" spans="1:7" x14ac:dyDescent="0.25">
      <c r="A33" s="45"/>
      <c r="B33" s="10"/>
      <c r="D33" s="46"/>
      <c r="E33" s="47"/>
      <c r="F33" s="1733"/>
      <c r="G33" s="6"/>
    </row>
    <row r="34" spans="1:7" x14ac:dyDescent="0.25">
      <c r="A34" s="45"/>
      <c r="B34" s="10"/>
      <c r="D34" s="46"/>
      <c r="E34" s="47"/>
      <c r="F34" s="1733"/>
      <c r="G34" s="6"/>
    </row>
    <row r="35" spans="1:7" x14ac:dyDescent="0.25">
      <c r="A35" s="45"/>
      <c r="B35" s="10"/>
      <c r="D35" s="46"/>
      <c r="E35" s="47"/>
      <c r="F35" s="1733"/>
      <c r="G35" s="6"/>
    </row>
    <row r="36" spans="1:7" x14ac:dyDescent="0.25">
      <c r="A36" s="45"/>
      <c r="B36" s="10"/>
      <c r="D36" s="46"/>
      <c r="E36" s="47"/>
      <c r="F36" s="1733"/>
      <c r="G36" s="6"/>
    </row>
    <row r="37" spans="1:7" x14ac:dyDescent="0.25">
      <c r="A37" s="45"/>
      <c r="B37" s="10"/>
      <c r="D37" s="46"/>
      <c r="E37" s="47"/>
      <c r="F37" s="1733"/>
      <c r="G37" s="6"/>
    </row>
    <row r="38" spans="1:7" x14ac:dyDescent="0.25">
      <c r="A38" s="45"/>
      <c r="B38" s="10"/>
      <c r="D38" s="46"/>
      <c r="E38" s="47"/>
      <c r="F38" s="1733"/>
      <c r="G38" s="6"/>
    </row>
    <row r="39" spans="1:7" x14ac:dyDescent="0.25">
      <c r="A39" s="45"/>
      <c r="B39" s="10"/>
      <c r="D39" s="46"/>
      <c r="E39" s="47"/>
      <c r="F39" s="1733"/>
      <c r="G39" s="6"/>
    </row>
    <row r="40" spans="1:7" x14ac:dyDescent="0.25">
      <c r="A40" s="45"/>
      <c r="B40" s="10"/>
      <c r="D40" s="46"/>
      <c r="E40" s="47"/>
      <c r="F40" s="1733"/>
      <c r="G40" s="6"/>
    </row>
    <row r="41" spans="1:7" x14ac:dyDescent="0.25">
      <c r="A41" s="45"/>
      <c r="B41" s="10"/>
      <c r="D41" s="46"/>
      <c r="E41" s="47"/>
      <c r="F41" s="1733"/>
      <c r="G41" s="6"/>
    </row>
    <row r="42" spans="1:7" x14ac:dyDescent="0.25">
      <c r="A42" s="45"/>
      <c r="B42" s="10"/>
      <c r="D42" s="46"/>
      <c r="E42" s="47"/>
      <c r="F42" s="1733"/>
      <c r="G42" s="6"/>
    </row>
    <row r="43" spans="1:7" x14ac:dyDescent="0.25">
      <c r="A43" s="45"/>
      <c r="B43" s="10"/>
      <c r="D43" s="46"/>
      <c r="E43" s="47"/>
      <c r="F43" s="1733"/>
      <c r="G43" s="6"/>
    </row>
    <row r="44" spans="1:7" x14ac:dyDescent="0.25">
      <c r="A44" s="45"/>
      <c r="B44" s="10"/>
      <c r="D44" s="46"/>
      <c r="E44" s="47"/>
      <c r="F44" s="1733"/>
      <c r="G44" s="6"/>
    </row>
    <row r="45" spans="1:7" x14ac:dyDescent="0.25">
      <c r="A45" s="45"/>
      <c r="B45" s="10"/>
      <c r="D45" s="46"/>
      <c r="E45" s="47"/>
      <c r="F45" s="1733"/>
      <c r="G45" s="6"/>
    </row>
    <row r="46" spans="1:7" x14ac:dyDescent="0.25">
      <c r="A46" s="45"/>
      <c r="B46" s="10"/>
      <c r="D46" s="46"/>
      <c r="E46" s="47"/>
      <c r="F46" s="1733"/>
      <c r="G46" s="6"/>
    </row>
    <row r="47" spans="1:7" x14ac:dyDescent="0.25">
      <c r="A47" s="45"/>
      <c r="B47" s="10"/>
      <c r="D47" s="46"/>
      <c r="E47" s="47"/>
      <c r="F47" s="1733"/>
      <c r="G47" s="6"/>
    </row>
    <row r="48" spans="1:7" x14ac:dyDescent="0.25">
      <c r="A48" s="45"/>
      <c r="B48" s="10"/>
      <c r="D48" s="46"/>
      <c r="E48" s="47"/>
      <c r="F48" s="1733"/>
      <c r="G48" s="6"/>
    </row>
    <row r="49" spans="1:7" x14ac:dyDescent="0.25">
      <c r="A49" s="45"/>
      <c r="B49" s="10"/>
      <c r="D49" s="46"/>
      <c r="E49" s="47"/>
      <c r="F49" s="1733"/>
      <c r="G49" s="6"/>
    </row>
    <row r="50" spans="1:7" x14ac:dyDescent="0.25">
      <c r="A50" s="45"/>
      <c r="B50" s="10"/>
      <c r="D50" s="46"/>
      <c r="E50" s="47"/>
      <c r="F50" s="1733"/>
      <c r="G50" s="6"/>
    </row>
    <row r="51" spans="1:7" x14ac:dyDescent="0.25">
      <c r="A51" s="45"/>
      <c r="B51" s="10"/>
      <c r="D51" s="46"/>
      <c r="E51" s="47"/>
      <c r="F51" s="1733"/>
      <c r="G51" s="6"/>
    </row>
    <row r="52" spans="1:7" x14ac:dyDescent="0.25">
      <c r="A52" s="48" t="s">
        <v>62</v>
      </c>
      <c r="B52" s="10"/>
      <c r="D52" s="46"/>
      <c r="E52" s="47"/>
      <c r="F52" s="1733"/>
      <c r="G52" s="6"/>
    </row>
    <row r="53" spans="1:7" x14ac:dyDescent="0.25">
      <c r="A53" s="49"/>
      <c r="B53" s="50"/>
      <c r="C53" s="51" t="s">
        <v>63</v>
      </c>
      <c r="D53" s="52"/>
      <c r="E53" s="53"/>
      <c r="F53" s="1734"/>
      <c r="G53" s="50"/>
    </row>
    <row r="54" spans="1:7" x14ac:dyDescent="0.25">
      <c r="A54" s="45"/>
      <c r="B54" s="6"/>
      <c r="C54" s="48"/>
      <c r="D54" s="46"/>
      <c r="E54" s="47"/>
      <c r="F54" s="1733"/>
      <c r="G54" s="6"/>
    </row>
    <row r="55" spans="1:7" x14ac:dyDescent="0.25">
      <c r="A55" s="45"/>
      <c r="B55" s="18" t="s">
        <v>20</v>
      </c>
      <c r="C55" s="19" t="s">
        <v>21</v>
      </c>
      <c r="D55" s="46"/>
      <c r="E55" s="47"/>
      <c r="F55" s="1733"/>
      <c r="G55" s="6"/>
    </row>
    <row r="56" spans="1:7" x14ac:dyDescent="0.25">
      <c r="A56" s="45"/>
      <c r="B56" s="6"/>
      <c r="C56" s="6"/>
      <c r="D56" s="46"/>
      <c r="E56" s="47"/>
      <c r="F56" s="1733"/>
      <c r="G56" s="6"/>
    </row>
    <row r="57" spans="1:7" x14ac:dyDescent="0.25">
      <c r="A57" s="8"/>
      <c r="B57" s="54" t="s">
        <v>26</v>
      </c>
      <c r="C57" s="55" t="s">
        <v>27</v>
      </c>
      <c r="D57" s="54" t="s">
        <v>28</v>
      </c>
      <c r="E57" s="56" t="s">
        <v>29</v>
      </c>
      <c r="F57" s="1735"/>
      <c r="G57" s="57" t="s">
        <v>31</v>
      </c>
    </row>
    <row r="58" spans="1:7" x14ac:dyDescent="0.25">
      <c r="A58" s="8"/>
      <c r="B58" s="8"/>
      <c r="C58" s="58"/>
      <c r="D58" s="8"/>
      <c r="E58" s="9"/>
      <c r="F58" s="1736"/>
      <c r="G58" s="59"/>
    </row>
    <row r="59" spans="1:7" x14ac:dyDescent="0.25">
      <c r="A59" s="60"/>
      <c r="B59" s="61" t="s">
        <v>22</v>
      </c>
      <c r="C59" s="62" t="s">
        <v>23</v>
      </c>
      <c r="D59" s="63"/>
      <c r="E59" s="64"/>
      <c r="F59" s="1737"/>
      <c r="G59" s="64"/>
    </row>
    <row r="60" spans="1:7" ht="8.1" customHeight="1" x14ac:dyDescent="0.25">
      <c r="A60" s="60"/>
      <c r="B60" s="65"/>
      <c r="C60" s="66"/>
      <c r="D60" s="63"/>
      <c r="E60" s="64"/>
      <c r="F60" s="1737"/>
      <c r="G60" s="64"/>
    </row>
    <row r="61" spans="1:7" s="72" customFormat="1" x14ac:dyDescent="0.25">
      <c r="A61" s="116"/>
      <c r="B61" s="68">
        <v>1</v>
      </c>
      <c r="C61" s="69" t="s">
        <v>158</v>
      </c>
      <c r="D61" s="70" t="s">
        <v>109</v>
      </c>
      <c r="E61" s="71">
        <v>2880</v>
      </c>
      <c r="F61" s="1738"/>
      <c r="G61" s="71">
        <f>ROUND(E61*F61,2)</f>
        <v>0</v>
      </c>
    </row>
    <row r="62" spans="1:7" s="72" customFormat="1" ht="8.1" customHeight="1" x14ac:dyDescent="0.25">
      <c r="A62" s="73"/>
      <c r="B62" s="117" t="s">
        <v>159</v>
      </c>
      <c r="C62" s="118" t="s">
        <v>159</v>
      </c>
      <c r="D62" s="119"/>
      <c r="E62" s="120"/>
      <c r="F62" s="1750"/>
      <c r="G62" s="121"/>
    </row>
    <row r="63" spans="1:7" s="72" customFormat="1" ht="24" x14ac:dyDescent="0.25">
      <c r="A63" s="116"/>
      <c r="B63" s="68">
        <v>2</v>
      </c>
      <c r="C63" s="69" t="s">
        <v>160</v>
      </c>
      <c r="D63" s="70" t="s">
        <v>65</v>
      </c>
      <c r="E63" s="71">
        <v>80</v>
      </c>
      <c r="F63" s="1746"/>
      <c r="G63" s="71">
        <f>ROUND(E63*F63,2)</f>
        <v>0</v>
      </c>
    </row>
    <row r="64" spans="1:7" ht="8.1" customHeight="1" x14ac:dyDescent="0.25">
      <c r="A64" s="60"/>
      <c r="B64" s="65"/>
      <c r="C64" s="77"/>
      <c r="D64" s="63"/>
      <c r="E64" s="64"/>
      <c r="F64" s="1737"/>
      <c r="G64" s="64"/>
    </row>
    <row r="65" spans="1:7" x14ac:dyDescent="0.25">
      <c r="A65" s="60"/>
      <c r="B65" s="63"/>
      <c r="C65" s="1182" t="s">
        <v>59</v>
      </c>
      <c r="D65" s="1183"/>
      <c r="E65" s="1184"/>
      <c r="F65" s="1739"/>
      <c r="G65" s="1184">
        <f>ROUND(SUM(G61:G63),2)</f>
        <v>0</v>
      </c>
    </row>
    <row r="66" spans="1:7" x14ac:dyDescent="0.25">
      <c r="A66" s="60"/>
      <c r="B66" s="63"/>
      <c r="C66" s="78"/>
      <c r="D66" s="63"/>
      <c r="E66" s="64"/>
      <c r="F66" s="1737"/>
      <c r="G66" s="64"/>
    </row>
    <row r="67" spans="1:7" customFormat="1" x14ac:dyDescent="0.25">
      <c r="F67" s="1741"/>
    </row>
    <row r="68" spans="1:7" customFormat="1" ht="8.1" customHeight="1" x14ac:dyDescent="0.25">
      <c r="F68" s="1741"/>
    </row>
    <row r="69" spans="1:7" customFormat="1" x14ac:dyDescent="0.25">
      <c r="F69" s="1741"/>
    </row>
    <row r="70" spans="1:7" customFormat="1" ht="8.1" customHeight="1" x14ac:dyDescent="0.25">
      <c r="F70" s="1741"/>
    </row>
    <row r="71" spans="1:7" customFormat="1" x14ac:dyDescent="0.25">
      <c r="F71" s="1741"/>
    </row>
    <row r="72" spans="1:7" customFormat="1" ht="8.1" customHeight="1" x14ac:dyDescent="0.25">
      <c r="F72" s="1741"/>
    </row>
    <row r="73" spans="1:7" ht="8.1" customHeight="1" x14ac:dyDescent="0.25">
      <c r="A73" s="60"/>
      <c r="B73" s="63"/>
      <c r="C73" s="78"/>
      <c r="D73" s="63"/>
      <c r="E73" s="64"/>
      <c r="F73" s="1737"/>
      <c r="G73" s="64"/>
    </row>
  </sheetData>
  <sheetProtection algorithmName="SHA-512" hashValue="JD/+57vBYHI+he8aWb1JetJqhb/rJYXuG87Vb/9vm62FgKbXzvhDcU5mce5f8MQccwfZqteBbYnTZUb6mCdz/A==" saltValue="A+03Qg+F/Qz3a/d9x/QWbQ==" spinCount="100000" sheet="1" objects="1" scenarios="1"/>
  <pageMargins left="0.98425196850393704" right="0.59055118110236227" top="0.78740157480314965" bottom="0.78740157480314965" header="0.31496062992125984" footer="0.31496062992125984"/>
  <pageSetup paperSize="9" scale="90" orientation="portrait" r:id="rId1"/>
  <headerFooter>
    <oddHeader>&amp;L&amp;"Arial,Poševno"&amp;8R-498/16_3/7&amp;R&amp;"Arial,Poševno"&amp;8Rekapitulacija</oddHeader>
    <oddFooter>&amp;C&amp;"Arial,Poševno"&amp;8&amp;P/&amp;N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H49"/>
  <sheetViews>
    <sheetView view="pageBreakPreview" zoomScaleNormal="100" zoomScaleSheetLayoutView="100" workbookViewId="0"/>
  </sheetViews>
  <sheetFormatPr defaultColWidth="9.140625" defaultRowHeight="12.75" x14ac:dyDescent="0.2"/>
  <cols>
    <col min="1" max="1" width="6.42578125" style="127" customWidth="1"/>
    <col min="2" max="2" width="10.85546875" style="127" customWidth="1"/>
    <col min="3" max="5" width="9.140625" style="127"/>
    <col min="6" max="6" width="3" style="127" customWidth="1"/>
    <col min="7" max="7" width="11.42578125" style="127" customWidth="1"/>
    <col min="8" max="16384" width="9.140625" style="127"/>
  </cols>
  <sheetData>
    <row r="1" spans="1:7" ht="18" customHeight="1" x14ac:dyDescent="0.25">
      <c r="A1" s="129" t="s">
        <v>1445</v>
      </c>
      <c r="B1" s="129"/>
      <c r="C1" s="129"/>
    </row>
    <row r="2" spans="1:7" ht="18" customHeight="1" x14ac:dyDescent="0.25">
      <c r="A2" s="129"/>
      <c r="B2" s="129"/>
      <c r="C2" s="129"/>
    </row>
    <row r="3" spans="1:7" ht="18" customHeight="1" x14ac:dyDescent="0.25">
      <c r="A3" s="209" t="s">
        <v>420</v>
      </c>
      <c r="B3" s="129" t="s">
        <v>341</v>
      </c>
    </row>
    <row r="4" spans="1:7" ht="18" customHeight="1" x14ac:dyDescent="0.25">
      <c r="A4" s="129"/>
      <c r="B4" s="129"/>
      <c r="C4" s="129"/>
    </row>
    <row r="5" spans="1:7" ht="18" customHeight="1" x14ac:dyDescent="0.25">
      <c r="A5" s="129" t="s">
        <v>492</v>
      </c>
      <c r="B5" s="128"/>
      <c r="C5" s="128"/>
    </row>
    <row r="6" spans="1:7" ht="18" customHeight="1" x14ac:dyDescent="0.25">
      <c r="A6" s="129" t="s">
        <v>177</v>
      </c>
      <c r="B6" s="128"/>
      <c r="C6" s="128"/>
    </row>
    <row r="7" spans="1:7" ht="18" customHeight="1" x14ac:dyDescent="0.25">
      <c r="A7" s="129" t="s">
        <v>176</v>
      </c>
      <c r="B7" s="128"/>
      <c r="C7" s="128"/>
    </row>
    <row r="8" spans="1:7" ht="12" customHeight="1" x14ac:dyDescent="0.2"/>
    <row r="9" spans="1:7" x14ac:dyDescent="0.2">
      <c r="A9" s="1690"/>
      <c r="B9" s="1690"/>
      <c r="C9" s="1690"/>
      <c r="D9" s="1690"/>
      <c r="E9" s="1690"/>
    </row>
    <row r="10" spans="1:7" x14ac:dyDescent="0.2">
      <c r="A10" s="1691" t="s">
        <v>174</v>
      </c>
    </row>
    <row r="11" spans="1:7" ht="13.5" thickBot="1" x14ac:dyDescent="0.25">
      <c r="A11" s="1691"/>
    </row>
    <row r="12" spans="1:7" x14ac:dyDescent="0.2">
      <c r="B12" s="994" t="s">
        <v>20</v>
      </c>
      <c r="C12" s="995" t="s">
        <v>1545</v>
      </c>
      <c r="D12" s="995"/>
      <c r="E12" s="995"/>
      <c r="F12" s="995"/>
      <c r="G12" s="996">
        <f>ROUND('3.2'!F23,2)</f>
        <v>0</v>
      </c>
    </row>
    <row r="13" spans="1:7" x14ac:dyDescent="0.2">
      <c r="B13" s="997"/>
      <c r="C13" s="124"/>
      <c r="D13" s="124"/>
      <c r="E13" s="124"/>
      <c r="F13" s="124"/>
      <c r="G13" s="122"/>
    </row>
    <row r="14" spans="1:7" ht="28.5" customHeight="1" x14ac:dyDescent="0.2">
      <c r="B14" s="997" t="s">
        <v>77</v>
      </c>
      <c r="C14" s="2033" t="s">
        <v>1546</v>
      </c>
      <c r="D14" s="2033"/>
      <c r="E14" s="2033"/>
      <c r="F14" s="124"/>
      <c r="G14" s="122">
        <f>ROUND('3.2'!F39,2)</f>
        <v>0</v>
      </c>
    </row>
    <row r="15" spans="1:7" x14ac:dyDescent="0.2">
      <c r="B15" s="998"/>
      <c r="C15" s="126"/>
      <c r="D15" s="126"/>
      <c r="E15" s="126"/>
      <c r="F15" s="126"/>
      <c r="G15" s="125"/>
    </row>
    <row r="16" spans="1:7" ht="27.75" customHeight="1" x14ac:dyDescent="0.2">
      <c r="B16" s="997" t="s">
        <v>84</v>
      </c>
      <c r="C16" s="2033" t="s">
        <v>173</v>
      </c>
      <c r="D16" s="2033"/>
      <c r="E16" s="2033"/>
      <c r="F16" s="124"/>
      <c r="G16" s="122">
        <f>ROUND('3.2'!F51,2)</f>
        <v>0</v>
      </c>
    </row>
    <row r="17" spans="2:7" x14ac:dyDescent="0.2">
      <c r="B17" s="998"/>
      <c r="C17" s="126"/>
      <c r="D17" s="126"/>
      <c r="E17" s="126"/>
      <c r="F17" s="126"/>
      <c r="G17" s="125"/>
    </row>
    <row r="18" spans="2:7" x14ac:dyDescent="0.2">
      <c r="B18" s="997" t="s">
        <v>86</v>
      </c>
      <c r="C18" s="2034" t="s">
        <v>172</v>
      </c>
      <c r="D18" s="2034"/>
      <c r="E18" s="2034"/>
      <c r="F18" s="124"/>
      <c r="G18" s="122">
        <f>ROUND('3.2'!F56,2)</f>
        <v>0</v>
      </c>
    </row>
    <row r="19" spans="2:7" x14ac:dyDescent="0.2">
      <c r="B19" s="998"/>
      <c r="C19" s="126"/>
      <c r="D19" s="126"/>
      <c r="E19" s="126"/>
      <c r="F19" s="126"/>
      <c r="G19" s="125"/>
    </row>
    <row r="20" spans="2:7" x14ac:dyDescent="0.2">
      <c r="B20" s="997" t="s">
        <v>88</v>
      </c>
      <c r="C20" s="2034" t="s">
        <v>171</v>
      </c>
      <c r="D20" s="2034"/>
      <c r="E20" s="2034"/>
      <c r="F20" s="124"/>
      <c r="G20" s="122">
        <f>ROUND('3.2'!F70,2)</f>
        <v>0</v>
      </c>
    </row>
    <row r="21" spans="2:7" ht="13.5" customHeight="1" x14ac:dyDescent="0.2">
      <c r="B21" s="999"/>
      <c r="C21" s="123"/>
      <c r="D21" s="123"/>
      <c r="E21" s="123"/>
      <c r="F21" s="123"/>
      <c r="G21" s="122"/>
    </row>
    <row r="22" spans="2:7" ht="27.75" customHeight="1" x14ac:dyDescent="0.2">
      <c r="B22" s="997" t="s">
        <v>87</v>
      </c>
      <c r="C22" s="2033" t="s">
        <v>170</v>
      </c>
      <c r="D22" s="2033"/>
      <c r="E22" s="2033"/>
      <c r="F22" s="124"/>
      <c r="G22" s="122">
        <f>ROUND('3.2'!F124,2)</f>
        <v>0</v>
      </c>
    </row>
    <row r="23" spans="2:7" x14ac:dyDescent="0.2">
      <c r="B23" s="997"/>
      <c r="C23" s="123"/>
      <c r="D23" s="124"/>
      <c r="E23" s="124"/>
      <c r="F23" s="123"/>
      <c r="G23" s="122"/>
    </row>
    <row r="24" spans="2:7" ht="27" customHeight="1" x14ac:dyDescent="0.2">
      <c r="B24" s="997" t="s">
        <v>167</v>
      </c>
      <c r="C24" s="2033" t="s">
        <v>1547</v>
      </c>
      <c r="D24" s="2033"/>
      <c r="E24" s="2033"/>
      <c r="F24" s="124"/>
      <c r="G24" s="122">
        <f>ROUND('3.2'!F134,2)</f>
        <v>0</v>
      </c>
    </row>
    <row r="25" spans="2:7" x14ac:dyDescent="0.2">
      <c r="B25" s="997"/>
      <c r="C25" s="124"/>
      <c r="D25" s="123"/>
      <c r="E25" s="123"/>
      <c r="F25" s="123"/>
      <c r="G25" s="122"/>
    </row>
    <row r="26" spans="2:7" x14ac:dyDescent="0.2">
      <c r="B26" s="997" t="s">
        <v>165</v>
      </c>
      <c r="C26" s="2033" t="s">
        <v>169</v>
      </c>
      <c r="D26" s="2033"/>
      <c r="E26" s="2033"/>
      <c r="F26" s="124"/>
      <c r="G26" s="122">
        <f>ROUND('3.2'!F152,2)</f>
        <v>0</v>
      </c>
    </row>
    <row r="27" spans="2:7" x14ac:dyDescent="0.2">
      <c r="B27" s="997"/>
      <c r="C27" s="124"/>
      <c r="D27" s="123"/>
      <c r="E27" s="123"/>
      <c r="F27" s="123"/>
      <c r="G27" s="122"/>
    </row>
    <row r="28" spans="2:7" ht="27" customHeight="1" x14ac:dyDescent="0.2">
      <c r="B28" s="997" t="s">
        <v>163</v>
      </c>
      <c r="C28" s="2033" t="s">
        <v>168</v>
      </c>
      <c r="D28" s="2033"/>
      <c r="E28" s="2033"/>
      <c r="F28" s="124"/>
      <c r="G28" s="122">
        <f>ROUND('3.2'!F162,2)</f>
        <v>0</v>
      </c>
    </row>
    <row r="29" spans="2:7" x14ac:dyDescent="0.2">
      <c r="B29" s="997"/>
      <c r="C29" s="124"/>
      <c r="D29" s="123"/>
      <c r="E29" s="123"/>
      <c r="F29" s="123"/>
      <c r="G29" s="122"/>
    </row>
    <row r="30" spans="2:7" x14ac:dyDescent="0.2">
      <c r="B30" s="997" t="s">
        <v>1548</v>
      </c>
      <c r="C30" s="2033" t="s">
        <v>166</v>
      </c>
      <c r="D30" s="2033"/>
      <c r="E30" s="2033"/>
      <c r="F30" s="124"/>
      <c r="G30" s="122">
        <f>ROUND('3.2'!F178,2)</f>
        <v>0</v>
      </c>
    </row>
    <row r="31" spans="2:7" x14ac:dyDescent="0.2">
      <c r="B31" s="997"/>
      <c r="C31" s="124"/>
      <c r="D31" s="123"/>
      <c r="E31" s="123"/>
      <c r="F31" s="123"/>
      <c r="G31" s="122"/>
    </row>
    <row r="32" spans="2:7" x14ac:dyDescent="0.2">
      <c r="B32" s="997" t="s">
        <v>1549</v>
      </c>
      <c r="C32" s="2033" t="s">
        <v>164</v>
      </c>
      <c r="D32" s="2033"/>
      <c r="E32" s="2033"/>
      <c r="F32" s="124"/>
      <c r="G32" s="122">
        <f>ROUND('3.2'!F188,2)</f>
        <v>0</v>
      </c>
    </row>
    <row r="33" spans="2:8" x14ac:dyDescent="0.2">
      <c r="B33" s="997"/>
      <c r="C33" s="124"/>
      <c r="D33" s="123"/>
      <c r="E33" s="123"/>
      <c r="F33" s="123"/>
      <c r="G33" s="122"/>
    </row>
    <row r="34" spans="2:8" x14ac:dyDescent="0.2">
      <c r="B34" s="997" t="s">
        <v>1550</v>
      </c>
      <c r="C34" s="2033" t="s">
        <v>162</v>
      </c>
      <c r="D34" s="2033"/>
      <c r="E34" s="2033"/>
      <c r="F34" s="124"/>
      <c r="G34" s="122">
        <f>ROUND('3.2'!F197,2)</f>
        <v>0</v>
      </c>
    </row>
    <row r="35" spans="2:8" ht="13.5" thickBot="1" x14ac:dyDescent="0.25">
      <c r="B35" s="1000"/>
      <c r="C35" s="1001"/>
      <c r="D35" s="1002"/>
      <c r="E35" s="1002"/>
      <c r="F35" s="1002"/>
      <c r="G35" s="1003"/>
    </row>
    <row r="36" spans="2:8" ht="13.5" thickBot="1" x14ac:dyDescent="0.25">
      <c r="B36" s="206" t="s">
        <v>161</v>
      </c>
      <c r="C36" s="207"/>
      <c r="D36" s="1692"/>
      <c r="E36" s="1692"/>
      <c r="F36" s="1692"/>
      <c r="G36" s="208">
        <f>ROUND(SUM(G12:G34),2)</f>
        <v>0</v>
      </c>
    </row>
    <row r="40" spans="2:8" x14ac:dyDescent="0.2">
      <c r="B40" s="1693"/>
      <c r="C40" s="1693"/>
      <c r="D40" s="1693"/>
      <c r="E40" s="1693"/>
      <c r="F40" s="1693"/>
      <c r="G40" s="1694"/>
    </row>
    <row r="41" spans="2:8" x14ac:dyDescent="0.2">
      <c r="B41" s="1695"/>
      <c r="C41" s="1695"/>
      <c r="D41" s="1695"/>
      <c r="E41" s="1695"/>
      <c r="F41" s="1695"/>
      <c r="G41" s="1695"/>
      <c r="H41" s="1695"/>
    </row>
    <row r="42" spans="2:8" x14ac:dyDescent="0.2">
      <c r="B42" s="1695"/>
      <c r="C42" s="1695"/>
      <c r="D42" s="1695"/>
      <c r="E42" s="1695"/>
      <c r="F42" s="1695"/>
      <c r="G42" s="1695"/>
      <c r="H42" s="1695"/>
    </row>
    <row r="49" spans="1:1" x14ac:dyDescent="0.2">
      <c r="A49" s="1696"/>
    </row>
  </sheetData>
  <sheetProtection algorithmName="SHA-512" hashValue="Z+cGK35CPjhTz549G+Bb+U4Omz8OCx8jn6/RygS46ENiMxxHn1nwoaDYxBQxykng2vcwAcaLNLjqigULAWb88w==" saltValue="t+dvPh7X5n+2DiE7WrG/bQ==" spinCount="100000" sheet="1" objects="1" scenarios="1"/>
  <mergeCells count="11">
    <mergeCell ref="C24:E24"/>
    <mergeCell ref="C14:E14"/>
    <mergeCell ref="C16:E16"/>
    <mergeCell ref="C18:E18"/>
    <mergeCell ref="C20:E20"/>
    <mergeCell ref="C22:E22"/>
    <mergeCell ref="C26:E26"/>
    <mergeCell ref="C28:E28"/>
    <mergeCell ref="C30:E30"/>
    <mergeCell ref="C32:E32"/>
    <mergeCell ref="C34:E34"/>
  </mergeCells>
  <pageMargins left="0.7" right="0.7" top="0.75" bottom="0.75" header="0.3" footer="0.3"/>
  <pageSetup paperSize="9" fitToHeight="0" orientation="portrait" r:id="rId1"/>
  <headerFooter>
    <oddFooter>&amp;R&amp;P od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203"/>
  <sheetViews>
    <sheetView view="pageBreakPreview" zoomScale="115" zoomScaleNormal="85" zoomScaleSheetLayoutView="115" zoomScalePageLayoutView="70" workbookViewId="0"/>
  </sheetViews>
  <sheetFormatPr defaultColWidth="9.140625" defaultRowHeight="12.75" x14ac:dyDescent="0.2"/>
  <cols>
    <col min="1" max="1" width="9.140625" style="133" customWidth="1"/>
    <col min="2" max="2" width="28.42578125" style="1756" customWidth="1"/>
    <col min="3" max="3" width="10.7109375" style="133" customWidth="1"/>
    <col min="4" max="4" width="12.42578125" style="133" customWidth="1"/>
    <col min="5" max="5" width="16" style="1798" customWidth="1"/>
    <col min="6" max="6" width="14.85546875" style="133" customWidth="1"/>
    <col min="7" max="16384" width="9.140625" style="133"/>
  </cols>
  <sheetData>
    <row r="1" spans="1:12" ht="16.5" customHeight="1" x14ac:dyDescent="0.25">
      <c r="A1" s="1751" t="s">
        <v>420</v>
      </c>
      <c r="B1" s="1755" t="s">
        <v>341</v>
      </c>
    </row>
    <row r="2" spans="1:12" ht="13.5" thickBot="1" x14ac:dyDescent="0.25"/>
    <row r="3" spans="1:12" ht="13.5" thickBot="1" x14ac:dyDescent="0.25">
      <c r="A3" s="130" t="s">
        <v>178</v>
      </c>
      <c r="B3" s="1757" t="s">
        <v>179</v>
      </c>
      <c r="C3" s="131" t="s">
        <v>28</v>
      </c>
      <c r="D3" s="131" t="s">
        <v>29</v>
      </c>
      <c r="E3" s="1799" t="s">
        <v>1616</v>
      </c>
      <c r="F3" s="132" t="s">
        <v>181</v>
      </c>
    </row>
    <row r="4" spans="1:12" ht="13.5" thickBot="1" x14ac:dyDescent="0.25">
      <c r="A4" s="134" t="s">
        <v>182</v>
      </c>
      <c r="B4" s="1758"/>
      <c r="C4" s="135"/>
      <c r="D4" s="135"/>
      <c r="E4" s="1800"/>
      <c r="F4" s="136"/>
    </row>
    <row r="5" spans="1:12" ht="60" x14ac:dyDescent="0.2">
      <c r="A5" s="137" t="s">
        <v>183</v>
      </c>
      <c r="B5" s="1759" t="s">
        <v>184</v>
      </c>
      <c r="C5" s="138"/>
      <c r="D5" s="139"/>
      <c r="E5" s="1801"/>
      <c r="F5" s="140"/>
    </row>
    <row r="6" spans="1:12" ht="36.75" thickBot="1" x14ac:dyDescent="0.25">
      <c r="A6" s="141" t="s">
        <v>185</v>
      </c>
      <c r="B6" s="1760" t="s">
        <v>186</v>
      </c>
      <c r="C6" s="142"/>
      <c r="D6" s="143"/>
      <c r="E6" s="1802"/>
      <c r="F6" s="144"/>
    </row>
    <row r="7" spans="1:12" ht="13.5" thickBot="1" x14ac:dyDescent="0.25">
      <c r="A7" s="134" t="s">
        <v>187</v>
      </c>
      <c r="B7" s="1758"/>
      <c r="C7" s="135"/>
      <c r="D7" s="135"/>
      <c r="E7" s="1800"/>
      <c r="F7" s="136"/>
    </row>
    <row r="8" spans="1:12" ht="102.75" thickBot="1" x14ac:dyDescent="0.25">
      <c r="A8" s="1641" t="s">
        <v>188</v>
      </c>
      <c r="B8" s="1752" t="s">
        <v>189</v>
      </c>
      <c r="C8" s="1642" t="s">
        <v>39</v>
      </c>
      <c r="D8" s="1643">
        <v>1</v>
      </c>
      <c r="E8" s="1803"/>
      <c r="F8" s="1644">
        <f>ROUND(D8*E8,2)</f>
        <v>0</v>
      </c>
    </row>
    <row r="9" spans="1:12" ht="13.5" thickBot="1" x14ac:dyDescent="0.25">
      <c r="A9" s="1645"/>
      <c r="B9" s="1761"/>
      <c r="C9" s="1196"/>
      <c r="D9" s="1197"/>
      <c r="E9" s="1804"/>
      <c r="F9" s="1336">
        <f>ROUND(F8,2)</f>
        <v>0</v>
      </c>
    </row>
    <row r="10" spans="1:12" ht="13.5" thickBot="1" x14ac:dyDescent="0.25">
      <c r="A10" s="1236" t="s">
        <v>190</v>
      </c>
      <c r="B10" s="1762"/>
      <c r="C10" s="1240"/>
      <c r="D10" s="1240"/>
      <c r="E10" s="1805"/>
      <c r="F10" s="918"/>
    </row>
    <row r="11" spans="1:12" ht="13.5" thickBot="1" x14ac:dyDescent="0.25">
      <c r="A11" s="134" t="s">
        <v>191</v>
      </c>
      <c r="B11" s="1758"/>
      <c r="C11" s="135"/>
      <c r="D11" s="135"/>
      <c r="E11" s="1800"/>
      <c r="F11" s="1327"/>
    </row>
    <row r="12" spans="1:12" ht="63.75" x14ac:dyDescent="0.2">
      <c r="A12" s="137">
        <v>1</v>
      </c>
      <c r="B12" s="1763" t="s">
        <v>192</v>
      </c>
      <c r="C12" s="138" t="s">
        <v>39</v>
      </c>
      <c r="D12" s="139">
        <v>1</v>
      </c>
      <c r="E12" s="1801"/>
      <c r="F12" s="1328">
        <f>ROUND(D12*E12,2)</f>
        <v>0</v>
      </c>
    </row>
    <row r="13" spans="1:12" ht="76.5" x14ac:dyDescent="0.2">
      <c r="A13" s="141">
        <v>2</v>
      </c>
      <c r="B13" s="1764" t="s">
        <v>193</v>
      </c>
      <c r="C13" s="142" t="s">
        <v>39</v>
      </c>
      <c r="D13" s="143">
        <v>1</v>
      </c>
      <c r="E13" s="1802"/>
      <c r="F13" s="1334">
        <f>ROUND(D13*E13,2)</f>
        <v>0</v>
      </c>
    </row>
    <row r="14" spans="1:12" ht="89.25" x14ac:dyDescent="0.2">
      <c r="A14" s="141">
        <v>3</v>
      </c>
      <c r="B14" s="1753" t="s">
        <v>194</v>
      </c>
      <c r="C14" s="142" t="s">
        <v>39</v>
      </c>
      <c r="D14" s="143">
        <v>1</v>
      </c>
      <c r="E14" s="1802"/>
      <c r="F14" s="1334">
        <f>ROUND(D14*E14,2)</f>
        <v>0</v>
      </c>
      <c r="L14" s="147"/>
    </row>
    <row r="15" spans="1:12" ht="102.75" thickBot="1" x14ac:dyDescent="0.25">
      <c r="A15" s="148">
        <v>4</v>
      </c>
      <c r="B15" s="1754" t="s">
        <v>195</v>
      </c>
      <c r="C15" s="149" t="s">
        <v>39</v>
      </c>
      <c r="D15" s="150">
        <v>1</v>
      </c>
      <c r="E15" s="1802"/>
      <c r="F15" s="1335">
        <f>ROUND(D15*E15,2)</f>
        <v>0</v>
      </c>
      <c r="H15" s="1624"/>
    </row>
    <row r="16" spans="1:12" ht="13.5" thickBot="1" x14ac:dyDescent="0.25">
      <c r="A16" s="1374"/>
      <c r="B16" s="1765" t="s">
        <v>1583</v>
      </c>
      <c r="C16" s="1375"/>
      <c r="D16" s="1376"/>
      <c r="E16" s="1806"/>
      <c r="F16" s="1377">
        <f>SUM(F12:F15)</f>
        <v>0</v>
      </c>
      <c r="H16" s="1624"/>
    </row>
    <row r="17" spans="1:12" ht="13.5" thickBot="1" x14ac:dyDescent="0.25">
      <c r="A17" s="145" t="s">
        <v>196</v>
      </c>
      <c r="B17" s="1766"/>
      <c r="C17" s="146"/>
      <c r="D17" s="146"/>
      <c r="E17" s="1807"/>
      <c r="F17" s="1330"/>
    </row>
    <row r="18" spans="1:12" ht="63.75" x14ac:dyDescent="0.2">
      <c r="A18" s="137">
        <v>5</v>
      </c>
      <c r="B18" s="1767" t="s">
        <v>197</v>
      </c>
      <c r="C18" s="138" t="s">
        <v>39</v>
      </c>
      <c r="D18" s="139">
        <v>1</v>
      </c>
      <c r="E18" s="1803"/>
      <c r="F18" s="1328">
        <f>ROUND(D18*E18,2)</f>
        <v>0</v>
      </c>
      <c r="L18" s="147"/>
    </row>
    <row r="19" spans="1:12" ht="52.5" customHeight="1" x14ac:dyDescent="0.2">
      <c r="A19" s="141">
        <v>6</v>
      </c>
      <c r="B19" s="1753" t="s">
        <v>198</v>
      </c>
      <c r="C19" s="142" t="s">
        <v>39</v>
      </c>
      <c r="D19" s="143">
        <v>1</v>
      </c>
      <c r="E19" s="1802"/>
      <c r="F19" s="1334">
        <f>ROUND(D19*E19,2)</f>
        <v>0</v>
      </c>
      <c r="L19" s="147"/>
    </row>
    <row r="20" spans="1:12" ht="66.75" customHeight="1" x14ac:dyDescent="0.2">
      <c r="A20" s="141">
        <v>7</v>
      </c>
      <c r="B20" s="1753" t="s">
        <v>199</v>
      </c>
      <c r="C20" s="142" t="s">
        <v>39</v>
      </c>
      <c r="D20" s="143">
        <v>1</v>
      </c>
      <c r="E20" s="1802"/>
      <c r="F20" s="1334">
        <f>ROUND(D20*E20,2)</f>
        <v>0</v>
      </c>
      <c r="L20" s="147"/>
    </row>
    <row r="21" spans="1:12" ht="54.75" customHeight="1" thickBot="1" x14ac:dyDescent="0.25">
      <c r="A21" s="148">
        <v>8</v>
      </c>
      <c r="B21" s="1754" t="s">
        <v>200</v>
      </c>
      <c r="C21" s="149" t="s">
        <v>39</v>
      </c>
      <c r="D21" s="150">
        <v>1</v>
      </c>
      <c r="E21" s="1808"/>
      <c r="F21" s="1335">
        <f>ROUND(D21*E21,2)</f>
        <v>0</v>
      </c>
      <c r="L21" s="147"/>
    </row>
    <row r="22" spans="1:12" ht="13.5" thickBot="1" x14ac:dyDescent="0.25">
      <c r="A22" s="1374"/>
      <c r="B22" s="1765" t="s">
        <v>1584</v>
      </c>
      <c r="C22" s="1375"/>
      <c r="D22" s="1376"/>
      <c r="E22" s="1806"/>
      <c r="F22" s="1377">
        <f>ROUND(SUM(F18:F21),2)</f>
        <v>0</v>
      </c>
      <c r="L22" s="147"/>
    </row>
    <row r="23" spans="1:12" ht="13.5" thickBot="1" x14ac:dyDescent="0.25">
      <c r="A23" s="1191"/>
      <c r="B23" s="1768" t="s">
        <v>1558</v>
      </c>
      <c r="C23" s="1192"/>
      <c r="D23" s="1193"/>
      <c r="E23" s="1809"/>
      <c r="F23" s="1332">
        <f>ROUND((F22+F16+F9),2)</f>
        <v>0</v>
      </c>
      <c r="L23" s="147"/>
    </row>
    <row r="24" spans="1:12" ht="14.25" thickTop="1" thickBot="1" x14ac:dyDescent="0.25">
      <c r="A24" s="1188"/>
      <c r="B24" s="1769"/>
      <c r="C24" s="1189"/>
      <c r="D24" s="1190"/>
      <c r="E24" s="1810"/>
      <c r="F24" s="1331"/>
      <c r="L24" s="147"/>
    </row>
    <row r="25" spans="1:12" ht="13.5" thickBot="1" x14ac:dyDescent="0.25">
      <c r="A25" s="1236" t="s">
        <v>201</v>
      </c>
      <c r="B25" s="1770"/>
      <c r="C25" s="1237"/>
      <c r="D25" s="1237"/>
      <c r="E25" s="1811"/>
      <c r="F25" s="1333"/>
    </row>
    <row r="26" spans="1:12" ht="13.5" thickBot="1" x14ac:dyDescent="0.25">
      <c r="A26" s="134" t="s">
        <v>202</v>
      </c>
      <c r="B26" s="1758"/>
      <c r="C26" s="135"/>
      <c r="D26" s="135"/>
      <c r="E26" s="1800"/>
      <c r="F26" s="1327"/>
    </row>
    <row r="27" spans="1:12" ht="132" x14ac:dyDescent="0.2">
      <c r="A27" s="137">
        <v>8</v>
      </c>
      <c r="B27" s="1759" t="s">
        <v>203</v>
      </c>
      <c r="C27" s="138" t="s">
        <v>39</v>
      </c>
      <c r="D27" s="139">
        <v>1</v>
      </c>
      <c r="E27" s="1801"/>
      <c r="F27" s="1328">
        <f>ROUND(D27*E27,2)</f>
        <v>0</v>
      </c>
      <c r="H27" s="151"/>
    </row>
    <row r="28" spans="1:12" s="152" customFormat="1" ht="68.25" x14ac:dyDescent="0.2">
      <c r="A28" s="141">
        <v>9</v>
      </c>
      <c r="B28" s="1760" t="s">
        <v>204</v>
      </c>
      <c r="C28" s="142"/>
      <c r="D28" s="143"/>
      <c r="E28" s="1802"/>
      <c r="F28" s="1334"/>
      <c r="G28" s="133"/>
    </row>
    <row r="29" spans="1:12" s="152" customFormat="1" ht="36" x14ac:dyDescent="0.2">
      <c r="A29" s="153" t="s">
        <v>1575</v>
      </c>
      <c r="B29" s="1760" t="s">
        <v>205</v>
      </c>
      <c r="C29" s="142" t="s">
        <v>39</v>
      </c>
      <c r="D29" s="143">
        <v>1</v>
      </c>
      <c r="E29" s="1802"/>
      <c r="F29" s="1334">
        <f>ROUND(E29*D29,2)</f>
        <v>0</v>
      </c>
      <c r="G29" s="133"/>
      <c r="H29" s="154"/>
    </row>
    <row r="30" spans="1:12" s="152" customFormat="1" x14ac:dyDescent="0.2">
      <c r="A30" s="155" t="s">
        <v>1576</v>
      </c>
      <c r="B30" s="1760" t="s">
        <v>206</v>
      </c>
      <c r="C30" s="142" t="s">
        <v>39</v>
      </c>
      <c r="D30" s="143">
        <v>1</v>
      </c>
      <c r="E30" s="1802"/>
      <c r="F30" s="1334">
        <f>ROUND(E30*D30,2)</f>
        <v>0</v>
      </c>
      <c r="G30" s="133"/>
    </row>
    <row r="31" spans="1:12" s="152" customFormat="1" ht="60" x14ac:dyDescent="0.2">
      <c r="A31" s="155" t="s">
        <v>1577</v>
      </c>
      <c r="B31" s="1760" t="s">
        <v>207</v>
      </c>
      <c r="C31" s="142" t="s">
        <v>39</v>
      </c>
      <c r="D31" s="143">
        <v>2</v>
      </c>
      <c r="E31" s="1802"/>
      <c r="F31" s="1334">
        <f>ROUND(E31*D31,2)</f>
        <v>0</v>
      </c>
      <c r="G31" s="133"/>
    </row>
    <row r="32" spans="1:12" s="152" customFormat="1" x14ac:dyDescent="0.2">
      <c r="A32" s="141" t="s">
        <v>1578</v>
      </c>
      <c r="B32" s="1760" t="s">
        <v>208</v>
      </c>
      <c r="C32" s="142"/>
      <c r="D32" s="143"/>
      <c r="E32" s="1802"/>
      <c r="F32" s="1334"/>
      <c r="G32" s="133"/>
    </row>
    <row r="33" spans="1:7" s="152" customFormat="1" ht="24" x14ac:dyDescent="0.2">
      <c r="A33" s="155" t="s">
        <v>1579</v>
      </c>
      <c r="B33" s="1760" t="s">
        <v>209</v>
      </c>
      <c r="C33" s="142" t="s">
        <v>65</v>
      </c>
      <c r="D33" s="143">
        <v>12</v>
      </c>
      <c r="E33" s="1802"/>
      <c r="F33" s="1334">
        <f>ROUND(E33*D33,2)</f>
        <v>0</v>
      </c>
      <c r="G33" s="133"/>
    </row>
    <row r="34" spans="1:7" s="152" customFormat="1" x14ac:dyDescent="0.2">
      <c r="A34" s="155" t="s">
        <v>1579</v>
      </c>
      <c r="B34" s="1760" t="s">
        <v>210</v>
      </c>
      <c r="C34" s="142" t="s">
        <v>65</v>
      </c>
      <c r="D34" s="143">
        <v>23</v>
      </c>
      <c r="E34" s="1802"/>
      <c r="F34" s="1334">
        <f>ROUND(E34*D34,2)</f>
        <v>0</v>
      </c>
      <c r="G34" s="133"/>
    </row>
    <row r="35" spans="1:7" s="152" customFormat="1" ht="24" x14ac:dyDescent="0.2">
      <c r="A35" s="155" t="s">
        <v>1580</v>
      </c>
      <c r="B35" s="1760" t="s">
        <v>211</v>
      </c>
      <c r="C35" s="142" t="s">
        <v>65</v>
      </c>
      <c r="D35" s="143">
        <v>35</v>
      </c>
      <c r="E35" s="1802"/>
      <c r="F35" s="1334">
        <f>ROUND(E35*D35,2)</f>
        <v>0</v>
      </c>
      <c r="G35" s="133"/>
    </row>
    <row r="36" spans="1:7" s="152" customFormat="1" x14ac:dyDescent="0.2">
      <c r="A36" s="155" t="s">
        <v>1581</v>
      </c>
      <c r="B36" s="1760" t="s">
        <v>212</v>
      </c>
      <c r="C36" s="142" t="s">
        <v>39</v>
      </c>
      <c r="D36" s="143">
        <v>6</v>
      </c>
      <c r="E36" s="1802"/>
      <c r="F36" s="1334">
        <f>ROUND(E36*D36,2)</f>
        <v>0</v>
      </c>
      <c r="G36" s="133"/>
    </row>
    <row r="37" spans="1:7" s="152" customFormat="1" ht="72.75" thickBot="1" x14ac:dyDescent="0.25">
      <c r="A37" s="156" t="s">
        <v>1582</v>
      </c>
      <c r="B37" s="1771" t="s">
        <v>213</v>
      </c>
      <c r="C37" s="149" t="s">
        <v>39</v>
      </c>
      <c r="D37" s="150">
        <v>3</v>
      </c>
      <c r="E37" s="1808"/>
      <c r="F37" s="1335">
        <f>ROUND(E37*D37,2)</f>
        <v>0</v>
      </c>
      <c r="G37" s="133"/>
    </row>
    <row r="38" spans="1:7" s="152" customFormat="1" x14ac:dyDescent="0.2">
      <c r="A38" s="1195"/>
      <c r="B38" s="1772"/>
      <c r="C38" s="1196"/>
      <c r="D38" s="1197"/>
      <c r="E38" s="1804"/>
      <c r="F38" s="1336"/>
      <c r="G38" s="133"/>
    </row>
    <row r="39" spans="1:7" s="152" customFormat="1" ht="13.5" thickBot="1" x14ac:dyDescent="0.25">
      <c r="A39" s="1198"/>
      <c r="B39" s="1773" t="s">
        <v>1559</v>
      </c>
      <c r="C39" s="1192"/>
      <c r="D39" s="1193"/>
      <c r="E39" s="1809"/>
      <c r="F39" s="1332">
        <f>ROUND(SUM(F27:F37),2)</f>
        <v>0</v>
      </c>
      <c r="G39" s="133"/>
    </row>
    <row r="40" spans="1:7" s="152" customFormat="1" ht="14.25" thickTop="1" thickBot="1" x14ac:dyDescent="0.25">
      <c r="A40" s="1194"/>
      <c r="B40" s="1774"/>
      <c r="C40" s="1189"/>
      <c r="D40" s="1190"/>
      <c r="E40" s="1810"/>
      <c r="F40" s="1331"/>
      <c r="G40" s="133"/>
    </row>
    <row r="41" spans="1:7" ht="13.5" thickBot="1" x14ac:dyDescent="0.25">
      <c r="A41" s="1236" t="s">
        <v>214</v>
      </c>
      <c r="B41" s="1770"/>
      <c r="C41" s="1237"/>
      <c r="D41" s="1237"/>
      <c r="E41" s="1811"/>
      <c r="F41" s="1333"/>
    </row>
    <row r="42" spans="1:7" ht="13.5" thickBot="1" x14ac:dyDescent="0.25">
      <c r="A42" s="134" t="s">
        <v>215</v>
      </c>
      <c r="B42" s="1758"/>
      <c r="C42" s="135"/>
      <c r="D42" s="135"/>
      <c r="E42" s="1800"/>
      <c r="F42" s="1327"/>
    </row>
    <row r="43" spans="1:7" ht="48.75" thickBot="1" x14ac:dyDescent="0.25">
      <c r="A43" s="157">
        <v>10</v>
      </c>
      <c r="B43" s="1775" t="s">
        <v>1637</v>
      </c>
      <c r="C43" s="158" t="s">
        <v>39</v>
      </c>
      <c r="D43" s="159">
        <f>(ROUND(77/10,0)+ROUND(26/10,0))*4</f>
        <v>44</v>
      </c>
      <c r="E43" s="1802"/>
      <c r="F43" s="1329">
        <f>ROUND(D43*E43,2)</f>
        <v>0</v>
      </c>
    </row>
    <row r="44" spans="1:7" x14ac:dyDescent="0.2">
      <c r="A44" s="134" t="s">
        <v>216</v>
      </c>
      <c r="B44" s="1758"/>
      <c r="C44" s="135"/>
      <c r="D44" s="135"/>
      <c r="E44" s="1800"/>
      <c r="F44" s="1327"/>
    </row>
    <row r="45" spans="1:7" ht="60" x14ac:dyDescent="0.2">
      <c r="A45" s="160">
        <v>11</v>
      </c>
      <c r="B45" s="1776" t="s">
        <v>217</v>
      </c>
      <c r="C45" s="161" t="s">
        <v>69</v>
      </c>
      <c r="D45" s="162">
        <f>0.3*9280-D48</f>
        <v>2305.1999999999998</v>
      </c>
      <c r="E45" s="1802"/>
      <c r="F45" s="917">
        <f>ROUND(D45*E45,2)</f>
        <v>0</v>
      </c>
      <c r="G45" s="164"/>
    </row>
    <row r="46" spans="1:7" ht="84" x14ac:dyDescent="0.2">
      <c r="A46" s="160">
        <v>12</v>
      </c>
      <c r="B46" s="1776" t="s">
        <v>218</v>
      </c>
      <c r="C46" s="161" t="s">
        <v>69</v>
      </c>
      <c r="D46" s="162">
        <f>0.7*9280-D49</f>
        <v>5378.8</v>
      </c>
      <c r="E46" s="1802"/>
      <c r="F46" s="917">
        <f>ROUND(D46*E46,2)</f>
        <v>0</v>
      </c>
    </row>
    <row r="47" spans="1:7" s="165" customFormat="1" ht="84" x14ac:dyDescent="0.2">
      <c r="A47" s="160">
        <v>13</v>
      </c>
      <c r="B47" s="1776" t="s">
        <v>219</v>
      </c>
      <c r="C47" s="161" t="s">
        <v>69</v>
      </c>
      <c r="D47" s="162">
        <f>4*3.5*22</f>
        <v>308</v>
      </c>
      <c r="E47" s="1802"/>
      <c r="F47" s="917">
        <f>ROUND(D47*E47,2)</f>
        <v>0</v>
      </c>
    </row>
    <row r="48" spans="1:7" ht="108" x14ac:dyDescent="0.2">
      <c r="A48" s="160">
        <v>14</v>
      </c>
      <c r="B48" s="1776" t="s">
        <v>220</v>
      </c>
      <c r="C48" s="161" t="s">
        <v>69</v>
      </c>
      <c r="D48" s="162">
        <f>0.3*1330*1.2</f>
        <v>478.8</v>
      </c>
      <c r="E48" s="1802"/>
      <c r="F48" s="917">
        <f>ROUND(D48*E48,2)</f>
        <v>0</v>
      </c>
    </row>
    <row r="49" spans="1:6" ht="108" x14ac:dyDescent="0.2">
      <c r="A49" s="1206">
        <v>15</v>
      </c>
      <c r="B49" s="1777" t="s">
        <v>221</v>
      </c>
      <c r="C49" s="1207" t="s">
        <v>69</v>
      </c>
      <c r="D49" s="1208">
        <f>0.7*1330*1.2</f>
        <v>1117.2</v>
      </c>
      <c r="E49" s="1802"/>
      <c r="F49" s="1203">
        <f>ROUND(D49*E49,2)</f>
        <v>0</v>
      </c>
    </row>
    <row r="50" spans="1:6" x14ac:dyDescent="0.2">
      <c r="A50" s="1209"/>
      <c r="B50" s="1778"/>
      <c r="C50" s="1210"/>
      <c r="D50" s="1211"/>
      <c r="E50" s="1812"/>
      <c r="F50" s="1213"/>
    </row>
    <row r="51" spans="1:6" ht="13.5" thickBot="1" x14ac:dyDescent="0.25">
      <c r="A51" s="1215"/>
      <c r="B51" s="1779" t="s">
        <v>1560</v>
      </c>
      <c r="C51" s="1216"/>
      <c r="D51" s="1217"/>
      <c r="E51" s="1813"/>
      <c r="F51" s="1219">
        <f>ROUND(SUM(F43:F49),2)</f>
        <v>0</v>
      </c>
    </row>
    <row r="52" spans="1:6" ht="14.25" thickTop="1" thickBot="1" x14ac:dyDescent="0.25">
      <c r="A52" s="1199"/>
      <c r="B52" s="1780"/>
      <c r="C52" s="1199"/>
      <c r="D52" s="1200"/>
      <c r="E52" s="1814"/>
      <c r="F52" s="1205"/>
    </row>
    <row r="53" spans="1:6" ht="13.5" thickBot="1" x14ac:dyDescent="0.25">
      <c r="A53" s="1236" t="s">
        <v>222</v>
      </c>
      <c r="B53" s="1770"/>
      <c r="C53" s="1237"/>
      <c r="D53" s="1237"/>
      <c r="E53" s="1811"/>
      <c r="F53" s="1238"/>
    </row>
    <row r="54" spans="1:6" ht="24" x14ac:dyDescent="0.2">
      <c r="A54" s="1231">
        <v>16</v>
      </c>
      <c r="B54" s="1781" t="s">
        <v>223</v>
      </c>
      <c r="C54" s="1232" t="s">
        <v>39</v>
      </c>
      <c r="D54" s="1233">
        <v>1</v>
      </c>
      <c r="E54" s="1802"/>
      <c r="F54" s="1234">
        <f>ROUND(D54*E54,2)</f>
        <v>0</v>
      </c>
    </row>
    <row r="55" spans="1:6" x14ac:dyDescent="0.2">
      <c r="A55" s="1222"/>
      <c r="B55" s="1782"/>
      <c r="C55" s="1223"/>
      <c r="D55" s="1224"/>
      <c r="E55" s="1815"/>
      <c r="F55" s="1213"/>
    </row>
    <row r="56" spans="1:6" ht="13.5" thickBot="1" x14ac:dyDescent="0.25">
      <c r="A56" s="1191"/>
      <c r="B56" s="1783" t="s">
        <v>1561</v>
      </c>
      <c r="C56" s="1192"/>
      <c r="D56" s="1193"/>
      <c r="E56" s="1809"/>
      <c r="F56" s="1219">
        <f>ROUND(SUM(F54),2)</f>
        <v>0</v>
      </c>
    </row>
    <row r="57" spans="1:6" ht="14.25" thickTop="1" thickBot="1" x14ac:dyDescent="0.25">
      <c r="A57" s="1188"/>
      <c r="B57" s="1774"/>
      <c r="C57" s="1189"/>
      <c r="D57" s="1190"/>
      <c r="E57" s="1810"/>
      <c r="F57" s="1214"/>
    </row>
    <row r="58" spans="1:6" ht="13.5" thickBot="1" x14ac:dyDescent="0.25">
      <c r="A58" s="1236" t="s">
        <v>224</v>
      </c>
      <c r="B58" s="1770"/>
      <c r="C58" s="1237"/>
      <c r="D58" s="1237"/>
      <c r="E58" s="1811"/>
      <c r="F58" s="1238"/>
    </row>
    <row r="59" spans="1:6" x14ac:dyDescent="0.2">
      <c r="A59" s="145" t="s">
        <v>225</v>
      </c>
      <c r="B59" s="1766"/>
      <c r="C59" s="146"/>
      <c r="D59" s="146"/>
      <c r="E59" s="1807"/>
      <c r="F59" s="1204"/>
    </row>
    <row r="60" spans="1:6" ht="48" x14ac:dyDescent="0.2">
      <c r="A60" s="141">
        <v>17</v>
      </c>
      <c r="B60" s="1760" t="s">
        <v>226</v>
      </c>
      <c r="C60" s="142" t="s">
        <v>39</v>
      </c>
      <c r="D60" s="143">
        <v>8</v>
      </c>
      <c r="E60" s="1802"/>
      <c r="F60" s="917">
        <f>ROUND(D60*E60,2)</f>
        <v>0</v>
      </c>
    </row>
    <row r="61" spans="1:6" x14ac:dyDescent="0.2">
      <c r="A61" s="145" t="s">
        <v>227</v>
      </c>
      <c r="B61" s="1766"/>
      <c r="C61" s="146"/>
      <c r="D61" s="146"/>
      <c r="E61" s="1807"/>
      <c r="F61" s="917"/>
    </row>
    <row r="62" spans="1:6" ht="100.5" customHeight="1" x14ac:dyDescent="0.2">
      <c r="A62" s="160">
        <v>18</v>
      </c>
      <c r="B62" s="1776" t="s">
        <v>228</v>
      </c>
      <c r="C62" s="161" t="s">
        <v>69</v>
      </c>
      <c r="D62" s="162">
        <f>77*0.5*1.6</f>
        <v>61.6</v>
      </c>
      <c r="E62" s="1802"/>
      <c r="F62" s="917">
        <f>ROUND(D62*E62,2)</f>
        <v>0</v>
      </c>
    </row>
    <row r="63" spans="1:6" ht="52.5" customHeight="1" thickBot="1" x14ac:dyDescent="0.25">
      <c r="A63" s="166">
        <v>19</v>
      </c>
      <c r="B63" s="1784" t="s">
        <v>229</v>
      </c>
      <c r="C63" s="167" t="s">
        <v>69</v>
      </c>
      <c r="D63" s="168">
        <f>D62</f>
        <v>61.6</v>
      </c>
      <c r="E63" s="1802"/>
      <c r="F63" s="917">
        <f>ROUND(D63*E63,2)</f>
        <v>0</v>
      </c>
    </row>
    <row r="64" spans="1:6" x14ac:dyDescent="0.2">
      <c r="A64" s="134" t="s">
        <v>230</v>
      </c>
      <c r="B64" s="1758"/>
      <c r="C64" s="135"/>
      <c r="D64" s="135"/>
      <c r="E64" s="1800"/>
      <c r="F64" s="917"/>
    </row>
    <row r="65" spans="1:6" ht="72" x14ac:dyDescent="0.2">
      <c r="A65" s="160">
        <f>A63+1</f>
        <v>20</v>
      </c>
      <c r="B65" s="1785" t="s">
        <v>231</v>
      </c>
      <c r="C65" s="161" t="s">
        <v>138</v>
      </c>
      <c r="D65" s="162">
        <f>77*1.1*2*3</f>
        <v>508.2</v>
      </c>
      <c r="E65" s="1802"/>
      <c r="F65" s="917">
        <f>ROUND(D65*E65,2)</f>
        <v>0</v>
      </c>
    </row>
    <row r="66" spans="1:6" ht="48" x14ac:dyDescent="0.2">
      <c r="A66" s="160">
        <f>A65+1</f>
        <v>21</v>
      </c>
      <c r="B66" s="1785" t="s">
        <v>232</v>
      </c>
      <c r="C66" s="161" t="s">
        <v>71</v>
      </c>
      <c r="D66" s="162">
        <f>77*0.5*2</f>
        <v>77</v>
      </c>
      <c r="E66" s="1802"/>
      <c r="F66" s="917">
        <f>ROUND(D66*E66,2)</f>
        <v>0</v>
      </c>
    </row>
    <row r="67" spans="1:6" ht="48" x14ac:dyDescent="0.2">
      <c r="A67" s="160">
        <f t="shared" ref="A67:A68" si="0">A66+1</f>
        <v>22</v>
      </c>
      <c r="B67" s="1785" t="s">
        <v>233</v>
      </c>
      <c r="C67" s="161" t="s">
        <v>69</v>
      </c>
      <c r="D67" s="162">
        <f>0.15*77</f>
        <v>11.55</v>
      </c>
      <c r="E67" s="1802"/>
      <c r="F67" s="917">
        <f>ROUND(D67*E67,2)</f>
        <v>0</v>
      </c>
    </row>
    <row r="68" spans="1:6" ht="138" customHeight="1" x14ac:dyDescent="0.2">
      <c r="A68" s="1206">
        <f t="shared" si="0"/>
        <v>23</v>
      </c>
      <c r="B68" s="1777" t="s">
        <v>234</v>
      </c>
      <c r="C68" s="1207" t="s">
        <v>235</v>
      </c>
      <c r="D68" s="1208">
        <f>128*10</f>
        <v>1280</v>
      </c>
      <c r="E68" s="1802"/>
      <c r="F68" s="1203">
        <f>ROUND(D68*E68,2)</f>
        <v>0</v>
      </c>
    </row>
    <row r="69" spans="1:6" x14ac:dyDescent="0.2">
      <c r="A69" s="1209"/>
      <c r="B69" s="1778"/>
      <c r="C69" s="1210"/>
      <c r="D69" s="1211"/>
      <c r="E69" s="1812"/>
      <c r="F69" s="1213"/>
    </row>
    <row r="70" spans="1:6" ht="13.5" thickBot="1" x14ac:dyDescent="0.25">
      <c r="A70" s="1215"/>
      <c r="B70" s="1786" t="s">
        <v>1562</v>
      </c>
      <c r="C70" s="1216"/>
      <c r="D70" s="1217"/>
      <c r="E70" s="1813"/>
      <c r="F70" s="1219">
        <f>ROUND(SUM(F60:F68),2)</f>
        <v>0</v>
      </c>
    </row>
    <row r="71" spans="1:6" ht="14.25" thickTop="1" thickBot="1" x14ac:dyDescent="0.25">
      <c r="A71" s="180"/>
      <c r="B71" s="1780"/>
      <c r="C71" s="1199"/>
      <c r="D71" s="1200"/>
      <c r="E71" s="1814"/>
      <c r="F71" s="1214"/>
    </row>
    <row r="72" spans="1:6" ht="13.5" thickBot="1" x14ac:dyDescent="0.25">
      <c r="A72" s="1236" t="s">
        <v>236</v>
      </c>
      <c r="B72" s="1770"/>
      <c r="C72" s="1237"/>
      <c r="D72" s="1237"/>
      <c r="E72" s="1811"/>
      <c r="F72" s="1238"/>
    </row>
    <row r="73" spans="1:6" x14ac:dyDescent="0.2">
      <c r="A73" s="134" t="s">
        <v>237</v>
      </c>
      <c r="B73" s="1758"/>
      <c r="C73" s="135"/>
      <c r="D73" s="135"/>
      <c r="E73" s="1800"/>
      <c r="F73" s="1204"/>
    </row>
    <row r="74" spans="1:6" ht="48" x14ac:dyDescent="0.2">
      <c r="A74" s="160">
        <f>A68+1</f>
        <v>24</v>
      </c>
      <c r="B74" s="1760" t="s">
        <v>238</v>
      </c>
      <c r="C74" s="142" t="s">
        <v>39</v>
      </c>
      <c r="D74" s="143">
        <f>2*5</f>
        <v>10</v>
      </c>
      <c r="E74" s="1802"/>
      <c r="F74" s="917">
        <f t="shared" ref="F74:F80" si="1">ROUND(D74*E74,2)</f>
        <v>0</v>
      </c>
    </row>
    <row r="75" spans="1:6" ht="60" x14ac:dyDescent="0.2">
      <c r="A75" s="160">
        <f>A74+1</f>
        <v>25</v>
      </c>
      <c r="B75" s="1760" t="s">
        <v>239</v>
      </c>
      <c r="C75" s="142" t="s">
        <v>39</v>
      </c>
      <c r="D75" s="143">
        <v>113</v>
      </c>
      <c r="E75" s="1802"/>
      <c r="F75" s="917">
        <f t="shared" si="1"/>
        <v>0</v>
      </c>
    </row>
    <row r="76" spans="1:6" ht="60" x14ac:dyDescent="0.2">
      <c r="A76" s="160">
        <f t="shared" ref="A76:A80" si="2">A75+1</f>
        <v>26</v>
      </c>
      <c r="B76" s="1760" t="s">
        <v>240</v>
      </c>
      <c r="C76" s="142" t="s">
        <v>39</v>
      </c>
      <c r="D76" s="143">
        <f>4*3</f>
        <v>12</v>
      </c>
      <c r="E76" s="1802"/>
      <c r="F76" s="917">
        <f t="shared" si="1"/>
        <v>0</v>
      </c>
    </row>
    <row r="77" spans="1:6" ht="60.75" customHeight="1" x14ac:dyDescent="0.2">
      <c r="A77" s="160">
        <f t="shared" si="2"/>
        <v>27</v>
      </c>
      <c r="B77" s="1760" t="s">
        <v>241</v>
      </c>
      <c r="C77" s="142" t="s">
        <v>69</v>
      </c>
      <c r="D77" s="143">
        <f>24.2*0.6+(24.2-10.75)*1</f>
        <v>27.97</v>
      </c>
      <c r="E77" s="1802"/>
      <c r="F77" s="917">
        <f t="shared" si="1"/>
        <v>0</v>
      </c>
    </row>
    <row r="78" spans="1:6" ht="36" x14ac:dyDescent="0.2">
      <c r="A78" s="160">
        <f t="shared" si="2"/>
        <v>28</v>
      </c>
      <c r="B78" s="1760" t="s">
        <v>242</v>
      </c>
      <c r="C78" s="142" t="s">
        <v>243</v>
      </c>
      <c r="D78" s="143">
        <f>4*30</f>
        <v>120</v>
      </c>
      <c r="E78" s="1802"/>
      <c r="F78" s="917">
        <f t="shared" si="1"/>
        <v>0</v>
      </c>
    </row>
    <row r="79" spans="1:6" s="152" customFormat="1" ht="36" x14ac:dyDescent="0.2">
      <c r="A79" s="160">
        <f t="shared" si="2"/>
        <v>29</v>
      </c>
      <c r="B79" s="1776" t="s">
        <v>244</v>
      </c>
      <c r="C79" s="142" t="s">
        <v>39</v>
      </c>
      <c r="D79" s="143">
        <v>1</v>
      </c>
      <c r="E79" s="1802"/>
      <c r="F79" s="917">
        <f t="shared" si="1"/>
        <v>0</v>
      </c>
    </row>
    <row r="80" spans="1:6" s="152" customFormat="1" ht="36.75" thickBot="1" x14ac:dyDescent="0.25">
      <c r="A80" s="160">
        <f t="shared" si="2"/>
        <v>30</v>
      </c>
      <c r="B80" s="1787" t="s">
        <v>245</v>
      </c>
      <c r="C80" s="149" t="s">
        <v>39</v>
      </c>
      <c r="D80" s="150">
        <v>1</v>
      </c>
      <c r="E80" s="1802"/>
      <c r="F80" s="1230">
        <f t="shared" si="1"/>
        <v>0</v>
      </c>
    </row>
    <row r="81" spans="1:6" x14ac:dyDescent="0.2">
      <c r="A81" s="134" t="s">
        <v>246</v>
      </c>
      <c r="B81" s="1758"/>
      <c r="C81" s="135"/>
      <c r="D81" s="135"/>
      <c r="E81" s="1800"/>
      <c r="F81" s="1204"/>
    </row>
    <row r="82" spans="1:6" ht="96" x14ac:dyDescent="0.2">
      <c r="A82" s="160">
        <f>A80+1</f>
        <v>31</v>
      </c>
      <c r="B82" s="1776" t="s">
        <v>247</v>
      </c>
      <c r="C82" s="161" t="s">
        <v>69</v>
      </c>
      <c r="D82" s="162">
        <f>((12.8+12)+(11.6+11.6))*0.5*1</f>
        <v>24</v>
      </c>
      <c r="E82" s="1802"/>
      <c r="F82" s="917">
        <f t="shared" ref="F82:F88" si="3">ROUND(D82*E82,2)</f>
        <v>0</v>
      </c>
    </row>
    <row r="83" spans="1:6" ht="60" x14ac:dyDescent="0.2">
      <c r="A83" s="160">
        <f t="shared" ref="A83:A87" si="4">A82+1</f>
        <v>32</v>
      </c>
      <c r="B83" s="1776" t="s">
        <v>248</v>
      </c>
      <c r="C83" s="161" t="s">
        <v>69</v>
      </c>
      <c r="D83" s="162">
        <f>3430*0.05</f>
        <v>171.5</v>
      </c>
      <c r="E83" s="1802"/>
      <c r="F83" s="917">
        <f t="shared" si="3"/>
        <v>0</v>
      </c>
    </row>
    <row r="84" spans="1:6" ht="48" customHeight="1" x14ac:dyDescent="0.2">
      <c r="A84" s="160">
        <f t="shared" si="4"/>
        <v>33</v>
      </c>
      <c r="B84" s="1776" t="s">
        <v>249</v>
      </c>
      <c r="C84" s="161" t="s">
        <v>69</v>
      </c>
      <c r="D84" s="162">
        <v>4175</v>
      </c>
      <c r="E84" s="1802"/>
      <c r="F84" s="917">
        <f t="shared" si="3"/>
        <v>0</v>
      </c>
    </row>
    <row r="85" spans="1:6" ht="24" x14ac:dyDescent="0.2">
      <c r="A85" s="160">
        <f t="shared" si="4"/>
        <v>34</v>
      </c>
      <c r="B85" s="1776" t="s">
        <v>250</v>
      </c>
      <c r="C85" s="161" t="s">
        <v>69</v>
      </c>
      <c r="D85" s="162">
        <f>D84</f>
        <v>4175</v>
      </c>
      <c r="E85" s="1802"/>
      <c r="F85" s="917">
        <f t="shared" si="3"/>
        <v>0</v>
      </c>
    </row>
    <row r="86" spans="1:6" ht="72" x14ac:dyDescent="0.2">
      <c r="A86" s="160">
        <f t="shared" si="4"/>
        <v>35</v>
      </c>
      <c r="B86" s="1788" t="s">
        <v>251</v>
      </c>
      <c r="C86" s="161" t="s">
        <v>69</v>
      </c>
      <c r="D86" s="162">
        <f>D83</f>
        <v>171.5</v>
      </c>
      <c r="E86" s="1802"/>
      <c r="F86" s="917">
        <f t="shared" si="3"/>
        <v>0</v>
      </c>
    </row>
    <row r="87" spans="1:6" ht="72" x14ac:dyDescent="0.2">
      <c r="A87" s="160">
        <f t="shared" si="4"/>
        <v>36</v>
      </c>
      <c r="B87" s="1788" t="s">
        <v>252</v>
      </c>
      <c r="C87" s="161" t="s">
        <v>69</v>
      </c>
      <c r="D87" s="162">
        <f>D84</f>
        <v>4175</v>
      </c>
      <c r="E87" s="1802"/>
      <c r="F87" s="917">
        <f t="shared" si="3"/>
        <v>0</v>
      </c>
    </row>
    <row r="88" spans="1:6" ht="84.75" thickBot="1" x14ac:dyDescent="0.25">
      <c r="A88" s="166">
        <f>A87+1</f>
        <v>37</v>
      </c>
      <c r="B88" s="1784" t="s">
        <v>253</v>
      </c>
      <c r="C88" s="167" t="s">
        <v>69</v>
      </c>
      <c r="D88" s="168">
        <f>D77</f>
        <v>27.97</v>
      </c>
      <c r="E88" s="1802"/>
      <c r="F88" s="917">
        <f t="shared" si="3"/>
        <v>0</v>
      </c>
    </row>
    <row r="89" spans="1:6" ht="13.5" thickBot="1" x14ac:dyDescent="0.25">
      <c r="A89" s="145" t="s">
        <v>254</v>
      </c>
      <c r="B89" s="1766"/>
      <c r="C89" s="146"/>
      <c r="D89" s="146"/>
      <c r="E89" s="1807"/>
      <c r="F89" s="917"/>
    </row>
    <row r="90" spans="1:6" ht="60" x14ac:dyDescent="0.2">
      <c r="A90" s="170">
        <f>A88+1</f>
        <v>38</v>
      </c>
      <c r="B90" s="1789" t="s">
        <v>255</v>
      </c>
      <c r="C90" s="171" t="s">
        <v>138</v>
      </c>
      <c r="D90" s="172">
        <f>(D108+D109)*0.152*0.005*7800</f>
        <v>3547.91</v>
      </c>
      <c r="E90" s="1802"/>
      <c r="F90" s="917">
        <f t="shared" ref="F90:F122" si="5">ROUND(D90*E90,2)</f>
        <v>0</v>
      </c>
    </row>
    <row r="91" spans="1:6" ht="72" x14ac:dyDescent="0.2">
      <c r="A91" s="160">
        <f>A90+1</f>
        <v>39</v>
      </c>
      <c r="B91" s="1776" t="s">
        <v>256</v>
      </c>
      <c r="C91" s="173" t="s">
        <v>138</v>
      </c>
      <c r="D91" s="162">
        <f>(D108+D109)*0.152*0.01*7800</f>
        <v>7095.82</v>
      </c>
      <c r="E91" s="1802"/>
      <c r="F91" s="917">
        <f t="shared" si="5"/>
        <v>0</v>
      </c>
    </row>
    <row r="92" spans="1:6" ht="72" x14ac:dyDescent="0.2">
      <c r="A92" s="160">
        <f>A91+1</f>
        <v>40</v>
      </c>
      <c r="B92" s="1776" t="s">
        <v>256</v>
      </c>
      <c r="C92" s="173" t="s">
        <v>138</v>
      </c>
      <c r="D92" s="162">
        <f>(D109+D96)*0.152*0.01*7800</f>
        <v>3404.33</v>
      </c>
      <c r="E92" s="1802"/>
      <c r="F92" s="917">
        <f t="shared" si="5"/>
        <v>0</v>
      </c>
    </row>
    <row r="93" spans="1:6" ht="36" x14ac:dyDescent="0.2">
      <c r="A93" s="160">
        <f>A92+1</f>
        <v>41</v>
      </c>
      <c r="B93" s="1776" t="s">
        <v>257</v>
      </c>
      <c r="C93" s="173" t="s">
        <v>71</v>
      </c>
      <c r="D93" s="163">
        <f>(3.8+4+11.9)*1.4</f>
        <v>27.58</v>
      </c>
      <c r="E93" s="1802"/>
      <c r="F93" s="917">
        <f t="shared" si="5"/>
        <v>0</v>
      </c>
    </row>
    <row r="94" spans="1:6" ht="60" x14ac:dyDescent="0.2">
      <c r="A94" s="160">
        <f t="shared" ref="A94:A95" si="6">A93+1</f>
        <v>42</v>
      </c>
      <c r="B94" s="1788" t="s">
        <v>258</v>
      </c>
      <c r="C94" s="173" t="s">
        <v>138</v>
      </c>
      <c r="D94" s="163">
        <f>(3.8+4+11.9)*0.74*0.005*7800</f>
        <v>568.54</v>
      </c>
      <c r="E94" s="1802"/>
      <c r="F94" s="917">
        <f t="shared" si="5"/>
        <v>0</v>
      </c>
    </row>
    <row r="95" spans="1:6" ht="72" x14ac:dyDescent="0.2">
      <c r="A95" s="160">
        <f t="shared" si="6"/>
        <v>43</v>
      </c>
      <c r="B95" s="1776" t="s">
        <v>259</v>
      </c>
      <c r="C95" s="173" t="s">
        <v>138</v>
      </c>
      <c r="D95" s="162">
        <f>(3.8+4+11.9)*0.74*0.01*7800</f>
        <v>1137.08</v>
      </c>
      <c r="E95" s="1802"/>
      <c r="F95" s="917">
        <f t="shared" si="5"/>
        <v>0</v>
      </c>
    </row>
    <row r="96" spans="1:6" ht="36" x14ac:dyDescent="0.2">
      <c r="A96" s="160">
        <f>A95+1</f>
        <v>44</v>
      </c>
      <c r="B96" s="1776" t="s">
        <v>260</v>
      </c>
      <c r="C96" s="173" t="s">
        <v>71</v>
      </c>
      <c r="D96" s="163">
        <f>((6+13.6)+(2+13.6))*0.7</f>
        <v>24.64</v>
      </c>
      <c r="E96" s="1802"/>
      <c r="F96" s="917">
        <f t="shared" si="5"/>
        <v>0</v>
      </c>
    </row>
    <row r="97" spans="1:6" ht="60" x14ac:dyDescent="0.2">
      <c r="A97" s="160">
        <f t="shared" ref="A97:A115" si="7">A96+1</f>
        <v>45</v>
      </c>
      <c r="B97" s="1788" t="s">
        <v>261</v>
      </c>
      <c r="C97" s="173" t="s">
        <v>138</v>
      </c>
      <c r="D97" s="163">
        <f>((6+13.6)+(2+13.6))*0.3*0.005*7800</f>
        <v>411.84</v>
      </c>
      <c r="E97" s="1802"/>
      <c r="F97" s="917">
        <f t="shared" si="5"/>
        <v>0</v>
      </c>
    </row>
    <row r="98" spans="1:6" ht="72" x14ac:dyDescent="0.2">
      <c r="A98" s="160">
        <f t="shared" si="7"/>
        <v>46</v>
      </c>
      <c r="B98" s="1776" t="s">
        <v>262</v>
      </c>
      <c r="C98" s="173" t="s">
        <v>138</v>
      </c>
      <c r="D98" s="162">
        <f>((6+13.6)+(2+13.6))*0.3*0.01*7800</f>
        <v>823.68</v>
      </c>
      <c r="E98" s="1802"/>
      <c r="F98" s="917">
        <f t="shared" si="5"/>
        <v>0</v>
      </c>
    </row>
    <row r="99" spans="1:6" ht="60" x14ac:dyDescent="0.2">
      <c r="A99" s="160">
        <f t="shared" si="7"/>
        <v>47</v>
      </c>
      <c r="B99" s="1788" t="s">
        <v>263</v>
      </c>
      <c r="C99" s="142" t="s">
        <v>138</v>
      </c>
      <c r="D99" s="143">
        <f>(39*6.45)*3</f>
        <v>754.65</v>
      </c>
      <c r="E99" s="1802"/>
      <c r="F99" s="917">
        <f t="shared" si="5"/>
        <v>0</v>
      </c>
    </row>
    <row r="100" spans="1:6" ht="60" x14ac:dyDescent="0.2">
      <c r="A100" s="160">
        <f t="shared" si="7"/>
        <v>48</v>
      </c>
      <c r="B100" s="1776" t="s">
        <v>264</v>
      </c>
      <c r="C100" s="173" t="s">
        <v>71</v>
      </c>
      <c r="D100" s="163">
        <f>(39*6.05)</f>
        <v>235.95</v>
      </c>
      <c r="E100" s="1802"/>
      <c r="F100" s="917">
        <f t="shared" si="5"/>
        <v>0</v>
      </c>
    </row>
    <row r="101" spans="1:6" ht="60" x14ac:dyDescent="0.2">
      <c r="A101" s="160">
        <f t="shared" si="7"/>
        <v>49</v>
      </c>
      <c r="B101" s="1788" t="s">
        <v>265</v>
      </c>
      <c r="C101" s="142" t="s">
        <v>71</v>
      </c>
      <c r="D101" s="143">
        <f>(39*6.45)</f>
        <v>251.55</v>
      </c>
      <c r="E101" s="1802"/>
      <c r="F101" s="917">
        <f t="shared" si="5"/>
        <v>0</v>
      </c>
    </row>
    <row r="102" spans="1:6" s="152" customFormat="1" ht="72" x14ac:dyDescent="0.2">
      <c r="A102" s="160">
        <f t="shared" si="7"/>
        <v>50</v>
      </c>
      <c r="B102" s="1760" t="s">
        <v>266</v>
      </c>
      <c r="C102" s="142" t="s">
        <v>71</v>
      </c>
      <c r="D102" s="169">
        <v>534</v>
      </c>
      <c r="E102" s="1802"/>
      <c r="F102" s="917">
        <f t="shared" si="5"/>
        <v>0</v>
      </c>
    </row>
    <row r="103" spans="1:6" s="152" customFormat="1" ht="36" x14ac:dyDescent="0.2">
      <c r="A103" s="160">
        <f t="shared" si="7"/>
        <v>51</v>
      </c>
      <c r="B103" s="1760" t="s">
        <v>267</v>
      </c>
      <c r="C103" s="142" t="s">
        <v>71</v>
      </c>
      <c r="D103" s="169">
        <v>534</v>
      </c>
      <c r="E103" s="1802"/>
      <c r="F103" s="917">
        <f t="shared" si="5"/>
        <v>0</v>
      </c>
    </row>
    <row r="104" spans="1:6" s="152" customFormat="1" ht="36" x14ac:dyDescent="0.2">
      <c r="A104" s="160">
        <f t="shared" si="7"/>
        <v>52</v>
      </c>
      <c r="B104" s="1760" t="s">
        <v>268</v>
      </c>
      <c r="C104" s="142" t="s">
        <v>39</v>
      </c>
      <c r="D104" s="169">
        <f>D102/3</f>
        <v>178</v>
      </c>
      <c r="E104" s="1802"/>
      <c r="F104" s="917">
        <f t="shared" si="5"/>
        <v>0</v>
      </c>
    </row>
    <row r="105" spans="1:6" ht="72" x14ac:dyDescent="0.2">
      <c r="A105" s="160">
        <f t="shared" si="7"/>
        <v>53</v>
      </c>
      <c r="B105" s="1785" t="s">
        <v>231</v>
      </c>
      <c r="C105" s="161" t="s">
        <v>138</v>
      </c>
      <c r="D105" s="162">
        <f>((12.8+12)+(11.6+11.6))*0.5*2*3</f>
        <v>144</v>
      </c>
      <c r="E105" s="1802"/>
      <c r="F105" s="917">
        <f t="shared" si="5"/>
        <v>0</v>
      </c>
    </row>
    <row r="106" spans="1:6" ht="48" x14ac:dyDescent="0.2">
      <c r="A106" s="160">
        <f t="shared" si="7"/>
        <v>54</v>
      </c>
      <c r="B106" s="1785" t="s">
        <v>232</v>
      </c>
      <c r="C106" s="161" t="s">
        <v>71</v>
      </c>
      <c r="D106" s="162">
        <f>((12.8+12)+(11.6+11.6))*0.5*2</f>
        <v>48</v>
      </c>
      <c r="E106" s="1802"/>
      <c r="F106" s="917">
        <f t="shared" si="5"/>
        <v>0</v>
      </c>
    </row>
    <row r="107" spans="1:6" ht="48" x14ac:dyDescent="0.2">
      <c r="A107" s="160">
        <f t="shared" si="7"/>
        <v>55</v>
      </c>
      <c r="B107" s="1785" t="s">
        <v>233</v>
      </c>
      <c r="C107" s="161" t="s">
        <v>69</v>
      </c>
      <c r="D107" s="162">
        <f>0.135*107</f>
        <v>14.45</v>
      </c>
      <c r="E107" s="1802"/>
      <c r="F107" s="917">
        <f t="shared" si="5"/>
        <v>0</v>
      </c>
    </row>
    <row r="108" spans="1:6" ht="96" x14ac:dyDescent="0.2">
      <c r="A108" s="160">
        <f t="shared" si="7"/>
        <v>56</v>
      </c>
      <c r="B108" s="1776" t="s">
        <v>269</v>
      </c>
      <c r="C108" s="161" t="s">
        <v>235</v>
      </c>
      <c r="D108" s="162">
        <f>28*12</f>
        <v>336</v>
      </c>
      <c r="E108" s="1802"/>
      <c r="F108" s="917">
        <f t="shared" si="5"/>
        <v>0</v>
      </c>
    </row>
    <row r="109" spans="1:6" ht="96" x14ac:dyDescent="0.2">
      <c r="A109" s="160">
        <f t="shared" si="7"/>
        <v>57</v>
      </c>
      <c r="B109" s="1776" t="s">
        <v>270</v>
      </c>
      <c r="C109" s="161" t="s">
        <v>235</v>
      </c>
      <c r="D109" s="162">
        <f>25*10.5</f>
        <v>262.5</v>
      </c>
      <c r="E109" s="1802"/>
      <c r="F109" s="917">
        <f t="shared" si="5"/>
        <v>0</v>
      </c>
    </row>
    <row r="110" spans="1:6" ht="96" x14ac:dyDescent="0.2">
      <c r="A110" s="160">
        <f t="shared" si="7"/>
        <v>58</v>
      </c>
      <c r="B110" s="1776" t="s">
        <v>271</v>
      </c>
      <c r="C110" s="161" t="s">
        <v>235</v>
      </c>
      <c r="D110" s="162">
        <f>12*10.7</f>
        <v>128.4</v>
      </c>
      <c r="E110" s="1802"/>
      <c r="F110" s="917">
        <f t="shared" si="5"/>
        <v>0</v>
      </c>
    </row>
    <row r="111" spans="1:6" ht="96" x14ac:dyDescent="0.2">
      <c r="A111" s="160">
        <f t="shared" si="7"/>
        <v>59</v>
      </c>
      <c r="B111" s="1776" t="s">
        <v>272</v>
      </c>
      <c r="C111" s="161" t="s">
        <v>235</v>
      </c>
      <c r="D111" s="162">
        <f>12*8.7</f>
        <v>104.4</v>
      </c>
      <c r="E111" s="1802"/>
      <c r="F111" s="917">
        <f t="shared" si="5"/>
        <v>0</v>
      </c>
    </row>
    <row r="112" spans="1:6" ht="96" x14ac:dyDescent="0.2">
      <c r="A112" s="160">
        <f t="shared" si="7"/>
        <v>60</v>
      </c>
      <c r="B112" s="1776" t="s">
        <v>273</v>
      </c>
      <c r="C112" s="161" t="s">
        <v>235</v>
      </c>
      <c r="D112" s="162">
        <f>16*6.7</f>
        <v>107.2</v>
      </c>
      <c r="E112" s="1802"/>
      <c r="F112" s="917">
        <f t="shared" si="5"/>
        <v>0</v>
      </c>
    </row>
    <row r="113" spans="1:7" ht="96" x14ac:dyDescent="0.2">
      <c r="A113" s="160">
        <f t="shared" si="7"/>
        <v>61</v>
      </c>
      <c r="B113" s="1776" t="s">
        <v>274</v>
      </c>
      <c r="C113" s="161" t="s">
        <v>235</v>
      </c>
      <c r="D113" s="162">
        <f>14*4.7</f>
        <v>65.8</v>
      </c>
      <c r="E113" s="1802"/>
      <c r="F113" s="917">
        <f t="shared" si="5"/>
        <v>0</v>
      </c>
      <c r="G113" s="164"/>
    </row>
    <row r="114" spans="1:7" ht="60.75" customHeight="1" x14ac:dyDescent="0.2">
      <c r="A114" s="160">
        <f t="shared" si="7"/>
        <v>62</v>
      </c>
      <c r="B114" s="1776" t="s">
        <v>275</v>
      </c>
      <c r="C114" s="173" t="s">
        <v>69</v>
      </c>
      <c r="D114" s="162">
        <f>(3.8+4+11.9)*0.35*0.1</f>
        <v>0.69</v>
      </c>
      <c r="E114" s="1802"/>
      <c r="F114" s="917">
        <f t="shared" si="5"/>
        <v>0</v>
      </c>
    </row>
    <row r="115" spans="1:7" ht="72" x14ac:dyDescent="0.2">
      <c r="A115" s="160">
        <f t="shared" si="7"/>
        <v>63</v>
      </c>
      <c r="B115" s="1776" t="s">
        <v>276</v>
      </c>
      <c r="C115" s="173" t="s">
        <v>69</v>
      </c>
      <c r="D115" s="162">
        <f>(3.8+4+11.9)*0.74</f>
        <v>14.58</v>
      </c>
      <c r="E115" s="1802"/>
      <c r="F115" s="917">
        <f t="shared" si="5"/>
        <v>0</v>
      </c>
    </row>
    <row r="116" spans="1:7" ht="61.5" customHeight="1" x14ac:dyDescent="0.2">
      <c r="A116" s="160">
        <f>A115+1</f>
        <v>64</v>
      </c>
      <c r="B116" s="1776" t="s">
        <v>277</v>
      </c>
      <c r="C116" s="173" t="s">
        <v>69</v>
      </c>
      <c r="D116" s="162">
        <f>((6+13.6)+(2+13.6))*0.5*0.1</f>
        <v>1.76</v>
      </c>
      <c r="E116" s="1802"/>
      <c r="F116" s="917">
        <f t="shared" si="5"/>
        <v>0</v>
      </c>
    </row>
    <row r="117" spans="1:7" ht="72" x14ac:dyDescent="0.2">
      <c r="A117" s="160">
        <f t="shared" ref="A117:A122" si="8">A116+1</f>
        <v>65</v>
      </c>
      <c r="B117" s="1776" t="s">
        <v>278</v>
      </c>
      <c r="C117" s="173" t="s">
        <v>69</v>
      </c>
      <c r="D117" s="162">
        <f>((6+13.6)+(2+13.6))*0.3</f>
        <v>10.56</v>
      </c>
      <c r="E117" s="1802"/>
      <c r="F117" s="917">
        <f t="shared" si="5"/>
        <v>0</v>
      </c>
    </row>
    <row r="118" spans="1:7" ht="48" x14ac:dyDescent="0.2">
      <c r="A118" s="160">
        <f t="shared" si="8"/>
        <v>66</v>
      </c>
      <c r="B118" s="1776" t="s">
        <v>279</v>
      </c>
      <c r="C118" s="161" t="s">
        <v>39</v>
      </c>
      <c r="D118" s="163">
        <f>ROUND((39*6.45)/4*0.85,0)</f>
        <v>53</v>
      </c>
      <c r="E118" s="1802"/>
      <c r="F118" s="917">
        <f t="shared" si="5"/>
        <v>0</v>
      </c>
    </row>
    <row r="119" spans="1:7" ht="60" x14ac:dyDescent="0.2">
      <c r="A119" s="160">
        <f t="shared" si="8"/>
        <v>67</v>
      </c>
      <c r="B119" s="1776" t="s">
        <v>280</v>
      </c>
      <c r="C119" s="161" t="s">
        <v>39</v>
      </c>
      <c r="D119" s="163">
        <f>ROUND((39*6.45)/4*0.15,0)</f>
        <v>9</v>
      </c>
      <c r="E119" s="1802"/>
      <c r="F119" s="917">
        <f t="shared" si="5"/>
        <v>0</v>
      </c>
    </row>
    <row r="120" spans="1:7" ht="72" x14ac:dyDescent="0.2">
      <c r="A120" s="160">
        <f t="shared" si="8"/>
        <v>68</v>
      </c>
      <c r="B120" s="1776" t="s">
        <v>281</v>
      </c>
      <c r="C120" s="161" t="s">
        <v>39</v>
      </c>
      <c r="D120" s="163">
        <f>ROUND(534/4,0)</f>
        <v>134</v>
      </c>
      <c r="E120" s="1802"/>
      <c r="F120" s="917">
        <f t="shared" si="5"/>
        <v>0</v>
      </c>
    </row>
    <row r="121" spans="1:7" ht="60" x14ac:dyDescent="0.2">
      <c r="A121" s="160">
        <f t="shared" si="8"/>
        <v>69</v>
      </c>
      <c r="B121" s="1776" t="s">
        <v>282</v>
      </c>
      <c r="C121" s="173" t="s">
        <v>39</v>
      </c>
      <c r="D121" s="163">
        <v>4</v>
      </c>
      <c r="E121" s="1802"/>
      <c r="F121" s="917">
        <f t="shared" si="5"/>
        <v>0</v>
      </c>
    </row>
    <row r="122" spans="1:7" ht="72" x14ac:dyDescent="0.2">
      <c r="A122" s="1206">
        <f t="shared" si="8"/>
        <v>70</v>
      </c>
      <c r="B122" s="1777" t="s">
        <v>283</v>
      </c>
      <c r="C122" s="1227" t="s">
        <v>39</v>
      </c>
      <c r="D122" s="1202">
        <v>18</v>
      </c>
      <c r="E122" s="1802"/>
      <c r="F122" s="1203">
        <f t="shared" si="5"/>
        <v>0</v>
      </c>
    </row>
    <row r="123" spans="1:7" x14ac:dyDescent="0.2">
      <c r="A123" s="1209"/>
      <c r="B123" s="1778"/>
      <c r="C123" s="1228"/>
      <c r="D123" s="1212"/>
      <c r="E123" s="1812"/>
      <c r="F123" s="1213"/>
    </row>
    <row r="124" spans="1:7" ht="13.5" thickBot="1" x14ac:dyDescent="0.25">
      <c r="A124" s="1215"/>
      <c r="B124" s="1779" t="s">
        <v>1563</v>
      </c>
      <c r="C124" s="1229"/>
      <c r="D124" s="1218"/>
      <c r="E124" s="1813"/>
      <c r="F124" s="1219">
        <f>ROUND(SUM(F74:F122),2)</f>
        <v>0</v>
      </c>
    </row>
    <row r="125" spans="1:7" ht="14.25" thickTop="1" thickBot="1" x14ac:dyDescent="0.25">
      <c r="A125" s="180"/>
      <c r="B125" s="1780"/>
      <c r="C125" s="181"/>
      <c r="D125" s="1201"/>
      <c r="E125" s="1814"/>
      <c r="F125" s="1214"/>
    </row>
    <row r="126" spans="1:7" ht="13.5" thickBot="1" x14ac:dyDescent="0.25">
      <c r="A126" s="1236" t="s">
        <v>1551</v>
      </c>
      <c r="B126" s="1770"/>
      <c r="C126" s="1237"/>
      <c r="D126" s="1237"/>
      <c r="E126" s="1811"/>
      <c r="F126" s="1238"/>
    </row>
    <row r="127" spans="1:7" x14ac:dyDescent="0.2">
      <c r="A127" s="134" t="s">
        <v>284</v>
      </c>
      <c r="B127" s="1758"/>
      <c r="C127" s="135"/>
      <c r="D127" s="135"/>
      <c r="E127" s="1800"/>
      <c r="F127" s="1204"/>
    </row>
    <row r="128" spans="1:7" s="152" customFormat="1" ht="36" x14ac:dyDescent="0.2">
      <c r="A128" s="174">
        <f>A122+1</f>
        <v>71</v>
      </c>
      <c r="B128" s="1776" t="s">
        <v>285</v>
      </c>
      <c r="C128" s="142" t="s">
        <v>71</v>
      </c>
      <c r="D128" s="143">
        <f>D130</f>
        <v>163</v>
      </c>
      <c r="E128" s="1802"/>
      <c r="F128" s="917">
        <f>ROUND(D128*E128,2)</f>
        <v>0</v>
      </c>
    </row>
    <row r="129" spans="1:6" x14ac:dyDescent="0.2">
      <c r="A129" s="145" t="s">
        <v>286</v>
      </c>
      <c r="B129" s="1766"/>
      <c r="C129" s="146"/>
      <c r="D129" s="146"/>
      <c r="E129" s="1807"/>
      <c r="F129" s="917"/>
    </row>
    <row r="130" spans="1:6" s="152" customFormat="1" ht="60" x14ac:dyDescent="0.2">
      <c r="A130" s="141">
        <f>A128+1</f>
        <v>72</v>
      </c>
      <c r="B130" s="1760" t="s">
        <v>287</v>
      </c>
      <c r="C130" s="142" t="s">
        <v>71</v>
      </c>
      <c r="D130" s="169">
        <v>163</v>
      </c>
      <c r="E130" s="1802"/>
      <c r="F130" s="917">
        <f>ROUND(D130*E130,2)</f>
        <v>0</v>
      </c>
    </row>
    <row r="131" spans="1:6" s="152" customFormat="1" ht="36" x14ac:dyDescent="0.2">
      <c r="A131" s="141">
        <f>A130+1</f>
        <v>73</v>
      </c>
      <c r="B131" s="1760" t="s">
        <v>267</v>
      </c>
      <c r="C131" s="142" t="s">
        <v>71</v>
      </c>
      <c r="D131" s="169">
        <v>163</v>
      </c>
      <c r="E131" s="1802"/>
      <c r="F131" s="917">
        <f>ROUND(D131*E131,2)</f>
        <v>0</v>
      </c>
    </row>
    <row r="132" spans="1:6" s="152" customFormat="1" ht="36" x14ac:dyDescent="0.2">
      <c r="A132" s="175">
        <f>A131+1</f>
        <v>74</v>
      </c>
      <c r="B132" s="1790" t="s">
        <v>268</v>
      </c>
      <c r="C132" s="176" t="s">
        <v>39</v>
      </c>
      <c r="D132" s="1221">
        <f>D130/3</f>
        <v>54.33</v>
      </c>
      <c r="E132" s="1802"/>
      <c r="F132" s="1203">
        <f>ROUND(D132*E132,2)</f>
        <v>0</v>
      </c>
    </row>
    <row r="133" spans="1:6" s="152" customFormat="1" x14ac:dyDescent="0.2">
      <c r="A133" s="1222"/>
      <c r="B133" s="1782"/>
      <c r="C133" s="1223"/>
      <c r="D133" s="1225"/>
      <c r="E133" s="1815"/>
      <c r="F133" s="1213"/>
    </row>
    <row r="134" spans="1:6" s="152" customFormat="1" ht="13.5" thickBot="1" x14ac:dyDescent="0.25">
      <c r="A134" s="1191"/>
      <c r="B134" s="1773" t="s">
        <v>1564</v>
      </c>
      <c r="C134" s="1192"/>
      <c r="D134" s="1226"/>
      <c r="E134" s="1809"/>
      <c r="F134" s="1219">
        <f>ROUND(SUM(F128:F132),2)</f>
        <v>0</v>
      </c>
    </row>
    <row r="135" spans="1:6" s="152" customFormat="1" ht="14.25" thickTop="1" thickBot="1" x14ac:dyDescent="0.25">
      <c r="A135" s="1188"/>
      <c r="B135" s="1774"/>
      <c r="C135" s="1189"/>
      <c r="D135" s="1220"/>
      <c r="E135" s="1810"/>
      <c r="F135" s="1214"/>
    </row>
    <row r="136" spans="1:6" ht="13.5" thickBot="1" x14ac:dyDescent="0.25">
      <c r="A136" s="1236" t="s">
        <v>288</v>
      </c>
      <c r="B136" s="1770"/>
      <c r="C136" s="1237"/>
      <c r="D136" s="1237"/>
      <c r="E136" s="1811"/>
      <c r="F136" s="1239"/>
    </row>
    <row r="137" spans="1:6" x14ac:dyDescent="0.2">
      <c r="A137" s="134" t="s">
        <v>289</v>
      </c>
      <c r="B137" s="1758"/>
      <c r="C137" s="135"/>
      <c r="D137" s="135"/>
      <c r="E137" s="1807"/>
      <c r="F137" s="1204"/>
    </row>
    <row r="138" spans="1:6" ht="48.75" thickBot="1" x14ac:dyDescent="0.25">
      <c r="A138" s="175">
        <f>A132+1</f>
        <v>75</v>
      </c>
      <c r="B138" s="1790" t="s">
        <v>290</v>
      </c>
      <c r="C138" s="176" t="s">
        <v>39</v>
      </c>
      <c r="D138" s="177">
        <f>6*12</f>
        <v>72</v>
      </c>
      <c r="E138" s="1802"/>
      <c r="F138" s="917">
        <f>ROUND(D138*E138,2)</f>
        <v>0</v>
      </c>
    </row>
    <row r="139" spans="1:6" x14ac:dyDescent="0.2">
      <c r="A139" s="134" t="s">
        <v>291</v>
      </c>
      <c r="B139" s="1791"/>
      <c r="C139" s="178"/>
      <c r="D139" s="178"/>
      <c r="E139" s="1816"/>
      <c r="F139" s="917"/>
    </row>
    <row r="140" spans="1:6" ht="60" x14ac:dyDescent="0.2">
      <c r="A140" s="160">
        <f>A138+1</f>
        <v>76</v>
      </c>
      <c r="B140" s="1776" t="s">
        <v>292</v>
      </c>
      <c r="C140" s="161" t="s">
        <v>69</v>
      </c>
      <c r="D140" s="169">
        <f>3190*0.5</f>
        <v>1595</v>
      </c>
      <c r="E140" s="1802"/>
      <c r="F140" s="917">
        <f t="shared" ref="F140:F145" si="9">ROUND(D140*E140,2)</f>
        <v>0</v>
      </c>
    </row>
    <row r="141" spans="1:6" ht="37.5" customHeight="1" x14ac:dyDescent="0.2">
      <c r="A141" s="160">
        <f>A140+1</f>
        <v>77</v>
      </c>
      <c r="B141" s="1776" t="s">
        <v>293</v>
      </c>
      <c r="C141" s="161" t="s">
        <v>69</v>
      </c>
      <c r="D141" s="162">
        <f>3190*0.5</f>
        <v>1595</v>
      </c>
      <c r="E141" s="1802"/>
      <c r="F141" s="917">
        <f t="shared" si="9"/>
        <v>0</v>
      </c>
    </row>
    <row r="142" spans="1:6" ht="24" x14ac:dyDescent="0.2">
      <c r="A142" s="160">
        <f t="shared" ref="A142:A144" si="10">A141+1</f>
        <v>78</v>
      </c>
      <c r="B142" s="1776" t="s">
        <v>250</v>
      </c>
      <c r="C142" s="161" t="s">
        <v>69</v>
      </c>
      <c r="D142" s="162">
        <f>3190*0.5</f>
        <v>1595</v>
      </c>
      <c r="E142" s="1802"/>
      <c r="F142" s="917">
        <f t="shared" si="9"/>
        <v>0</v>
      </c>
    </row>
    <row r="143" spans="1:6" ht="60" x14ac:dyDescent="0.2">
      <c r="A143" s="160">
        <f t="shared" si="10"/>
        <v>79</v>
      </c>
      <c r="B143" s="1788" t="s">
        <v>294</v>
      </c>
      <c r="C143" s="161" t="s">
        <v>69</v>
      </c>
      <c r="D143" s="162">
        <f>960</f>
        <v>960</v>
      </c>
      <c r="E143" s="1802"/>
      <c r="F143" s="917">
        <f t="shared" si="9"/>
        <v>0</v>
      </c>
    </row>
    <row r="144" spans="1:6" ht="72" x14ac:dyDescent="0.2">
      <c r="A144" s="160">
        <f t="shared" si="10"/>
        <v>80</v>
      </c>
      <c r="B144" s="1788" t="s">
        <v>295</v>
      </c>
      <c r="C144" s="161" t="s">
        <v>69</v>
      </c>
      <c r="D144" s="162">
        <f>D140</f>
        <v>1595</v>
      </c>
      <c r="E144" s="1802"/>
      <c r="F144" s="917">
        <f t="shared" si="9"/>
        <v>0</v>
      </c>
    </row>
    <row r="145" spans="1:6" ht="72.75" thickBot="1" x14ac:dyDescent="0.25">
      <c r="A145" s="166">
        <f>A144+1</f>
        <v>81</v>
      </c>
      <c r="B145" s="1784" t="s">
        <v>296</v>
      </c>
      <c r="C145" s="167" t="s">
        <v>69</v>
      </c>
      <c r="D145" s="168">
        <f>D141-D143/2.7*2</f>
        <v>883.89</v>
      </c>
      <c r="E145" s="1802"/>
      <c r="F145" s="917">
        <f t="shared" si="9"/>
        <v>0</v>
      </c>
    </row>
    <row r="146" spans="1:6" x14ac:dyDescent="0.2">
      <c r="A146" s="145" t="s">
        <v>297</v>
      </c>
      <c r="B146" s="1766"/>
      <c r="C146" s="146"/>
      <c r="D146" s="146"/>
      <c r="E146" s="1807"/>
      <c r="F146" s="917"/>
    </row>
    <row r="147" spans="1:6" ht="47.25" customHeight="1" x14ac:dyDescent="0.2">
      <c r="A147" s="141">
        <v>77</v>
      </c>
      <c r="B147" s="1788" t="s">
        <v>298</v>
      </c>
      <c r="C147" s="142" t="s">
        <v>138</v>
      </c>
      <c r="D147" s="143">
        <f>86*5*0.7*3</f>
        <v>903</v>
      </c>
      <c r="E147" s="1802"/>
      <c r="F147" s="917">
        <f>ROUND(D147*E147,2)</f>
        <v>0</v>
      </c>
    </row>
    <row r="148" spans="1:6" ht="48" x14ac:dyDescent="0.2">
      <c r="A148" s="160">
        <v>78</v>
      </c>
      <c r="B148" s="1776" t="s">
        <v>299</v>
      </c>
      <c r="C148" s="173" t="s">
        <v>71</v>
      </c>
      <c r="D148" s="163">
        <f>86*5*0.7</f>
        <v>301</v>
      </c>
      <c r="E148" s="1802"/>
      <c r="F148" s="917">
        <f>ROUND(D148*E148,2)</f>
        <v>0</v>
      </c>
    </row>
    <row r="149" spans="1:6" ht="60" x14ac:dyDescent="0.2">
      <c r="A149" s="160">
        <v>79</v>
      </c>
      <c r="B149" s="1776" t="s">
        <v>300</v>
      </c>
      <c r="C149" s="173" t="s">
        <v>71</v>
      </c>
      <c r="D149" s="163">
        <f>86*5*0.3</f>
        <v>129</v>
      </c>
      <c r="E149" s="1802"/>
      <c r="F149" s="917">
        <f>ROUND(D149*E149,2)</f>
        <v>0</v>
      </c>
    </row>
    <row r="150" spans="1:6" ht="23.25" customHeight="1" x14ac:dyDescent="0.2">
      <c r="A150" s="1206">
        <v>80</v>
      </c>
      <c r="B150" s="1777" t="s">
        <v>301</v>
      </c>
      <c r="C150" s="1207" t="s">
        <v>39</v>
      </c>
      <c r="D150" s="1202">
        <f>ROUND(86*5*0.7/4,0)</f>
        <v>75</v>
      </c>
      <c r="E150" s="1802"/>
      <c r="F150" s="1203">
        <f>ROUND(D150*E150,2)</f>
        <v>0</v>
      </c>
    </row>
    <row r="151" spans="1:6" x14ac:dyDescent="0.2">
      <c r="A151" s="1209"/>
      <c r="B151" s="1778"/>
      <c r="C151" s="1210"/>
      <c r="D151" s="1212"/>
      <c r="E151" s="1812"/>
      <c r="F151" s="1213"/>
    </row>
    <row r="152" spans="1:6" ht="13.5" thickBot="1" x14ac:dyDescent="0.25">
      <c r="A152" s="1215"/>
      <c r="B152" s="1786" t="s">
        <v>1565</v>
      </c>
      <c r="C152" s="1216"/>
      <c r="D152" s="1218"/>
      <c r="E152" s="1813"/>
      <c r="F152" s="1219">
        <f>ROUND(SUM(F138:F150),2)</f>
        <v>0</v>
      </c>
    </row>
    <row r="153" spans="1:6" ht="14.25" thickTop="1" thickBot="1" x14ac:dyDescent="0.25">
      <c r="A153" s="180"/>
      <c r="B153" s="1780"/>
      <c r="C153" s="1199"/>
      <c r="D153" s="1201"/>
      <c r="E153" s="1814"/>
      <c r="F153" s="1214"/>
    </row>
    <row r="154" spans="1:6" ht="13.5" thickBot="1" x14ac:dyDescent="0.25">
      <c r="A154" s="1236" t="s">
        <v>302</v>
      </c>
      <c r="B154" s="1770"/>
      <c r="C154" s="1237"/>
      <c r="D154" s="1237"/>
      <c r="E154" s="1811"/>
      <c r="F154" s="1239"/>
    </row>
    <row r="155" spans="1:6" x14ac:dyDescent="0.2">
      <c r="A155" s="134" t="s">
        <v>303</v>
      </c>
      <c r="B155" s="1792"/>
      <c r="C155" s="179"/>
      <c r="D155" s="179"/>
      <c r="E155" s="1817"/>
      <c r="F155" s="1204"/>
    </row>
    <row r="156" spans="1:6" ht="48" x14ac:dyDescent="0.2">
      <c r="A156" s="141">
        <v>81</v>
      </c>
      <c r="B156" s="1760" t="s">
        <v>304</v>
      </c>
      <c r="C156" s="142" t="s">
        <v>69</v>
      </c>
      <c r="D156" s="143">
        <f>(77/0.6)*6.6*0.152</f>
        <v>128.74</v>
      </c>
      <c r="E156" s="1802"/>
      <c r="F156" s="917">
        <f>ROUND(D156*E156,2)</f>
        <v>0</v>
      </c>
    </row>
    <row r="157" spans="1:6" ht="24.75" thickBot="1" x14ac:dyDescent="0.25">
      <c r="A157" s="148">
        <v>82</v>
      </c>
      <c r="B157" s="1771" t="s">
        <v>305</v>
      </c>
      <c r="C157" s="149" t="s">
        <v>69</v>
      </c>
      <c r="D157" s="150">
        <f>SUM(D48:D49)</f>
        <v>1596</v>
      </c>
      <c r="E157" s="1802"/>
      <c r="F157" s="917">
        <f>ROUND(D157*E157,2)</f>
        <v>0</v>
      </c>
    </row>
    <row r="158" spans="1:6" x14ac:dyDescent="0.2">
      <c r="A158" s="134" t="s">
        <v>306</v>
      </c>
      <c r="B158" s="1758"/>
      <c r="C158" s="135"/>
      <c r="D158" s="135"/>
      <c r="E158" s="1800"/>
      <c r="F158" s="917"/>
    </row>
    <row r="159" spans="1:6" ht="36" x14ac:dyDescent="0.2">
      <c r="A159" s="160">
        <v>83</v>
      </c>
      <c r="B159" s="1776" t="s">
        <v>307</v>
      </c>
      <c r="C159" s="161" t="s">
        <v>69</v>
      </c>
      <c r="D159" s="143">
        <f>SUM(D45:D46)</f>
        <v>7684</v>
      </c>
      <c r="E159" s="1802"/>
      <c r="F159" s="917">
        <f>ROUND(D159*E159,2)</f>
        <v>0</v>
      </c>
    </row>
    <row r="160" spans="1:6" ht="84" x14ac:dyDescent="0.2">
      <c r="A160" s="1206">
        <v>84</v>
      </c>
      <c r="B160" s="1793" t="s">
        <v>308</v>
      </c>
      <c r="C160" s="1207" t="s">
        <v>69</v>
      </c>
      <c r="D160" s="1208">
        <f>D159+D157+D156*(2.4/2)</f>
        <v>9434.49</v>
      </c>
      <c r="E160" s="1802"/>
      <c r="F160" s="1203">
        <f>ROUND(D160*E160,2)</f>
        <v>0</v>
      </c>
    </row>
    <row r="161" spans="1:6" x14ac:dyDescent="0.2">
      <c r="A161" s="1209"/>
      <c r="B161" s="1794"/>
      <c r="C161" s="1210"/>
      <c r="D161" s="1211"/>
      <c r="E161" s="1812"/>
      <c r="F161" s="1213"/>
    </row>
    <row r="162" spans="1:6" ht="13.5" thickBot="1" x14ac:dyDescent="0.25">
      <c r="A162" s="1215"/>
      <c r="B162" s="1795" t="s">
        <v>1566</v>
      </c>
      <c r="C162" s="1216"/>
      <c r="D162" s="1217"/>
      <c r="E162" s="1813"/>
      <c r="F162" s="1219">
        <f>ROUND(SUM(F156:F160),2)</f>
        <v>0</v>
      </c>
    </row>
    <row r="163" spans="1:6" ht="14.25" thickTop="1" thickBot="1" x14ac:dyDescent="0.25">
      <c r="A163" s="180"/>
      <c r="B163" s="1796"/>
      <c r="C163" s="1199"/>
      <c r="D163" s="1200"/>
      <c r="E163" s="1814"/>
      <c r="F163" s="1214"/>
    </row>
    <row r="164" spans="1:6" ht="13.5" thickBot="1" x14ac:dyDescent="0.25">
      <c r="A164" s="1236" t="s">
        <v>309</v>
      </c>
      <c r="B164" s="1770"/>
      <c r="C164" s="1237"/>
      <c r="D164" s="1237"/>
      <c r="E164" s="1811"/>
      <c r="F164" s="1239"/>
    </row>
    <row r="165" spans="1:6" x14ac:dyDescent="0.2">
      <c r="A165" s="134" t="s">
        <v>310</v>
      </c>
      <c r="B165" s="1792"/>
      <c r="C165" s="179"/>
      <c r="D165" s="179"/>
      <c r="E165" s="1817"/>
      <c r="F165" s="1204"/>
    </row>
    <row r="166" spans="1:6" ht="60.75" thickBot="1" x14ac:dyDescent="0.25">
      <c r="A166" s="148">
        <v>85</v>
      </c>
      <c r="B166" s="1771" t="s">
        <v>311</v>
      </c>
      <c r="C166" s="149" t="s">
        <v>39</v>
      </c>
      <c r="D166" s="150">
        <f>ROUND(43/10,0)*4</f>
        <v>16</v>
      </c>
      <c r="E166" s="1802"/>
      <c r="F166" s="917">
        <f>ROUND(D166*E166,2)</f>
        <v>0</v>
      </c>
    </row>
    <row r="167" spans="1:6" x14ac:dyDescent="0.2">
      <c r="A167" s="134" t="s">
        <v>312</v>
      </c>
      <c r="B167" s="1758"/>
      <c r="C167" s="135"/>
      <c r="D167" s="135"/>
      <c r="E167" s="1800"/>
      <c r="F167" s="917"/>
    </row>
    <row r="168" spans="1:6" ht="50.25" customHeight="1" x14ac:dyDescent="0.2">
      <c r="A168" s="160">
        <v>86</v>
      </c>
      <c r="B168" s="1776" t="s">
        <v>313</v>
      </c>
      <c r="C168" s="161" t="s">
        <v>69</v>
      </c>
      <c r="D168" s="162">
        <f>0.5*4590</f>
        <v>2295</v>
      </c>
      <c r="E168" s="1802"/>
      <c r="F168" s="917">
        <f>ROUND(D168*E168,2)</f>
        <v>0</v>
      </c>
    </row>
    <row r="169" spans="1:6" ht="50.25" customHeight="1" x14ac:dyDescent="0.2">
      <c r="A169" s="160">
        <v>87</v>
      </c>
      <c r="B169" s="1776" t="s">
        <v>314</v>
      </c>
      <c r="C169" s="161" t="s">
        <v>69</v>
      </c>
      <c r="D169" s="162">
        <f>0.5*4590</f>
        <v>2295</v>
      </c>
      <c r="E169" s="1802"/>
      <c r="F169" s="917">
        <f>ROUND(D169*E169,2)</f>
        <v>0</v>
      </c>
    </row>
    <row r="170" spans="1:6" ht="24" x14ac:dyDescent="0.2">
      <c r="A170" s="160">
        <v>88</v>
      </c>
      <c r="B170" s="1776" t="s">
        <v>250</v>
      </c>
      <c r="C170" s="161" t="s">
        <v>69</v>
      </c>
      <c r="D170" s="162">
        <f>0.5*4590*0.25</f>
        <v>573.75</v>
      </c>
      <c r="E170" s="1802"/>
      <c r="F170" s="917">
        <f>ROUND(D170*E170,2)</f>
        <v>0</v>
      </c>
    </row>
    <row r="171" spans="1:6" ht="48" x14ac:dyDescent="0.2">
      <c r="A171" s="160">
        <v>89</v>
      </c>
      <c r="B171" s="1788" t="s">
        <v>229</v>
      </c>
      <c r="C171" s="161" t="s">
        <v>69</v>
      </c>
      <c r="D171" s="162">
        <f>D168+D169*(2.7/2)</f>
        <v>5393.25</v>
      </c>
      <c r="E171" s="1802"/>
      <c r="F171" s="917">
        <f>ROUND(D171*E171,2)</f>
        <v>0</v>
      </c>
    </row>
    <row r="172" spans="1:6" ht="72.75" thickBot="1" x14ac:dyDescent="0.25">
      <c r="A172" s="166">
        <v>90</v>
      </c>
      <c r="B172" s="1784" t="s">
        <v>315</v>
      </c>
      <c r="C172" s="167" t="s">
        <v>69</v>
      </c>
      <c r="D172" s="168">
        <f>244+(230+247)*SQRT(2)</f>
        <v>918.58</v>
      </c>
      <c r="E172" s="1802"/>
      <c r="F172" s="917">
        <f>ROUND(D172*E172,2)</f>
        <v>0</v>
      </c>
    </row>
    <row r="173" spans="1:6" x14ac:dyDescent="0.2">
      <c r="A173" s="134" t="s">
        <v>316</v>
      </c>
      <c r="B173" s="1758"/>
      <c r="C173" s="135"/>
      <c r="D173" s="135"/>
      <c r="E173" s="1800"/>
      <c r="F173" s="917"/>
    </row>
    <row r="174" spans="1:6" ht="51" customHeight="1" x14ac:dyDescent="0.2">
      <c r="A174" s="141">
        <v>91</v>
      </c>
      <c r="B174" s="1788" t="s">
        <v>298</v>
      </c>
      <c r="C174" s="142" t="s">
        <v>138</v>
      </c>
      <c r="D174" s="143">
        <f>66.8*4.1*3</f>
        <v>821.64</v>
      </c>
      <c r="E174" s="1802"/>
      <c r="F174" s="917">
        <f>ROUND(D174*E174,2)</f>
        <v>0</v>
      </c>
    </row>
    <row r="175" spans="1:6" ht="48" x14ac:dyDescent="0.2">
      <c r="A175" s="160">
        <v>92</v>
      </c>
      <c r="B175" s="1776" t="s">
        <v>299</v>
      </c>
      <c r="C175" s="173" t="s">
        <v>71</v>
      </c>
      <c r="D175" s="163">
        <f>66.8*4.1</f>
        <v>273.88</v>
      </c>
      <c r="E175" s="1802"/>
      <c r="F175" s="917">
        <f>ROUND(D175*E175,2)</f>
        <v>0</v>
      </c>
    </row>
    <row r="176" spans="1:6" ht="26.25" customHeight="1" x14ac:dyDescent="0.2">
      <c r="A176" s="1206">
        <v>93</v>
      </c>
      <c r="B176" s="1777" t="s">
        <v>301</v>
      </c>
      <c r="C176" s="1207" t="s">
        <v>39</v>
      </c>
      <c r="D176" s="1202">
        <f>ROUND(66.8*4.1/4,0)</f>
        <v>68</v>
      </c>
      <c r="E176" s="1802"/>
      <c r="F176" s="1203">
        <f>ROUND(D176*E176,2)</f>
        <v>0</v>
      </c>
    </row>
    <row r="177" spans="1:6" x14ac:dyDescent="0.2">
      <c r="A177" s="1209"/>
      <c r="B177" s="1778"/>
      <c r="C177" s="1210"/>
      <c r="D177" s="1212"/>
      <c r="E177" s="1812"/>
      <c r="F177" s="1213"/>
    </row>
    <row r="178" spans="1:6" ht="13.5" thickBot="1" x14ac:dyDescent="0.25">
      <c r="A178" s="1215"/>
      <c r="B178" s="1786" t="s">
        <v>1567</v>
      </c>
      <c r="C178" s="1216"/>
      <c r="D178" s="1218"/>
      <c r="E178" s="1813"/>
      <c r="F178" s="1219">
        <f>ROUND(SUM(F166:F176),2)</f>
        <v>0</v>
      </c>
    </row>
    <row r="179" spans="1:6" ht="14.25" thickTop="1" thickBot="1" x14ac:dyDescent="0.25">
      <c r="A179" s="180"/>
      <c r="B179" s="1780"/>
      <c r="C179" s="1199"/>
      <c r="D179" s="1201"/>
      <c r="E179" s="1814"/>
      <c r="F179" s="1214"/>
    </row>
    <row r="180" spans="1:6" ht="13.5" thickBot="1" x14ac:dyDescent="0.25">
      <c r="A180" s="1236" t="s">
        <v>317</v>
      </c>
      <c r="B180" s="1770"/>
      <c r="C180" s="1237"/>
      <c r="D180" s="1237"/>
      <c r="E180" s="1811"/>
      <c r="F180" s="1239"/>
    </row>
    <row r="181" spans="1:6" x14ac:dyDescent="0.2">
      <c r="A181" s="134" t="s">
        <v>318</v>
      </c>
      <c r="B181" s="1792"/>
      <c r="C181" s="179"/>
      <c r="D181" s="179"/>
      <c r="E181" s="1817"/>
      <c r="F181" s="1204"/>
    </row>
    <row r="182" spans="1:6" ht="48.75" thickBot="1" x14ac:dyDescent="0.25">
      <c r="A182" s="148">
        <v>94</v>
      </c>
      <c r="B182" s="1771" t="s">
        <v>319</v>
      </c>
      <c r="C182" s="149" t="s">
        <v>39</v>
      </c>
      <c r="D182" s="150">
        <v>10</v>
      </c>
      <c r="E182" s="1802"/>
      <c r="F182" s="917">
        <f>ROUND(D182*E182,2)</f>
        <v>0</v>
      </c>
    </row>
    <row r="183" spans="1:6" x14ac:dyDescent="0.2">
      <c r="A183" s="134" t="s">
        <v>320</v>
      </c>
      <c r="B183" s="1758"/>
      <c r="C183" s="135"/>
      <c r="D183" s="135"/>
      <c r="E183" s="1800"/>
      <c r="F183" s="917"/>
    </row>
    <row r="184" spans="1:6" ht="50.25" customHeight="1" x14ac:dyDescent="0.2">
      <c r="A184" s="160">
        <v>95</v>
      </c>
      <c r="B184" s="1776" t="s">
        <v>321</v>
      </c>
      <c r="C184" s="161" t="s">
        <v>69</v>
      </c>
      <c r="D184" s="162">
        <v>10</v>
      </c>
      <c r="E184" s="1802"/>
      <c r="F184" s="917">
        <f>ROUND(D184*E184,2)</f>
        <v>0</v>
      </c>
    </row>
    <row r="185" spans="1:6" ht="60" x14ac:dyDescent="0.2">
      <c r="A185" s="160">
        <v>96</v>
      </c>
      <c r="B185" s="1776" t="s">
        <v>322</v>
      </c>
      <c r="C185" s="161" t="s">
        <v>69</v>
      </c>
      <c r="D185" s="162">
        <v>582.4</v>
      </c>
      <c r="E185" s="1802"/>
      <c r="F185" s="917">
        <f>ROUND(D185*E185,2)</f>
        <v>0</v>
      </c>
    </row>
    <row r="186" spans="1:6" ht="72" x14ac:dyDescent="0.2">
      <c r="A186" s="1206">
        <v>97</v>
      </c>
      <c r="B186" s="1777" t="s">
        <v>315</v>
      </c>
      <c r="C186" s="1207" t="s">
        <v>69</v>
      </c>
      <c r="D186" s="1208">
        <v>84</v>
      </c>
      <c r="E186" s="1802"/>
      <c r="F186" s="1203">
        <f>ROUND(D186*E186,2)</f>
        <v>0</v>
      </c>
    </row>
    <row r="187" spans="1:6" x14ac:dyDescent="0.2">
      <c r="A187" s="1209"/>
      <c r="B187" s="1778"/>
      <c r="C187" s="1210"/>
      <c r="D187" s="1211"/>
      <c r="E187" s="1812"/>
      <c r="F187" s="1213"/>
    </row>
    <row r="188" spans="1:6" ht="13.5" thickBot="1" x14ac:dyDescent="0.25">
      <c r="A188" s="1215"/>
      <c r="B188" s="1779" t="s">
        <v>1568</v>
      </c>
      <c r="C188" s="1216"/>
      <c r="D188" s="1217"/>
      <c r="E188" s="1813"/>
      <c r="F188" s="1219">
        <f>ROUND(SUM(F182:F186),2)</f>
        <v>0</v>
      </c>
    </row>
    <row r="189" spans="1:6" ht="14.25" thickTop="1" thickBot="1" x14ac:dyDescent="0.25">
      <c r="A189" s="180"/>
      <c r="B189" s="1780"/>
      <c r="C189" s="1199"/>
      <c r="D189" s="1200"/>
      <c r="E189" s="1814"/>
      <c r="F189" s="1214"/>
    </row>
    <row r="190" spans="1:6" ht="13.5" thickBot="1" x14ac:dyDescent="0.25">
      <c r="A190" s="1236" t="s">
        <v>323</v>
      </c>
      <c r="B190" s="1770"/>
      <c r="C190" s="1237"/>
      <c r="D190" s="1237"/>
      <c r="E190" s="1811"/>
      <c r="F190" s="1238"/>
    </row>
    <row r="191" spans="1:6" ht="24" x14ac:dyDescent="0.2">
      <c r="A191" s="137">
        <v>98</v>
      </c>
      <c r="B191" s="1759" t="s">
        <v>324</v>
      </c>
      <c r="C191" s="138" t="s">
        <v>39</v>
      </c>
      <c r="D191" s="139">
        <v>1</v>
      </c>
      <c r="E191" s="1802"/>
      <c r="F191" s="1204">
        <f>ROUND(D191*E191,2)</f>
        <v>0</v>
      </c>
    </row>
    <row r="192" spans="1:6" ht="24" x14ac:dyDescent="0.2">
      <c r="A192" s="141">
        <v>99</v>
      </c>
      <c r="B192" s="1760" t="s">
        <v>325</v>
      </c>
      <c r="C192" s="142" t="s">
        <v>39</v>
      </c>
      <c r="D192" s="143">
        <v>1</v>
      </c>
      <c r="E192" s="1802"/>
      <c r="F192" s="917">
        <f>ROUND(D192*E192,2)</f>
        <v>0</v>
      </c>
    </row>
    <row r="193" spans="1:6" ht="26.25" customHeight="1" x14ac:dyDescent="0.2">
      <c r="A193" s="141">
        <v>100</v>
      </c>
      <c r="B193" s="1788" t="s">
        <v>326</v>
      </c>
      <c r="C193" s="142" t="s">
        <v>327</v>
      </c>
      <c r="D193" s="143">
        <v>15</v>
      </c>
      <c r="E193" s="1802"/>
      <c r="F193" s="917">
        <f>ROUND(D193*E193,2)</f>
        <v>0</v>
      </c>
    </row>
    <row r="194" spans="1:6" ht="51" customHeight="1" x14ac:dyDescent="0.2">
      <c r="A194" s="141">
        <v>101</v>
      </c>
      <c r="B194" s="1788" t="s">
        <v>328</v>
      </c>
      <c r="C194" s="142" t="s">
        <v>327</v>
      </c>
      <c r="D194" s="143">
        <v>15</v>
      </c>
      <c r="E194" s="1802"/>
      <c r="F194" s="917">
        <f>ROUND(D194*E194,2)</f>
        <v>0</v>
      </c>
    </row>
    <row r="195" spans="1:6" x14ac:dyDescent="0.2">
      <c r="A195" s="175">
        <v>102</v>
      </c>
      <c r="B195" s="1793" t="s">
        <v>329</v>
      </c>
      <c r="C195" s="176" t="s">
        <v>39</v>
      </c>
      <c r="D195" s="177">
        <v>1</v>
      </c>
      <c r="E195" s="1802"/>
      <c r="F195" s="1203">
        <f>ROUND(D195*E195,2)</f>
        <v>0</v>
      </c>
    </row>
    <row r="196" spans="1:6" x14ac:dyDescent="0.2">
      <c r="A196" s="1222"/>
      <c r="B196" s="1794"/>
      <c r="C196" s="1223"/>
      <c r="D196" s="1224"/>
      <c r="E196" s="1815"/>
      <c r="F196" s="1213"/>
    </row>
    <row r="197" spans="1:6" ht="13.5" thickBot="1" x14ac:dyDescent="0.25">
      <c r="A197" s="1191"/>
      <c r="B197" s="1795" t="s">
        <v>1570</v>
      </c>
      <c r="C197" s="1192"/>
      <c r="D197" s="1193"/>
      <c r="E197" s="1809"/>
      <c r="F197" s="1219">
        <f>ROUND(SUM(F191:F195),2)</f>
        <v>0</v>
      </c>
    </row>
    <row r="198" spans="1:6" ht="14.25" thickTop="1" thickBot="1" x14ac:dyDescent="0.25">
      <c r="A198" s="180"/>
      <c r="B198" s="1780"/>
      <c r="C198" s="181"/>
      <c r="D198" s="182"/>
      <c r="E198" s="1818"/>
      <c r="F198" s="1235"/>
    </row>
    <row r="199" spans="1:6" ht="13.5" thickBot="1" x14ac:dyDescent="0.25">
      <c r="A199" s="2035" t="s">
        <v>1569</v>
      </c>
      <c r="B199" s="2036"/>
      <c r="C199" s="2036"/>
      <c r="D199" s="183"/>
      <c r="E199" s="1805"/>
      <c r="F199" s="918">
        <f>ROUND(SUM(F197,F188,F178,F162,F152,F134,F124,F70,F56,F51,F39,F23),2)</f>
        <v>0</v>
      </c>
    </row>
    <row r="201" spans="1:6" ht="14.25" customHeight="1" x14ac:dyDescent="0.2"/>
    <row r="202" spans="1:6" x14ac:dyDescent="0.2">
      <c r="B202" s="1797"/>
    </row>
    <row r="203" spans="1:6" x14ac:dyDescent="0.2">
      <c r="B203" s="1797"/>
    </row>
  </sheetData>
  <sheetProtection algorithmName="SHA-512" hashValue="VC9jkwgrb2xXmVPpIfkpRAsjTvqaxrxQAw9QiPxshUo155se52tuRSy9uHk94DiyUsgH2jT/wLUchQVu3+dc2w==" saltValue="4gTn/vqHlpQxKjwbRivOLw==" spinCount="100000" sheet="1" objects="1" scenarios="1"/>
  <mergeCells count="1">
    <mergeCell ref="A199:C199"/>
  </mergeCells>
  <pageMargins left="0.70866141732283472" right="0.70866141732283472" top="0.74803149606299213" bottom="0.74803149606299213" header="0.31496062992125984" footer="0.31496062992125984"/>
  <pageSetup paperSize="9" scale="86" fitToHeight="0" orientation="portrait" r:id="rId1"/>
  <headerFooter>
    <oddFooter>&amp;R&amp;P od &amp;N</oddFooter>
  </headerFooter>
  <rowBreaks count="4" manualBreakCount="4">
    <brk id="40" max="6" man="1"/>
    <brk id="57" max="6" man="1"/>
    <brk id="103" max="6" man="1"/>
    <brk id="125"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H35"/>
  <sheetViews>
    <sheetView view="pageBreakPreview" zoomScaleNormal="100" zoomScaleSheetLayoutView="100" zoomScalePageLayoutView="115" workbookViewId="0"/>
  </sheetViews>
  <sheetFormatPr defaultColWidth="9.140625" defaultRowHeight="12.75" x14ac:dyDescent="0.2"/>
  <cols>
    <col min="1" max="1" width="5.28515625" style="1005" customWidth="1"/>
    <col min="2" max="2" width="14" style="1005" customWidth="1"/>
    <col min="3" max="4" width="9.140625" style="1005"/>
    <col min="5" max="5" width="9.5703125" style="1005" customWidth="1"/>
    <col min="6" max="6" width="4" style="1005" customWidth="1"/>
    <col min="7" max="7" width="11.42578125" style="1005" customWidth="1"/>
    <col min="8" max="8" width="15.28515625" style="1005" customWidth="1"/>
    <col min="9" max="16384" width="9.140625" style="1005"/>
  </cols>
  <sheetData>
    <row r="1" spans="1:7" ht="18" customHeight="1" x14ac:dyDescent="0.25">
      <c r="A1" s="1004" t="s">
        <v>1445</v>
      </c>
      <c r="B1" s="1004"/>
      <c r="C1" s="1004"/>
    </row>
    <row r="2" spans="1:7" ht="18" customHeight="1" x14ac:dyDescent="0.25">
      <c r="A2" s="1004"/>
      <c r="B2" s="1004"/>
      <c r="C2" s="1004"/>
    </row>
    <row r="3" spans="1:7" ht="18" customHeight="1" x14ac:dyDescent="0.25">
      <c r="A3" s="1006" t="s">
        <v>421</v>
      </c>
      <c r="B3" s="1004" t="s">
        <v>422</v>
      </c>
      <c r="C3" s="1004"/>
    </row>
    <row r="4" spans="1:7" ht="18" customHeight="1" x14ac:dyDescent="0.25">
      <c r="A4" s="1004"/>
      <c r="B4" s="1004"/>
      <c r="C4" s="1004"/>
    </row>
    <row r="5" spans="1:7" ht="18" customHeight="1" x14ac:dyDescent="0.25">
      <c r="A5" s="1004" t="s">
        <v>342</v>
      </c>
      <c r="B5" s="1007"/>
      <c r="C5" s="1007"/>
    </row>
    <row r="6" spans="1:7" ht="18" customHeight="1" x14ac:dyDescent="0.25">
      <c r="A6" s="1004" t="s">
        <v>177</v>
      </c>
      <c r="B6" s="1007"/>
      <c r="C6" s="1007"/>
    </row>
    <row r="7" spans="1:7" ht="18" customHeight="1" x14ac:dyDescent="0.25">
      <c r="A7" s="1004" t="s">
        <v>176</v>
      </c>
      <c r="B7" s="1007"/>
      <c r="C7" s="1007"/>
    </row>
    <row r="8" spans="1:7" ht="12" customHeight="1" x14ac:dyDescent="0.2">
      <c r="A8" s="1008"/>
      <c r="B8" s="1008"/>
      <c r="C8" s="1008"/>
      <c r="D8" s="1008"/>
      <c r="E8" s="1008"/>
      <c r="F8" s="1008"/>
    </row>
    <row r="11" spans="1:7" x14ac:dyDescent="0.2">
      <c r="A11" s="1009" t="s">
        <v>174</v>
      </c>
    </row>
    <row r="12" spans="1:7" ht="13.5" thickBot="1" x14ac:dyDescent="0.25"/>
    <row r="13" spans="1:7" s="1008" customFormat="1" x14ac:dyDescent="0.2">
      <c r="B13" s="1010" t="s">
        <v>20</v>
      </c>
      <c r="C13" s="1011" t="s">
        <v>1545</v>
      </c>
      <c r="D13" s="1012"/>
      <c r="E13" s="1012"/>
      <c r="F13" s="1012"/>
      <c r="G13" s="1013">
        <f>'3.3'!F15</f>
        <v>0</v>
      </c>
    </row>
    <row r="14" spans="1:7" s="1008" customFormat="1" x14ac:dyDescent="0.2">
      <c r="B14" s="1014"/>
      <c r="C14" s="1015"/>
      <c r="D14" s="1016"/>
      <c r="E14" s="1016"/>
      <c r="F14" s="1016"/>
      <c r="G14" s="1017"/>
    </row>
    <row r="15" spans="1:7" s="1008" customFormat="1" ht="29.25" customHeight="1" x14ac:dyDescent="0.2">
      <c r="B15" s="1014" t="s">
        <v>77</v>
      </c>
      <c r="C15" s="2037" t="s">
        <v>343</v>
      </c>
      <c r="D15" s="2037"/>
      <c r="E15" s="2037"/>
      <c r="F15" s="1016"/>
      <c r="G15" s="1017">
        <f>'3.3'!F79</f>
        <v>0</v>
      </c>
    </row>
    <row r="16" spans="1:7" s="1008" customFormat="1" x14ac:dyDescent="0.2">
      <c r="B16" s="1018"/>
      <c r="C16" s="1019"/>
      <c r="D16" s="1019"/>
      <c r="E16" s="1019"/>
      <c r="F16" s="1019"/>
      <c r="G16" s="1020"/>
    </row>
    <row r="17" spans="2:8" s="1008" customFormat="1" x14ac:dyDescent="0.2">
      <c r="B17" s="1014" t="s">
        <v>84</v>
      </c>
      <c r="C17" s="1015" t="s">
        <v>344</v>
      </c>
      <c r="D17" s="1016"/>
      <c r="E17" s="1016"/>
      <c r="F17" s="1016"/>
      <c r="G17" s="1017">
        <f>'3.3'!F85</f>
        <v>0</v>
      </c>
    </row>
    <row r="18" spans="2:8" s="1008" customFormat="1" x14ac:dyDescent="0.2">
      <c r="B18" s="1014"/>
      <c r="C18" s="1015"/>
      <c r="D18" s="1016"/>
      <c r="E18" s="1016"/>
      <c r="F18" s="1016"/>
      <c r="G18" s="1017"/>
    </row>
    <row r="19" spans="2:8" s="1008" customFormat="1" ht="13.5" thickBot="1" x14ac:dyDescent="0.25">
      <c r="B19" s="1021" t="s">
        <v>86</v>
      </c>
      <c r="C19" s="1022" t="s">
        <v>162</v>
      </c>
      <c r="D19" s="1023"/>
      <c r="E19" s="1023"/>
      <c r="F19" s="1023"/>
      <c r="G19" s="1024">
        <f>'3.3'!F93</f>
        <v>0</v>
      </c>
    </row>
    <row r="20" spans="2:8" s="1008" customFormat="1" ht="13.5" thickBot="1" x14ac:dyDescent="0.25">
      <c r="B20" s="1025"/>
      <c r="C20" s="1026"/>
      <c r="D20" s="1026"/>
      <c r="E20" s="1026"/>
      <c r="F20" s="1026"/>
      <c r="G20" s="1027"/>
    </row>
    <row r="21" spans="2:8" s="1008" customFormat="1" ht="13.5" thickBot="1" x14ac:dyDescent="0.25">
      <c r="B21" s="1028" t="s">
        <v>161</v>
      </c>
      <c r="C21" s="1029"/>
      <c r="D21" s="1030"/>
      <c r="E21" s="1030"/>
      <c r="F21" s="1030"/>
      <c r="G21" s="1031">
        <f>ROUND(SUM(G13:G19),2)</f>
        <v>0</v>
      </c>
    </row>
    <row r="26" spans="2:8" x14ac:dyDescent="0.2">
      <c r="B26" s="1032"/>
      <c r="C26" s="1032"/>
      <c r="D26" s="1032"/>
      <c r="E26" s="1032"/>
      <c r="F26" s="1032"/>
      <c r="G26" s="1033"/>
    </row>
    <row r="27" spans="2:8" x14ac:dyDescent="0.2">
      <c r="B27" s="1034"/>
      <c r="C27" s="1034"/>
      <c r="D27" s="1034"/>
      <c r="E27" s="1034"/>
      <c r="F27" s="1034"/>
      <c r="G27" s="1034"/>
      <c r="H27" s="1034"/>
    </row>
    <row r="28" spans="2:8" x14ac:dyDescent="0.2">
      <c r="B28" s="1034"/>
      <c r="C28" s="1034"/>
      <c r="D28" s="1034"/>
      <c r="E28" s="1034"/>
      <c r="F28" s="1034"/>
      <c r="G28" s="1034"/>
      <c r="H28" s="1034"/>
    </row>
    <row r="35" spans="1:1" x14ac:dyDescent="0.2">
      <c r="A35" s="1035"/>
    </row>
  </sheetData>
  <sheetProtection algorithmName="SHA-512" hashValue="uFPXR94ED50GlPcxTtNp40LgjLLox+5c9rynbLlytbXrQYrH7wdNBaJ0oq7lWlt2W0hjI9e7//+jIomINoYTTA==" saltValue="EyTR6kr3k1dmtp5IXT//4g==" spinCount="100000" sheet="1" objects="1" scenarios="1"/>
  <mergeCells count="1">
    <mergeCell ref="C15:E15"/>
  </mergeCells>
  <pageMargins left="0.70866141732283472" right="0.70866141732283472" top="0.74803149606299213" bottom="0.74803149606299213" header="0.31496062992125984" footer="0.31496062992125984"/>
  <pageSetup paperSize="9" fitToHeight="0" orientation="portrait" r:id="rId1"/>
  <headerFooter>
    <oddFooter>&amp;R&amp;P od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F6"/>
  <sheetViews>
    <sheetView view="pageBreakPreview" zoomScaleNormal="100" zoomScaleSheetLayoutView="100" workbookViewId="0"/>
  </sheetViews>
  <sheetFormatPr defaultRowHeight="15" x14ac:dyDescent="0.25"/>
  <cols>
    <col min="1" max="1" width="7.42578125" customWidth="1"/>
    <col min="2" max="2" width="26.42578125" customWidth="1"/>
    <col min="3" max="3" width="11.85546875" customWidth="1"/>
    <col min="4" max="4" width="14.7109375" customWidth="1"/>
    <col min="5" max="5" width="6.140625" customWidth="1"/>
    <col min="6" max="6" width="17.85546875" customWidth="1"/>
  </cols>
  <sheetData>
    <row r="1" spans="1:6" ht="15.75" thickBot="1" x14ac:dyDescent="0.3">
      <c r="A1" s="1040" t="s">
        <v>346</v>
      </c>
      <c r="B1" s="1041"/>
      <c r="C1" s="1041"/>
      <c r="D1" s="1041"/>
      <c r="E1" s="1640"/>
      <c r="F1" s="1042"/>
    </row>
    <row r="2" spans="1:6" ht="147.75" customHeight="1" x14ac:dyDescent="0.25">
      <c r="A2" s="2038" t="s">
        <v>347</v>
      </c>
      <c r="B2" s="2040" t="s">
        <v>348</v>
      </c>
      <c r="C2" s="2040"/>
      <c r="D2" s="2040"/>
      <c r="E2" s="2040"/>
      <c r="F2" s="2041"/>
    </row>
    <row r="3" spans="1:6" ht="159" customHeight="1" thickBot="1" x14ac:dyDescent="0.3">
      <c r="A3" s="2039"/>
      <c r="B3" s="2042"/>
      <c r="C3" s="2042"/>
      <c r="D3" s="2042"/>
      <c r="E3" s="2042"/>
      <c r="F3" s="2043"/>
    </row>
    <row r="4" spans="1:6" ht="141" customHeight="1" x14ac:dyDescent="0.25">
      <c r="A4" s="1723" t="s">
        <v>349</v>
      </c>
      <c r="B4" s="2040" t="s">
        <v>350</v>
      </c>
      <c r="C4" s="2040"/>
      <c r="D4" s="2040"/>
      <c r="E4" s="2040"/>
      <c r="F4" s="2041"/>
    </row>
    <row r="5" spans="1:6" ht="262.5" customHeight="1" thickBot="1" x14ac:dyDescent="0.3">
      <c r="A5" s="1045" t="s">
        <v>351</v>
      </c>
      <c r="B5" s="2042" t="s">
        <v>352</v>
      </c>
      <c r="C5" s="2042"/>
      <c r="D5" s="2042"/>
      <c r="E5" s="2042"/>
      <c r="F5" s="2043"/>
    </row>
    <row r="6" spans="1:6" ht="250.5" customHeight="1" thickBot="1" x14ac:dyDescent="0.3">
      <c r="A6" s="1724" t="s">
        <v>353</v>
      </c>
      <c r="B6" s="2042" t="s">
        <v>354</v>
      </c>
      <c r="C6" s="2042"/>
      <c r="D6" s="2042"/>
      <c r="E6" s="2042"/>
      <c r="F6" s="2043"/>
    </row>
  </sheetData>
  <sheetProtection algorithmName="SHA-512" hashValue="Q34tsdJQC1EWKpQ2yWC/8L8qQvjEdCqYk0C7SIu7nrYolrUv5TVzP3aA1r3rb3adeuTFV2SJT5hg3WBxER274A==" saltValue="o3yZBvL/SO22NE3eNrnBQw==" spinCount="100000" sheet="1" objects="1" scenarios="1"/>
  <mergeCells count="5">
    <mergeCell ref="A2:A3"/>
    <mergeCell ref="B2:F3"/>
    <mergeCell ref="B4:F4"/>
    <mergeCell ref="B5:F5"/>
    <mergeCell ref="B6:F6"/>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38</vt:i4>
      </vt:variant>
      <vt:variant>
        <vt:lpstr>Imenovani obsegi</vt:lpstr>
      </vt:variant>
      <vt:variant>
        <vt:i4>43</vt:i4>
      </vt:variant>
    </vt:vector>
  </HeadingPairs>
  <TitlesOfParts>
    <vt:vector size="81" baseType="lpstr">
      <vt:lpstr>Rekapitulacija 1</vt:lpstr>
      <vt:lpstr>Rekapitulacija 3.1</vt:lpstr>
      <vt:lpstr>3.1.1</vt:lpstr>
      <vt:lpstr>3.1.2</vt:lpstr>
      <vt:lpstr>3.1.3</vt:lpstr>
      <vt:lpstr>Rekapitulacija 3.2</vt:lpstr>
      <vt:lpstr>3.2</vt:lpstr>
      <vt:lpstr>Rekapitulacija 3.3</vt:lpstr>
      <vt:lpstr>Uvod v predračun 3.3</vt:lpstr>
      <vt:lpstr>3.3</vt:lpstr>
      <vt:lpstr>Rekapitulacija 3.4</vt:lpstr>
      <vt:lpstr>3.4</vt:lpstr>
      <vt:lpstr>Rekapitulacija 3.5</vt:lpstr>
      <vt:lpstr>UVOD V PREDRAČUN 3.5</vt:lpstr>
      <vt:lpstr>3.5.1</vt:lpstr>
      <vt:lpstr>3.5.2</vt:lpstr>
      <vt:lpstr>3.5.3</vt:lpstr>
      <vt:lpstr>Rekapitulacija 3.7</vt:lpstr>
      <vt:lpstr>3.7.1</vt:lpstr>
      <vt:lpstr>3.7.2</vt:lpstr>
      <vt:lpstr>3.7.3</vt:lpstr>
      <vt:lpstr>Rekapitulacija 4</vt:lpstr>
      <vt:lpstr>UVOD V PREDRAČUN 4</vt:lpstr>
      <vt:lpstr>4.1</vt:lpstr>
      <vt:lpstr>4.2</vt:lpstr>
      <vt:lpstr>4.3</vt:lpstr>
      <vt:lpstr>4.4</vt:lpstr>
      <vt:lpstr>4.5</vt:lpstr>
      <vt:lpstr>4.6</vt:lpstr>
      <vt:lpstr>4.7</vt:lpstr>
      <vt:lpstr>4.8</vt:lpstr>
      <vt:lpstr>4.9</vt:lpstr>
      <vt:lpstr>4.10</vt:lpstr>
      <vt:lpstr>4.11</vt:lpstr>
      <vt:lpstr>Rekapitulacija 5</vt:lpstr>
      <vt:lpstr>Splošne opombe k popisu del</vt:lpstr>
      <vt:lpstr>5.1</vt:lpstr>
      <vt:lpstr>5.2</vt:lpstr>
      <vt:lpstr>'3.1.1'!Področje_tiskanja</vt:lpstr>
      <vt:lpstr>'3.1.2'!Področje_tiskanja</vt:lpstr>
      <vt:lpstr>'3.2'!Področje_tiskanja</vt:lpstr>
      <vt:lpstr>'3.4'!Področje_tiskanja</vt:lpstr>
      <vt:lpstr>'3.5.1'!Področje_tiskanja</vt:lpstr>
      <vt:lpstr>'3.5.2'!Področje_tiskanja</vt:lpstr>
      <vt:lpstr>'3.5.3'!Področje_tiskanja</vt:lpstr>
      <vt:lpstr>'4.1'!Področje_tiskanja</vt:lpstr>
      <vt:lpstr>'4.10'!Področje_tiskanja</vt:lpstr>
      <vt:lpstr>'4.11'!Področje_tiskanja</vt:lpstr>
      <vt:lpstr>'4.2'!Področje_tiskanja</vt:lpstr>
      <vt:lpstr>'4.3'!Področje_tiskanja</vt:lpstr>
      <vt:lpstr>'4.4'!Področje_tiskanja</vt:lpstr>
      <vt:lpstr>'4.5'!Področje_tiskanja</vt:lpstr>
      <vt:lpstr>'4.6'!Področje_tiskanja</vt:lpstr>
      <vt:lpstr>'4.7'!Področje_tiskanja</vt:lpstr>
      <vt:lpstr>'4.8'!Področje_tiskanja</vt:lpstr>
      <vt:lpstr>'4.9'!Področje_tiskanja</vt:lpstr>
      <vt:lpstr>'5.1'!Področje_tiskanja</vt:lpstr>
      <vt:lpstr>'5.2'!Področje_tiskanja</vt:lpstr>
      <vt:lpstr>'Rekapitulacija 3.2'!Področje_tiskanja</vt:lpstr>
      <vt:lpstr>'Rekapitulacija 3.3'!Področje_tiskanja</vt:lpstr>
      <vt:lpstr>'Rekapitulacija 3.4'!Področje_tiskanja</vt:lpstr>
      <vt:lpstr>'Rekapitulacija 4'!Področje_tiskanja</vt:lpstr>
      <vt:lpstr>'Rekapitulacija 5'!Področje_tiskanja</vt:lpstr>
      <vt:lpstr>'Splošne opombe k popisu del'!Področje_tiskanja</vt:lpstr>
      <vt:lpstr>'UVOD V PREDRAČUN 3.5'!Področje_tiskanja</vt:lpstr>
      <vt:lpstr>'UVOD V PREDRAČUN 4'!Področje_tiskanja</vt:lpstr>
      <vt:lpstr>'3.5.1'!Tiskanje_naslovov</vt:lpstr>
      <vt:lpstr>'3.5.2'!Tiskanje_naslovov</vt:lpstr>
      <vt:lpstr>'3.5.3'!Tiskanje_naslovov</vt:lpstr>
      <vt:lpstr>'4.1'!Tiskanje_naslovov</vt:lpstr>
      <vt:lpstr>'4.10'!Tiskanje_naslovov</vt:lpstr>
      <vt:lpstr>'4.11'!Tiskanje_naslovov</vt:lpstr>
      <vt:lpstr>'4.2'!Tiskanje_naslovov</vt:lpstr>
      <vt:lpstr>'4.3'!Tiskanje_naslovov</vt:lpstr>
      <vt:lpstr>'4.4'!Tiskanje_naslovov</vt:lpstr>
      <vt:lpstr>'4.5'!Tiskanje_naslovov</vt:lpstr>
      <vt:lpstr>'4.6'!Tiskanje_naslovov</vt:lpstr>
      <vt:lpstr>'4.7'!Tiskanje_naslovov</vt:lpstr>
      <vt:lpstr>'4.8'!Tiskanje_naslovov</vt:lpstr>
      <vt:lpstr>'4.9'!Tiskanje_naslovov</vt:lpstr>
      <vt:lpstr>'UVOD V PREDRAČUN 3.5'!Tiskanje_naslovov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2019-08-09T13:57:32Z</dcterms:modified>
</cp:coreProperties>
</file>