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zi636\Desktop\dokumenti splet\"/>
    </mc:Choice>
  </mc:AlternateContent>
  <bookViews>
    <workbookView xWindow="480" yWindow="120" windowWidth="20370" windowHeight="9525" tabRatio="288"/>
  </bookViews>
  <sheets>
    <sheet name="ELEKTRIČNA ENERGIJA" sheetId="5" r:id="rId1"/>
    <sheet name="PLIN" sheetId="8" r:id="rId2"/>
    <sheet name="VODIK" sheetId="9" r:id="rId3"/>
    <sheet name="List1" sheetId="10" r:id="rId4"/>
  </sheets>
  <definedNames>
    <definedName name="_xlnm.Print_Titles" localSheetId="1">PLIN!#REF!</definedName>
  </definedNames>
  <calcPr calcId="162913"/>
</workbook>
</file>

<file path=xl/calcChain.xml><?xml version="1.0" encoding="utf-8"?>
<calcChain xmlns="http://schemas.openxmlformats.org/spreadsheetml/2006/main">
  <c r="K64" i="8" l="1"/>
  <c r="J64" i="8"/>
  <c r="O18" i="10" l="1"/>
  <c r="J59" i="8" l="1"/>
  <c r="J18" i="9"/>
  <c r="J14" i="9"/>
  <c r="K14" i="9"/>
  <c r="K113" i="8"/>
  <c r="K118" i="8"/>
  <c r="J118" i="8"/>
  <c r="J113" i="8"/>
  <c r="K24" i="10" l="1"/>
  <c r="K23" i="10"/>
  <c r="N23" i="10" s="1"/>
  <c r="P23" i="10" s="1"/>
  <c r="N24" i="10" l="1"/>
  <c r="P24" i="10" s="1"/>
  <c r="P25" i="10" s="1"/>
  <c r="Q23" i="10"/>
  <c r="D14" i="10"/>
  <c r="E14" i="10"/>
  <c r="C14" i="10"/>
  <c r="E13" i="10"/>
  <c r="D13" i="10"/>
  <c r="C13" i="10"/>
  <c r="K84" i="8"/>
  <c r="K6" i="5" l="1"/>
  <c r="J6" i="5"/>
  <c r="G156" i="8" l="1"/>
  <c r="K153" i="8" s="1"/>
  <c r="F156" i="8"/>
  <c r="J153" i="8" s="1"/>
  <c r="K148" i="8"/>
  <c r="G146" i="8"/>
  <c r="K143" i="8" s="1"/>
  <c r="F146" i="8"/>
  <c r="J143" i="8" s="1"/>
  <c r="G141" i="8"/>
  <c r="K138" i="8" s="1"/>
  <c r="F141" i="8"/>
  <c r="J138" i="8" s="1"/>
  <c r="K133" i="8"/>
  <c r="J133" i="8"/>
  <c r="G92" i="8"/>
  <c r="K89" i="8" s="1"/>
  <c r="F92" i="8"/>
  <c r="J89" i="8" s="1"/>
  <c r="K26" i="8"/>
  <c r="J159" i="8" l="1"/>
  <c r="K159" i="8"/>
  <c r="J34" i="5"/>
  <c r="K18" i="9" l="1"/>
  <c r="K24" i="9"/>
  <c r="J24" i="9"/>
  <c r="K59" i="5"/>
  <c r="J59" i="5"/>
  <c r="K171" i="5"/>
  <c r="J171" i="5"/>
  <c r="K34" i="9" l="1"/>
  <c r="J34" i="9"/>
  <c r="K21" i="8" l="1"/>
  <c r="J21" i="8"/>
  <c r="K79" i="8"/>
  <c r="K106" i="8" s="1"/>
  <c r="J79" i="8"/>
  <c r="J106" i="8" s="1"/>
  <c r="J16" i="8"/>
  <c r="K16" i="8"/>
  <c r="J50" i="8" l="1"/>
  <c r="K50" i="8"/>
  <c r="K34" i="5"/>
  <c r="K142" i="5" l="1"/>
  <c r="K158" i="8" l="1"/>
  <c r="K160" i="8" s="1"/>
  <c r="J158" i="8"/>
  <c r="J160" i="8" s="1"/>
  <c r="J102" i="8" l="1"/>
  <c r="J166" i="5"/>
  <c r="K166" i="5"/>
  <c r="K161" i="5"/>
  <c r="J161" i="5"/>
  <c r="K64" i="5"/>
  <c r="J64" i="5"/>
  <c r="K102" i="8"/>
  <c r="K59" i="8" l="1"/>
  <c r="K69" i="8"/>
  <c r="J69" i="8"/>
  <c r="J105" i="8" l="1"/>
  <c r="K105" i="8"/>
  <c r="J163" i="8"/>
  <c r="K163" i="8"/>
  <c r="K40" i="5"/>
  <c r="J40" i="5"/>
  <c r="K11" i="8"/>
  <c r="K49" i="8" s="1"/>
  <c r="J11" i="8"/>
  <c r="J49" i="8" s="1"/>
  <c r="K107" i="8" l="1"/>
  <c r="J107" i="8"/>
  <c r="K51" i="8"/>
  <c r="J51" i="8"/>
  <c r="K162" i="8" l="1"/>
  <c r="K164" i="8" s="1"/>
  <c r="J162" i="8"/>
  <c r="J164" i="8" s="1"/>
  <c r="J185" i="5"/>
  <c r="K185" i="5"/>
  <c r="K13" i="5"/>
  <c r="J13" i="5"/>
  <c r="K50" i="5"/>
  <c r="J50" i="5"/>
  <c r="K103" i="5" l="1"/>
  <c r="K196" i="5" s="1"/>
  <c r="K197" i="5" s="1"/>
  <c r="J103" i="5"/>
  <c r="J196" i="5" s="1"/>
  <c r="J197" i="5" s="1"/>
</calcChain>
</file>

<file path=xl/sharedStrings.xml><?xml version="1.0" encoding="utf-8"?>
<sst xmlns="http://schemas.openxmlformats.org/spreadsheetml/2006/main" count="848" uniqueCount="409">
  <si>
    <t>Trajanje ukrepa</t>
  </si>
  <si>
    <t>Vsebina ukrepa</t>
  </si>
  <si>
    <t>Izveden</t>
  </si>
  <si>
    <t>v mio EUR</t>
  </si>
  <si>
    <t>Nosilec</t>
  </si>
  <si>
    <t>MOP/EKO Sklad</t>
  </si>
  <si>
    <t>MZI</t>
  </si>
  <si>
    <t>MF</t>
  </si>
  <si>
    <t>Predlog</t>
  </si>
  <si>
    <t>Trajen ukrep</t>
  </si>
  <si>
    <t xml:space="preserve">Pravilnik o prometni signalizaciji 
</t>
  </si>
  <si>
    <t>MGRT</t>
  </si>
  <si>
    <t>MJU</t>
  </si>
  <si>
    <t>Status</t>
  </si>
  <si>
    <t>Rok</t>
  </si>
  <si>
    <t>UKREPI NA PODROČJU VOZIL</t>
  </si>
  <si>
    <t>Predlog za spremembo Zakona o dohodnini</t>
  </si>
  <si>
    <t>trajen ukrep</t>
  </si>
  <si>
    <t xml:space="preserve">Definicija EV se ureja na ravni EU
</t>
  </si>
  <si>
    <t>ZAGOTOVLJANJE POLNILNE INFRASTRUKTURE</t>
  </si>
  <si>
    <t>lokalne skupnosti</t>
  </si>
  <si>
    <t>Št ukrepa</t>
  </si>
  <si>
    <t>SZP 1.</t>
  </si>
  <si>
    <t>SZP 2.</t>
  </si>
  <si>
    <t>CILJI</t>
  </si>
  <si>
    <t>E 1.</t>
  </si>
  <si>
    <t>Sofinanciranje nakupa vozil na električni pogon</t>
  </si>
  <si>
    <t>MZI/EKO Sklad</t>
  </si>
  <si>
    <t>V IZVAJANJU</t>
  </si>
  <si>
    <t xml:space="preserve"> </t>
  </si>
  <si>
    <t>Navedba finančnega vira</t>
  </si>
  <si>
    <t>delovanje sistema</t>
  </si>
  <si>
    <t>Sredstva so zagotovljena v poslovnem načrtu EKO Sklada za leto 2018</t>
  </si>
  <si>
    <t>E 2.</t>
  </si>
  <si>
    <t>E 3.</t>
  </si>
  <si>
    <t>Spodbujanje uporabe testni vozil na električni pogon</t>
  </si>
  <si>
    <t>Ukrep ne zahteva finančnih sredstev</t>
  </si>
  <si>
    <t>OPIS UKREPA</t>
  </si>
  <si>
    <t>št.vozil</t>
  </si>
  <si>
    <t>št. vozil</t>
  </si>
  <si>
    <t>E 4.</t>
  </si>
  <si>
    <t>E 5.</t>
  </si>
  <si>
    <t>E 6.</t>
  </si>
  <si>
    <t>Vključitev vozil na električni pogon v skupna javna naročila.</t>
  </si>
  <si>
    <t>Javni sektor mora pospešeno zamenjati vozila z motorji na notranje izgorevanje z vozili z manjšim ogljičnim odtisom. Učinki so v neposrednih rezultatih manjšega ogljičnega odtisa in zmanjšanih stroških v neposredni uporabi, predvsem pa so učinki na simbolni ravni prehoda na nizkoogljični promet. Slovenija mora v skladu z evropsko politiko na področju zmanjšanja ogljičnega odtisa zagotoviti, da bo v letu 2023 najmanj 30% vozil v lasti javnega sektorja na električni pogon</t>
  </si>
  <si>
    <t>Skupna javna naročila in posamezna javna naročila za nakup vozil v javnem sektorju. Trajen ukrep.</t>
  </si>
  <si>
    <t>delež vozil BEV</t>
  </si>
  <si>
    <t>MZI /sredstva KS</t>
  </si>
  <si>
    <t>Do 10% deleža BEV med vsemi registriranimi vozili</t>
  </si>
  <si>
    <t>Začetek izvedbe pilotnega projekta</t>
  </si>
  <si>
    <t>MZI /sredstva dogovora za razvoj regij</t>
  </si>
  <si>
    <t>5 (150 KWh)</t>
  </si>
  <si>
    <t>MOP</t>
  </si>
  <si>
    <t>UKREPI NA PODROČJU IZOBRAŽEVANJA, OZAVEŠČANJA IN ODPRAVE OVIR ZA SPODBUJANJE UPORABE VOZIL NA ELEKTRIČNI POGON</t>
  </si>
  <si>
    <t>Komunikacijska kampanja za spodbujanje alternativnih goriv</t>
  </si>
  <si>
    <t>Vzpostavitev evidence polnilnih postaj z vsemi podatki o njihovih tehničnih značilnostih ter delovanju in njihova javna dostopnost</t>
  </si>
  <si>
    <t>E 8.</t>
  </si>
  <si>
    <t>E 9.</t>
  </si>
  <si>
    <t>E 10.</t>
  </si>
  <si>
    <t>E 11.</t>
  </si>
  <si>
    <t>E 14.</t>
  </si>
  <si>
    <t>E 15.</t>
  </si>
  <si>
    <t>Ukrep ne zahteva sredstev</t>
  </si>
  <si>
    <t>PRIPOROČILA LOKALNIM SKUPNOSTIM</t>
  </si>
  <si>
    <t>Brezplačno parkiranje vozil na električni pogon v mestnih središčih</t>
  </si>
  <si>
    <t>Oprostitev plačila letne dajtve za uporabo vozil v cestnem prometu</t>
  </si>
  <si>
    <t>MIZŠ, Poklicni centri</t>
  </si>
  <si>
    <t>Nove tehnologije alternativnih goriv zahtevajo spremembe izobraževalnih programov in usposabljanja za poklice na vseh ravneh izobraževanja</t>
  </si>
  <si>
    <t>Razpis za sofinanciranje ukrepov P+R na podlagi Smernic za pripravo ukrepov P+R zahteva, da investitorji so za vsa parkirna mesta zagotovijo možnost povezave z električnimi vodi (ustrezno predpripravo) in za 10 odstotkov parkirnih mest možnost počasnega polnjenja.</t>
  </si>
  <si>
    <t xml:space="preserve">Ureditev pravnih podlag za poročanje o postavitvi polnilnih postaj v javni rabi in evidenca polnilnih postaj v zasebni rabi, ki so bile postavljene s sofinanciranjem iz javnih sredstev. Postavitev portala z vsemi podatki o polnilnih postajah z informacijami o trenutnem stanju zasedenosti na pametnih telefonih. </t>
  </si>
  <si>
    <t>50 vozil</t>
  </si>
  <si>
    <t>100 vozil</t>
  </si>
  <si>
    <t>80 vozil</t>
  </si>
  <si>
    <t>60 vozil</t>
  </si>
  <si>
    <t>Sredstva zagotavljajo neposredni proračunski uporabniki iz sredstev za delovanje organa</t>
  </si>
  <si>
    <t>Kreditiranje okoljskih naložb, ki predvidevajo tudi kreditiranje nakupa vozil na električni pogon</t>
  </si>
  <si>
    <t>Sredstva za kreditiranje okoljskih naložb  so zagotovljena v Poslovno finančnem načrtu Eko sklada</t>
  </si>
  <si>
    <t xml:space="preserve">Ocena števila vozil in povprečne višine kredita je narejena na podlagi izkušenj EKO sklada v letih 2016 in 2017. </t>
  </si>
  <si>
    <t>Zagotavljanje parkirnih mesta za EV vozila ali za priključne hibride na parkiriščih P+R - Parkiraj in presedi</t>
  </si>
  <si>
    <t>V izvajanju</t>
  </si>
  <si>
    <t xml:space="preserve">Predlog za novo dopolnilno tablo k prometnemu znaku, ki bo omogočila izjemo za vozila na električni pogon za vožnjo po rumenih pasovih, parkiranje električnih vozil, vožnjo v določene dele naselja. Ukrep se izvaja do 20.000 registriranih EV v RS.
</t>
  </si>
  <si>
    <t>Priprava razpisa za podelitev koncesij za izvajanja GJS javnega potniškega prometa</t>
  </si>
  <si>
    <t>MzI/Upravljavec JPP</t>
  </si>
  <si>
    <t>Razpisni pogoji za podelitev koncesij na državni in lokalni ravni v katerih se upošteva določen odstotek vozil na alternativna goriva.</t>
  </si>
  <si>
    <t>Ocena upošteva izpad prihodkov za plačilo parkirnega mesta.</t>
  </si>
  <si>
    <t>Ukrep do 20.000 registriranih BEV.</t>
  </si>
  <si>
    <t>2000 parkirnih mest</t>
  </si>
  <si>
    <t>2400 parkirnih mest</t>
  </si>
  <si>
    <t>2800 parkirnih mest</t>
  </si>
  <si>
    <t>E 12.</t>
  </si>
  <si>
    <t>E 13.</t>
  </si>
  <si>
    <t>E 16.</t>
  </si>
  <si>
    <t>E 17.</t>
  </si>
  <si>
    <t>E 18.</t>
  </si>
  <si>
    <t>E 20.</t>
  </si>
  <si>
    <t>E 21.</t>
  </si>
  <si>
    <t>E 22.</t>
  </si>
  <si>
    <t>E 23.</t>
  </si>
  <si>
    <t>E 24.</t>
  </si>
  <si>
    <t>E 25.</t>
  </si>
  <si>
    <t>E 26.</t>
  </si>
  <si>
    <t>E 27.</t>
  </si>
  <si>
    <t>E 31.</t>
  </si>
  <si>
    <t>postopna izvedba</t>
  </si>
  <si>
    <t>vsako leto</t>
  </si>
  <si>
    <t>Do 2023</t>
  </si>
  <si>
    <t>SKUPAJ</t>
  </si>
  <si>
    <t xml:space="preserve">Izpad prihodkov zaradi ukrepov </t>
  </si>
  <si>
    <t>Zagotovljena sredstva v Proračunu RS, v namesnkih skladih ali poslovnih načrtih</t>
  </si>
  <si>
    <t>SKUPAJ VSE EL. E.</t>
  </si>
  <si>
    <t>Ocena vseh finančnih posledic izvedenih ukrepov v posameznih letih</t>
  </si>
  <si>
    <t>Delujoč Portal polnilnih postaj</t>
  </si>
  <si>
    <t>Določeni pogoji za gradnjo</t>
  </si>
  <si>
    <t>Spremenjen pravilnik</t>
  </si>
  <si>
    <t>Sprememba Zakona</t>
  </si>
  <si>
    <t>UNP 1.</t>
  </si>
  <si>
    <t>UNP 2.</t>
  </si>
  <si>
    <t>Vključitev vozil na UNP v skupna javna naročila.</t>
  </si>
  <si>
    <t>40 vozil</t>
  </si>
  <si>
    <t>30 vozil</t>
  </si>
  <si>
    <t>20 vozil</t>
  </si>
  <si>
    <t>UNP 3.</t>
  </si>
  <si>
    <t>Usklajevanje trošarinske politike za UNP</t>
  </si>
  <si>
    <t>Polnilna infrastruktura</t>
  </si>
  <si>
    <t>UNP 4.</t>
  </si>
  <si>
    <t>Plačilo letne dajtve za uporabo vozil v cestnem prometu na podlagi okoljskih kazalcev</t>
  </si>
  <si>
    <t>Skupni prihodki namenskega sklada se ne spreminjajo</t>
  </si>
  <si>
    <t>UNP 5.</t>
  </si>
  <si>
    <t>Komunikacijska kampanja je namenjena spreminjanju stališč do okojskih obremenitev, ki jih povzroča promet, ukrepom trajnostne mobilnosti in uporabi alternativnih goriv.</t>
  </si>
  <si>
    <t>STISNJEN ZEMELJSKI PLIN - SZP (CNG)</t>
  </si>
  <si>
    <t>Do uskladitve cen vozil na UZP s cenami primerljvih vozil z motorji na notranje izgorevanje</t>
  </si>
  <si>
    <t>število vozil</t>
  </si>
  <si>
    <t xml:space="preserve">delež vozil </t>
  </si>
  <si>
    <t>Ni predvidenega ukrepa</t>
  </si>
  <si>
    <t>UKREPI NA PODROČJU IZOBRAŽEVANJA, OZAVEŠČANJA IN ODPRAVE OVIR ZA SPODBUJANJE UPORABE VOZIL NA PLIN</t>
  </si>
  <si>
    <t>UNP 6.</t>
  </si>
  <si>
    <t>SZP 3.</t>
  </si>
  <si>
    <t>Vključitev vozil na SZP v skupna javna naročila.</t>
  </si>
  <si>
    <t>Sofinanciranje nakupa vozil na SZP</t>
  </si>
  <si>
    <t>Trajen ukrep za mesta z odloki za izboljšanje kakovosti zraka</t>
  </si>
  <si>
    <t>15 vozil</t>
  </si>
  <si>
    <t>16 vozil</t>
  </si>
  <si>
    <t>Finančne posledice so odvisne od višine trošarine, ki bi se znižala za spodbudo uporabe vozil na SZP.</t>
  </si>
  <si>
    <t>SZP 5.</t>
  </si>
  <si>
    <t>sofinanciranje polnilnic na SZP</t>
  </si>
  <si>
    <t>MZI/vlagatelji</t>
  </si>
  <si>
    <t>Začasen ukrep do zagotovitve omrežja</t>
  </si>
  <si>
    <t>število polnilnic</t>
  </si>
  <si>
    <t xml:space="preserve">Slovenija mora do 2020 zagotoviti polnilno infrastrukturo na ravni statističnih regij. Obstaja interes posameznih podjetij in lokalnih skupnosti za postavitev polnilnih postaj v primeru, če se zagotovi odjem za javni prevoz potnikov. </t>
  </si>
  <si>
    <t>Okoljske obremenitve, ki jih ima posamezno vozilo so eno od možnih meril za spremembo sistema letne dajatve in vir za ukrepe.</t>
  </si>
  <si>
    <t>Št. Vozil</t>
  </si>
  <si>
    <t>odprava prepovedi parkiranja v garažah</t>
  </si>
  <si>
    <t>Ukrep nima finančnih posledic</t>
  </si>
  <si>
    <t>SZP 6.</t>
  </si>
  <si>
    <t>5 vozil</t>
  </si>
  <si>
    <t>Sredstva za 2018 so zagotovljena v Podnebnem skladu in je razpis že predviden v PFN Eko sklada. Višina sredstev v letih 2019 in 2020 je odvisna od prilivov iz prodaje emisijskih kuponov.</t>
  </si>
  <si>
    <t>UKREPI NA PODROČJU NORMATIVNIH UREDITEV</t>
  </si>
  <si>
    <t>Sofinanciranje nakupa in postavitve polnilnih postaj</t>
  </si>
  <si>
    <t>V dogovoru za razvoj regij je predvideno sofinanciranje postavitve najmanj treh polnilnih postaj visoke moči (več kot 150 KWh in ene polnilne postaje nad 250 KWh) ter dinamičnega indukcijskega polnjenja BEV vozil, ki omogoča večjo avtonomijo in manjše kapacitete baterij v vozilih. Skupna vrednost zagotovljenih sredstev je 5,0 mio evrov sredstev KS in 1,0 mio udeležbe RS.</t>
  </si>
  <si>
    <t>Postavitev pametnih polnilnih postaj v naseljih</t>
  </si>
  <si>
    <t xml:space="preserve">Slovenija mora zagotavljati toliko običajnih polnilnih postaj, da bo njihovo razmerje najmanj 10 BEV na eno polnilno postajo. </t>
  </si>
  <si>
    <t>poslovni subjekti</t>
  </si>
  <si>
    <t>letno</t>
  </si>
  <si>
    <t>E 28.</t>
  </si>
  <si>
    <t>PRIPOROČILA ZAPOSLOVALCEM</t>
  </si>
  <si>
    <t>MZI pripravi pobudo, da pravne osebe na svojih parkirnih prostorih zagotovijo polnilne postaje do 22 kW moči za počasno polnjenje med delovnim časom.</t>
  </si>
  <si>
    <t>Priporočilo pravnim osebam, da spodbujajo uporabo električnih vozil s postavitvijo počasnih polnilnih postaj, ki jih lahko uporabljajo zaposleni v delovnem času.  Ocena upošteva polnilne postaje v vrednosti 1.500,00 evrov.</t>
  </si>
  <si>
    <t>20 parkirnih mest</t>
  </si>
  <si>
    <t>40 parkirnih mest</t>
  </si>
  <si>
    <t>60 parkirnih mest</t>
  </si>
  <si>
    <t>E 29.</t>
  </si>
  <si>
    <t>E 30.</t>
  </si>
  <si>
    <t>Predlog, da lokalne skupnosti podelijo koncesijo za postavitev in upravljanje polnilnic na javnih parkirnih prostorih.</t>
  </si>
  <si>
    <t>Spodbujanje dostave</t>
  </si>
  <si>
    <t>Priporočilo lokalnim skupnostim, da s spodbujanjem dostave z vozili na alternativna goriva zmanjšajo obremenitve okolja. Spodbude so lahko v obliki pozitivne diskriminacije (več časa za dostavo) ali s prepovedjo vozil na dizelski pogon.</t>
  </si>
  <si>
    <t>UNP 7.</t>
  </si>
  <si>
    <t>letna poraba v t</t>
  </si>
  <si>
    <t>Do 50.000 vozil na UNP</t>
  </si>
  <si>
    <t>št vozil</t>
  </si>
  <si>
    <t>Znižana letna dajatev za vozila na UNP. Letna dajatev se zniža za 20 evrov na vozilo.</t>
  </si>
  <si>
    <t>SZP 7.</t>
  </si>
  <si>
    <t>Sredstva za leto 2019 so zagotovljena na proračunski postavki MZI</t>
  </si>
  <si>
    <t>UTEKOČINJEN ZEMELJSKI PLIN - UZP (LNG)</t>
  </si>
  <si>
    <t>Sofinanciranje nakupa vozil na UZP</t>
  </si>
  <si>
    <t>Sredstva za 2019 so zagotovljena  na proračunski postavki MZI</t>
  </si>
  <si>
    <t>UZP 1.</t>
  </si>
  <si>
    <t>EU projekt SiNLG</t>
  </si>
  <si>
    <t>Sredstva za so zagotovljena s sofinanciranje v okviru IPE. Vrednost projekta na Hrvaškem in v Sloveniji je v skupni vrednosti 2.475.400,00 €</t>
  </si>
  <si>
    <t>UZP 2.</t>
  </si>
  <si>
    <t>UZP 3.</t>
  </si>
  <si>
    <t>UZP 4.</t>
  </si>
  <si>
    <t>EU projekt CHAMeleon</t>
  </si>
  <si>
    <t>Butan plin</t>
  </si>
  <si>
    <t>ENOS</t>
  </si>
  <si>
    <t>Usklajevanje trošarinske politike za UZP</t>
  </si>
  <si>
    <t>Ukrep do 4.000 vozil na UZP</t>
  </si>
  <si>
    <t>SKUPAJ E</t>
  </si>
  <si>
    <t>SKUPAJ VSE UNP</t>
  </si>
  <si>
    <t>E 32.</t>
  </si>
  <si>
    <t>Obveščanje vseh uporabnikov vozil o stroških za energijo glede na gorivo</t>
  </si>
  <si>
    <t xml:space="preserve">Do 20.000 registriranih vozil na električni pogon. </t>
  </si>
  <si>
    <t>Sredstva za leti 2018 in 2019 so zagotovljena na proračunski postavki MZI 765210. JN za leto 2018 je bilo objavljeno, izbran je bil izvajalec in podpisana pogodba, izvedba je v teku.</t>
  </si>
  <si>
    <t>MZI, bencinski servisi</t>
  </si>
  <si>
    <t>Usklajevanje trošarinske politike za SZP</t>
  </si>
  <si>
    <t>UZP 5.</t>
  </si>
  <si>
    <t xml:space="preserve">Znižanje okoljske dajtve za onesnaževanje zraka z emisijo CO2 </t>
  </si>
  <si>
    <t>SKUPAJ UZP</t>
  </si>
  <si>
    <t>SKUPAJ VSI PLINI</t>
  </si>
  <si>
    <t>SKUPAJ VSE SZP</t>
  </si>
  <si>
    <t>SKUPAJ SZP</t>
  </si>
  <si>
    <t>SKUPAJ UNP</t>
  </si>
  <si>
    <t>Zamenjava voznega parka, ki ga uporablja ustanova ali podjetje</t>
  </si>
  <si>
    <t>20% vozil na alternativna goriva</t>
  </si>
  <si>
    <t>Slovenija se je odločila, da vključi tehnologijo gorivnih celic in vodik v strategijo za alternativna goriva in v akcijski program do leta 2020. Predvidena je podpora pilotnemu projektu, ki bo zagotovil:</t>
  </si>
  <si>
    <t xml:space="preserve">področju javnih služb (npr. javni potniški promet, komunalne službe, pošta) uporabljali vozila na vodikove gorivne celice. </t>
  </si>
  <si>
    <t xml:space="preserve">Izvedbo celovitega projekta v katerem bo zagotovljen ustrezen poslovni model od proizvodnje oziroma nakupa vodika, postavitev ustrezne polnilne infrastrukture do zagotavljanja uporabnikov, ki bodo na </t>
  </si>
  <si>
    <t>Poslovni model mora upoštevati, da se pridobiva vodik iz viškov električne energije.</t>
  </si>
  <si>
    <t>Sofinanciranje nakupa vozil na gorivne celice</t>
  </si>
  <si>
    <t>V1.</t>
  </si>
  <si>
    <t>V 2.</t>
  </si>
  <si>
    <t>V 3.</t>
  </si>
  <si>
    <t>Sofinanciranje nakupa in postavitve polnilne postaje za vodik</t>
  </si>
  <si>
    <t>V4.</t>
  </si>
  <si>
    <t>Pilotni projekt</t>
  </si>
  <si>
    <t>poslovni subjekti občine</t>
  </si>
  <si>
    <t>MZI bo sofinanciralo vzpostavitev pilotnega projekta, ki bo imel celovito rešitev in vzdržen poslovni model.</t>
  </si>
  <si>
    <t>Predvidena je vzpostavitev celovite sistema od proizvodnje vodika iz viškov električne energije do uporabe.</t>
  </si>
  <si>
    <t>SKUPAJ V</t>
  </si>
  <si>
    <t>AKCIJSKI PROGRAM ZA SPODBUJANJE UPORABE ELEKTRIČNE ENERGIJE V PROMETU 2018-2020</t>
  </si>
  <si>
    <t>AKCIJSKI PROGRAM ZA SPODBUJANJE UPORABE PLINA V PROMETU 2018-2020</t>
  </si>
  <si>
    <t>AKCIJSKI PROGRAM ZA SPODBUJANJE UPORABE TEHNOLOGIJE GORIVNIH CELIC IN VODIKA V PROMETU 2018-2020</t>
  </si>
  <si>
    <t>FINANČNE POSLEDICE</t>
  </si>
  <si>
    <t>MzI</t>
  </si>
  <si>
    <t xml:space="preserve">MZI </t>
  </si>
  <si>
    <t>Ureditev parkirne politike vozil na električni pogon - Sprememba Pravilnika o prometni signalizaciji</t>
  </si>
  <si>
    <t>UKREPI NA PODROČJU ZAGOTAVLJANJA POLNILNE INFRASTRUKTURE</t>
  </si>
  <si>
    <t>BEV</t>
  </si>
  <si>
    <t>PHEV</t>
  </si>
  <si>
    <t>Sofinanciranje nakupa BEV avtobusov kategorije M2 in M3</t>
  </si>
  <si>
    <t>Izvajanje evropske kohezijske politike</t>
  </si>
  <si>
    <t>Postavitev polnilne infrastrukture na območju podjetij, zavodov, ustanov</t>
  </si>
  <si>
    <t>Vožnja električnih lahkih gospodarskih vozil kategorij M1 in N1 z izpitom kategorije B, s skupno največjo dovoljeno maso 4,5 t</t>
  </si>
  <si>
    <t>Pregled programov in učnih vsebin za poklice, ki jih zahtevajo nove tehnologije</t>
  </si>
  <si>
    <t>Trajen ukrep.</t>
  </si>
  <si>
    <t xml:space="preserve"> Izvedba pilotnega projekta</t>
  </si>
  <si>
    <t>Kreditiranje okoljskih naložb</t>
  </si>
  <si>
    <t xml:space="preserve">Do uskladitve cen vozil na gorivne celice s cenami primerljvih vozili </t>
  </si>
  <si>
    <t xml:space="preserve">Do uskladitve cen vozil na  gorivne celice s cenami primerljvih vozil </t>
  </si>
  <si>
    <t>Zagotovljena sredstva v Proračunu RS, v namenskih skladih ali poslovnih načrtih</t>
  </si>
  <si>
    <t>Uvedba posebnih cestnih razredov za vozila na SZP</t>
  </si>
  <si>
    <t>km</t>
  </si>
  <si>
    <t>SZP 8.</t>
  </si>
  <si>
    <t>SZP 9.</t>
  </si>
  <si>
    <t>UNP 8.</t>
  </si>
  <si>
    <t>Sofinanciranjepredelave vozil na UZP</t>
  </si>
  <si>
    <t>SZP 4.</t>
  </si>
  <si>
    <t>Ukrep do 4.000 vozil na SZP</t>
  </si>
  <si>
    <t>Vključitev vozil na UZP v skupna javna naročila.</t>
  </si>
  <si>
    <t>Javni sektor mora pospešeno zamenjati vozila z motorji na notranje izgorevanje z vozili z manjšim ogljičnim odtisom.  Slovenija mora v skladu z evropsko politiko na področju zmanjšanja ogljičnega odtisa zagotoviti, da bo v letu 2023 najmanj 30% vozil v lasti javnega sektorja na alternativna goriva. Ukrep je primeren za kraje, kjer bo zagotovljena polnilna infrastruktura za UZP in za izvajanje dejavnosti rabijo vozila na dvogorivne sisteme.</t>
  </si>
  <si>
    <t>UZP 6.</t>
  </si>
  <si>
    <t>UZP 7.</t>
  </si>
  <si>
    <t>UZP 8.</t>
  </si>
  <si>
    <t xml:space="preserve">Začasen ukrep do zagotovitve števila vozil s katerimi zagotavljamo doseganje okoljskih ciljev. </t>
  </si>
  <si>
    <t>UZP 9.</t>
  </si>
  <si>
    <t>MZI in lokalne skupnosti</t>
  </si>
  <si>
    <t>v EUR</t>
  </si>
  <si>
    <t>v  EUR</t>
  </si>
  <si>
    <t>E 19.</t>
  </si>
  <si>
    <t xml:space="preserve">Subvencije za nakup vozil na električni pogon temeljijo na prihrankih energije, ki jih zagotavljajo vozila na električni pogon. Premoščajo razliko med ceno vozil na električni pogon in ceno primerljivih vozil z motorji na notranje izgorevanje in se bodo usklajevale z gibanjem cene vozil. </t>
  </si>
  <si>
    <t xml:space="preserve">Testna vozila so pomembna spodbuda uporabe vozil na električni pogon in v procesu odločanja o nakupu vozila. Sprememba bo omogočila, da bo kupec vozila, ki bo določen čas, a ne več kot 6 mesecev v uporabi kot testno vozilo, lahko uveljavljal subvencijo za nakup kot pri nakupu za novo vozilo. </t>
  </si>
  <si>
    <t>št. polnilnic</t>
  </si>
  <si>
    <t>Št. polnilnic</t>
  </si>
  <si>
    <t xml:space="preserve">Sredstva za subvencioniranje postavitve polnilnic so zagotovljena v prednostni osi 4.4, lastne deleže bodo zagotovili upravičenci za izvedbo projektov. </t>
  </si>
  <si>
    <t>Sredstva so zagotovljena v Operativnem programu evropske kohezijske politike v Republiki Sloveniji od 2014 do 2020. Ocena upošteva le stroške za ureditev elektro instalacij in polnilnih postaj za počasno polnjenje.</t>
  </si>
  <si>
    <t>Sredstva za dopolnitev JN, s katerim bi se zagotovila možnost uvedbe posebnih registrskih tablic za vozila na električni pogon, so zagotovljena na proračunski postavki MZI. Niso upoštevani stroški zamenjave registrskih tablic za vozila, ki so že registrirana. Ocena teh stroškov je 200.000 evrov.  Ukrep se izvede, če se vozilom na električni pogon zagotovijo ugodnosti, ki jih je treba nadzirati.</t>
  </si>
  <si>
    <t xml:space="preserve">Za izvedbo ukrepa  je treba dopolniti Pravilnik o registraciji motornih in priklopnih vozil z vsebino o novih registrskih tablicah (oblika/barve, obveznost zamenjave tablic, veljavnost za vsa vozila na električni pogon), pogodbo z izvajalcem za izdelavo registrskih tablic in izvesti nadgradnjo matičnega registra listin in vozil
</t>
  </si>
  <si>
    <t>Prednost vozil na električni pogon ni samo v bistveno nižjih obremenitvah okolja v prometu, temveč že predstavljajo alternativo vozilom z motorji na notranje izgorevanje. Komunikacijska kampanja je namenjena spreminjanju stališč do okojskih obremenitev, ki jih povzroča promet, ukrepom trajnostne mobilnosti in uporabi alternativnih goriv.</t>
  </si>
  <si>
    <t xml:space="preserve">Sprememba Zakona o voznikih, ki bi omogočala vožnjo električnih, lahkih gospodarskih vozil kategorij M1 in N1 z izpitom kategorije B, s skupno največjo dovoljeno maso 4,5 t je primerljiva z rešitvijo za vozila kategorije L7e. Ukrep bi omogočal večji obseg uporabe lahkih gospodarskih vozil na električni pogon za prevoz potnikov in tovora. Predlog je pripravljen zaradi povečane mase baterijskega sklopa lahkega gospodarskega vozila. S tovrstno izjemo, ki je primerljiva z rešitvijo v Nemčiji in Avstriji, bi bilo mogoče izvajati omejevanje razvoza dobrin in prevoza potnikov v mestih z vozili z motorji na notranje zgorevanje. </t>
  </si>
  <si>
    <t>Sredstva so zagotovljena v proračunu MZI.</t>
  </si>
  <si>
    <t>Ukrep ne zahteva sredstev.</t>
  </si>
  <si>
    <t>Evropska Direktiva 94/2014 o alternativnih gorivih zahteva, da države na ustrezen način obveščajo uporabnike o stroških za gorivo za 100 prevoženih km, kjer so prikazani stroški za vse vrste goriva (bencin, dizel, UNP, SZP, UZP, električno energijo, vodik). Obvestila se posodobijo enkrat letno.</t>
  </si>
  <si>
    <t xml:space="preserve">Finančne posledice  bodo odvisne od vsebine  v razpisu za podelitev koncesij. Ocena upošteva, da bo strošek na km za 15 vozil, ki letno prevozijo 60.000 km, za 0,5 evra višji kot pri vozilih na dizelski pogon. Ocena upošteva bistveno višjo ceno vozil na električni pogon in višjo amortizacijo. </t>
  </si>
  <si>
    <t>Ocena upošteva stroške za postavitev počasnih polnilnih postaj in stroške polnjenja v višini 1 evro na dan.</t>
  </si>
  <si>
    <t>Postavitev polnilne infrastrukture na javnih parkirnih prostorih za večstanovanjske zgradbe</t>
  </si>
  <si>
    <t>Zagotavljanje parkirnih mesta za EV vozila ali za priključne hibride v bližini parkirnih mest za invalide na lokacijah, kjer je veliko povpraševanje po parkirnih mestih (npr. nakupovalna središča, javne ustanove), vključno z zaposlenimi v teh ustanovah. Predlog je, da so do 20.000 registriranih BEV ta parkirna mesta brezplačna.</t>
  </si>
  <si>
    <t xml:space="preserve">Za večstanovanjske zgradbe, ki nimajo svojih funkcionalnih površin, na katerih bi lahko postavili polnilnice, bo nujna postavitev polnilnic na javnih parkirnih prostorih. </t>
  </si>
  <si>
    <t>Ocena upošteva stroške za zamenjavo  vozil, ki jih uporabljajo za izvajanje dejavnosti in službenih vozil v podjetjih, ki se bodo odločila, da so okoljsko osveščena in želijo prispevati k hitrejšemu prehodu na alternativna goriva.</t>
  </si>
  <si>
    <t>MZI bo s povabilom, da podjetje ali ustanova pripravi mobilnostni načrt in podrobno oceni, koliko potovanj se lahko izvede z aktvno mobilnostjo (Peš s kolesom) in koliko z vozili na alternativna goriva, povabil družbeno osveščena podjetja  k hitrejši zamenjavi voznega parka vozil, s katerimi izvajajo dejavnost (mala dostavna vozila, kombiji, servisna vozila), in službenih vozil</t>
  </si>
  <si>
    <t>UTEKOČENJEN NAFTNI PLIN (UNP)</t>
  </si>
  <si>
    <t>Sofinanciranje predelave vozil na UNP</t>
  </si>
  <si>
    <t>ZAGOTAVLJANJE POLNILNE INFRASTRUKTURE</t>
  </si>
  <si>
    <t>okoljska dajatev se plačuje v skladu z Uredbo o okoljski dajatvi za onesnaževanje zraka z emisijo CO2 (Ur. List 47/13).</t>
  </si>
  <si>
    <t xml:space="preserve">Finančne posledice so ocenjene glede na porabo v t in na predvideno znižanje okoljske dajatve. </t>
  </si>
  <si>
    <t>Plačilo letne dajatve za uporabo vozil v cestnem prometu na podlagi okoljskih kazalcev</t>
  </si>
  <si>
    <t>Sredstva za leti 2018 in 2019 so zagotovljena na proračunski postavki MZI in so prikazana pri ukrepu E 23.</t>
  </si>
  <si>
    <t xml:space="preserve">Znižanje okoljske dajatve za onesnaževanje zraka z emisijo CO2 </t>
  </si>
  <si>
    <t xml:space="preserve">Vozila na SZP imajo v prometu nižji ogljični odtis in zagotavljajo prihranek energije. Subvencije za nakup vozil na električni pogon temeljijo na prihranskih energije, ki jih zagotavljajo vozila na električni pogon. Premoščajo razliko med ceno vozil na električni pogon in ceno primerljivih vozil z motorji na notranje izgorevanje in se bodo usklajevale z gibanjem cene vozil. </t>
  </si>
  <si>
    <t>Finančne posledice so ocenjene glede na število vozil in znižanje okoljske dajatve. Dejanska poraba bo odvisna od razmerja cen v državah.</t>
  </si>
  <si>
    <t xml:space="preserve">Prihodki namenskega sklada, s katerim se zagotavlja vzdrževanje in obnovo cestne in železniške infrastrukture, se ne spreminjajo. </t>
  </si>
  <si>
    <t xml:space="preserve">Znižanje cestnine za vozila na stisnjen zemeljski plin za 10 odstotkov za skupino vozil R3, ki uporabljajo stisnjen zemeljski plin v dvogorivnih sistemih. </t>
  </si>
  <si>
    <t xml:space="preserve">Pobuda upravljavcem garaž, da za vozila na SZP prekličejo prepoved parkiranja v garažnih hišah. Ukrep je upravičen za vozila na UNP v garažah, ki nimajo prezračevanja (SZP je lažji od zraka). </t>
  </si>
  <si>
    <t>Skupni prihodki pobranih cestnin se ne spreminjajo.</t>
  </si>
  <si>
    <t>Razpisni pogoji za podelitev koncesij na državni in lokalni ravni, v katerih se upošteva določen odstotek vozil na alternativna goriva.</t>
  </si>
  <si>
    <t>Št. vozil</t>
  </si>
  <si>
    <t xml:space="preserve">Vozila na UZP imajo v prometu nižji ogljični odtis in zagotavljajo prihranek energije. Utekočinjen zemeljski plin je trenutno najbolj ustrezno alternativno gorivo za težka tovorna vozila. Subvencije za nakup vozil na UZP temeljijo na prihrankih energije in znižanju ogljičnega odtisa ter onesnaževal, predvsem prašnih delcev. Premoščajo razliko v ceni vozila na dvogorivne sisteme z vozilom na dizelski pogon. </t>
  </si>
  <si>
    <t>Vozila na UZP imajo v prometu nižji ogljični odtis in zagotavljajo prihranek energije. Subvencije za predelavo vozil na dizelski pogon v dvogorivne sisteme temeljijo na izračunih znižanih izpustov CO2 in prašnih delcev. Subvencije se bodo usklajevale s stroški predelav in z ekonomskimi učinki sprememb.</t>
  </si>
  <si>
    <t>Podjetje Butan Plin je partner v projektu SI NLG, v katerem bosta v Sloveniji zagotovljeni 2 polnilnici na UZP</t>
  </si>
  <si>
    <t>Podjetje ENOS je partner v projektu CHAMeleon, v katerem je v Sloveniji zagotovljena 1 polnilnica na UZP, ki je začela delovati 2017.</t>
  </si>
  <si>
    <t>Sredstva za so zagotovljena s sofinanciranje v okviru IPE. Vrednost projekta v Španiji in v Sloveniji je skupaj 2.729.150,00 €</t>
  </si>
  <si>
    <t>Finančne posledice so ocenjene glede na število vozil in znižanje okoljske dajatve. Dejanska poraba bo odvisna od razmerja cen UZP v državah.</t>
  </si>
  <si>
    <t>Okoljske obremenitve, ki jih ima posamezno vozilo, so eno od možnih meril za spremembo sistema letne dajatve in vir za ukrepe.</t>
  </si>
  <si>
    <t>Uvedba posebnih cestninskih razredov za vozila na UZP</t>
  </si>
  <si>
    <t xml:space="preserve">Znižanje cestnine za vozila na utekočinjen zemeljski plin za 20 odstotkov za skupino vozil R4, ki uporabljajo stisnjen zemeljski plin v dvogorivnih sistemih. </t>
  </si>
  <si>
    <t>Postavitev polnilnic za  H2 je tesno povezana z izvedbo celovitega projekta, ki bo predvidel tudi uporabo.</t>
  </si>
  <si>
    <t>Sredstva za subvencioniranje postavitve polnilnic so zagotovljena na proračunski postavki MZI</t>
  </si>
  <si>
    <t>STISNJEN ZEMELJSKI PLIN (SZP)</t>
  </si>
  <si>
    <t xml:space="preserve">Ocena upošteva, da bo strošek na km za vozila, ki letno prevozijo 60.000 km, za 0,2 evra višji kot pri vozilih na dizelski pogon. </t>
  </si>
  <si>
    <t xml:space="preserve">Sredstva so zagotovljena v podnebnem skladu za mesta, ki imajo težave s kakovostjo zraka in spreminjajo strukturo vozil za javni potniški promet. </t>
  </si>
  <si>
    <t>Začasen ukrep do zagotovitve števila vozil.</t>
  </si>
  <si>
    <t xml:space="preserve"> Slovenija mora v skladu z evropsko politiko na področju zmanjšanja ogljičnega odtisa zagotoviti, da bo v letu 2023 najmanj 30% vozil v lasti javnega sektorja na električni pogon</t>
  </si>
  <si>
    <t>BEV M1</t>
  </si>
  <si>
    <t>BEV N1</t>
  </si>
  <si>
    <t>Do uskladitve cen vozil</t>
  </si>
  <si>
    <t xml:space="preserve">Z informatizacijo postopkov za oddajo dokazil o upravičenosti do subvencije in poenostavitvijo postopkov bi lahko skrajšali postopke in omogočili, da v imenu kupca vse postopke uredijo prodajna mesta. </t>
  </si>
  <si>
    <t xml:space="preserve">Ocena prikazuje zmanjšane prihodke namenskega sklada za financiranje cestne in železniške infrastrukture in ne zahteva dodatnih sredstev. Pri izračunu izpada prihodkov je upoštevana letna dajtev za vozilo do 1900 ccm. </t>
  </si>
  <si>
    <t xml:space="preserve">V začetnem odobju uvajanja vozil na električni pogon so pomemben spodbujevalni dejavnik pozitivne spodbude. </t>
  </si>
  <si>
    <t>Sredstva zagotavljajo neposredni proračunski uporabniki iz sredstev za nakup vozil.</t>
  </si>
  <si>
    <t>Do uskladitve cen vozil na električni pogon s cenami primerljvih vozil z motorji na notranje izgorevanje. Za PHEV se uvede omejitev za vozila z maloprodajno ceno do 40.000 evrov.</t>
  </si>
  <si>
    <t>Sredstva za 2018 so zagotovljena na podlagi EZ-1 (URE) in so predvidena v Poslovnem načrtu EKO Sklada za 2018. Za leti 2019 in 2020 je iz istega vira upoštevan povečan obseg sredstev. V letu 2019 je predvidenih  950 električnih vozil M1 in 400 vozil N1 in PHEV. V letu 2020 bodo na trg prišla nova BEV in se bo subvencija prilagodila glede na ponudbo vozil na trgu in njihovo ceno, predvideno je sofinanciranje 1200 EV.</t>
  </si>
  <si>
    <t>Za subvencije so predvidena sredstva zbrana na podlagi EZ-1.  V letu 2019 je predvidena ocena stanja in priprava predloga za spremenjeno subvencioniranje ali dodoločitev dodatnega vira.</t>
  </si>
  <si>
    <t>Sredstva za kreditiranje okoljskih naložb  so zagotovljena v Poslovno finančnem načrtu Eko sklada. Kredit je namenjen za vozila do maloprodajne cene 40.000 evrov.</t>
  </si>
  <si>
    <t xml:space="preserve">V Pravilniku o prometni signalizaciji in prometni opremi na cestah se dodajo oznaka 2438-8 med oznake 2441 za označevanje parkirnih mest rezerviranih za določena vozila. </t>
  </si>
  <si>
    <t>Veliko pomanjkanje vozil na električni pogon v najbolj prodajanih avtomobilskih razredih zahteva dodatne ukrepe za spodbujanje uporabe vozil na UNP. Z vidika doseganja okoljskih ciljev se s 7 vozili na UNP doseže enak učinek kot z 1 BEV. Skupna subvencija za 7 vozil na UNP bi bila največ polovice subvencije za BEV. Ukrep se izvede z zagotovitvijo sredstev iz Proračuna RS ali novega namenskega vira.</t>
  </si>
  <si>
    <t>letna poraba goriva v t</t>
  </si>
  <si>
    <t>Slovenija ima s 115 polnilnimi mesti za UNP dovolj polnilnic za predvideno povečanje števila vozil. Mreža se bo širila v skladu s poslovnim interesom ponudnikov.</t>
  </si>
  <si>
    <t>Ni predvidenega sofinanciranja</t>
  </si>
  <si>
    <t xml:space="preserve">Zagotavljanje parkirnega mesta za EV vozila ali za priključne hibride, </t>
  </si>
  <si>
    <t xml:space="preserve">Sofinanciranje postavitve pametnih polnilnih postaj visoke moči in dinamičnega indukcijskega polnjenja BEV vozil in avtobusov. </t>
  </si>
  <si>
    <t>Sredstva so zagotovljene v Dogovoru za razvoj regij na prednostni osi 4.4. Predvidena je izvedba pilotnih projektov V Kopru in Ljubljani, v okviru katerih se bo postavila polnilna infrastruktura za električne avtobuse in vzpostavila linija. Sofinanciranje nakupov vozil bo v okviru razpisov EKO sklada in z drugimi EU projekti. Izvedba projekta WINCI z dinamičnim indukcijskim polnjenjem</t>
  </si>
  <si>
    <t>SKUPAJ VSI</t>
  </si>
  <si>
    <t>Izpad</t>
  </si>
  <si>
    <t>  derivata</t>
  </si>
  <si>
    <t>Prodajna cena brez dajatev</t>
  </si>
  <si>
    <r>
      <t>Taksa CO</t>
    </r>
    <r>
      <rPr>
        <b/>
        <vertAlign val="subscript"/>
        <sz val="9"/>
        <color rgb="FF626161"/>
        <rFont val="Arial"/>
        <family val="2"/>
        <charset val="238"/>
      </rPr>
      <t>2</t>
    </r>
  </si>
  <si>
    <t>Dodatek za zagot. prihrankov energije</t>
  </si>
  <si>
    <t>Trošarina</t>
  </si>
  <si>
    <t>Prisp. za zagot.</t>
  </si>
  <si>
    <t>podpor proizvodnji el. energije</t>
  </si>
  <si>
    <t>DDV (22%)</t>
  </si>
  <si>
    <t>Drobnopro</t>
  </si>
  <si>
    <t>dajna cena</t>
  </si>
  <si>
    <t>v €/liter</t>
  </si>
  <si>
    <t>Neosvinčen motorni bencin 95-oktanski</t>
  </si>
  <si>
    <t>Dizelsko gorivo</t>
  </si>
  <si>
    <t>Skupaj dajatve</t>
  </si>
  <si>
    <t>poraba/km</t>
  </si>
  <si>
    <t>poraba na leto</t>
  </si>
  <si>
    <t>Izvedba na podlagi Zakona o dajatvah za motorna vozila</t>
  </si>
  <si>
    <t>Uvedba posebnih registrskih tablic za EV</t>
  </si>
  <si>
    <t>Izvedba na podlagi ZDajMV</t>
  </si>
  <si>
    <t>Spremembe Zakona o motornih vozilih (ZMV-1)</t>
  </si>
  <si>
    <t>Ukrep ne zahteva sredstev. Ob uveljavitvi zakona bo treba izvesti nadgradnjo Matičnega registra listin in vozil. (MRVL).</t>
  </si>
  <si>
    <t>Mestna logistika z omejevanjem dostave z vozili na fosilna goriva</t>
  </si>
  <si>
    <t>Zadnji kilometer dostave je ob ustrezni organizacijo logističnih prenosnih točk in uvajanju tovornih koles in vozil N1 na električni pogon ali alternativna goriva lahko okoljsko bistveno bolj sprejemljiv.</t>
  </si>
  <si>
    <t>Pripravljene bodo smernice za organizacijo mestne logistike za zadnji kilometer.</t>
  </si>
  <si>
    <t xml:space="preserve">Zagotavljanje polnilne infrastrukture pri energetski sanaciji zgradb </t>
  </si>
  <si>
    <t xml:space="preserve"> Sredstva za energetsko sanacijo zgradb so zagotovljena in se izvajajo z razpisi EKO Sklada</t>
  </si>
  <si>
    <t>Predlog ukrepa predvideva kombinacijo različnih ukrepov, ki se izvajajo na način, da se s spremenjenimi pogoji za izvedbo ukrepa energetske sanacije, kjer je to smiselno hkrati zagotovijo možnosti za postavitev polnilnic (npr. predvideni vodi za polnilnice, položene cevi za izvedbo napaljave).</t>
  </si>
  <si>
    <t>Poslovni modeli uporabe električnih vozil</t>
  </si>
  <si>
    <t xml:space="preserve">MZI  </t>
  </si>
  <si>
    <t>Postavitev polnilnic za BEV. Namenjena so sofinanciranju postavitve polnilnic v javni uporabi z možnostjo uporabe sredstev za nadgradnjo obstoječih polnilnic z moduli za krmiljenje na daljavo in povezavo v pametna omrežja. Za polnilnice se določijo pogoji in standardi, kki jih morajo upoštevati ponudniki.</t>
  </si>
  <si>
    <t>Ukrep ne zahteva sredstev, predvidena je sprememba pogojev za opravljanje nastanitvene dejavnosti, v katero se vključi obveza za zagotavljanje električnih priključkov.</t>
  </si>
  <si>
    <t xml:space="preserve">Lokalne skupnosti so upravičene do nakupa avtobusov na alternativna goriva, s katerimi se izvaja mestni prevoz potnikov, oziroma linij v pretežnem območju lokalnih skupnosti. </t>
  </si>
  <si>
    <t>Zagotavljanje parkirnih mest za EV vozila in polnilnih postaj za večstanovanjske zgradbe je velik izziv za zagotavljanje elektro mobilnosti v mestih. Ena od najbolj pogosto uporabljenih možnosti, ki jih uporabljajo v državah EU je postavitev polnilnih postaj na javnih parkirnih prostorih.</t>
  </si>
  <si>
    <t>Ponudniki nastanitvenih možnosti lahko zagotovijo minimalne pogoje (električne priključke) za najemnike.</t>
  </si>
  <si>
    <t xml:space="preserve">Sredstva za 2019 so zagotovljena v Proračunu RS in je predvidena izvedba z razpisom EKO Sklada.  </t>
  </si>
  <si>
    <t xml:space="preserve">Vozila na vodik imajo tako  kot vozila na električni pogon  v prometu ničelni ogljični odtis in zagotavljajo prihranek energije. Subvencije za nakup vozil na električni pogon temeljijo na prihrankih energije, ki jih zagotavljajo vozila na električni pogon. Premoščajo razliko med ceno vozil na električni pogon in ceno primerljivih vozil z motorji na notranje izgorevanje in se bodo usklajevale z gibanjem cene vozil. </t>
  </si>
  <si>
    <t xml:space="preserve">Ocena števila vozil in povprečne višine kredita je narejena na podlagi izkušenj pri financiranj vozil na električni pogon v letih 2016 in 2017. </t>
  </si>
  <si>
    <t xml:space="preserve">Sprememba sistema bonitet za uporabo službenega vozila v zasebne namene. </t>
  </si>
  <si>
    <t>Poenostavitev in avtomatizacija administrativnih postopkov</t>
  </si>
  <si>
    <t>Države EU imajo različno politiko zagotavljanja sredstev. Skandinavske države spodbujajo elektro mobilnost z davčnimi olajšavami. Nekatere države (npr. Francija) zagotavljajo sredstva za subvencije z dvigom dajatev za mobilnost za vozila z visokim ogljičnim odtisom (npr. naša letna dajatev).</t>
  </si>
  <si>
    <t>Pogoji za namestitve</t>
  </si>
  <si>
    <t>Zagotavljanje ad hoc polnjenja</t>
  </si>
  <si>
    <t>Razpršena mreža upravljavcev polnilnih postaj je za uporabnike ovira, ker morajo za ugodno polnjenje sklepati pogodbe z vsemi ponudniki. Predlog predvideva pripravo predpisa, ki bo določil obvezo ponudnika, da zagotovi ad hoc polnjenje in plačilo s kreditnimi karticami ali elektronsko denarnico.</t>
  </si>
  <si>
    <t>Spodbujanje e-mobilnostni zahteva uvedbo novih poslovnih modelov in storitev ter možnost uporabe dvosmernih katerij električnih vozil za oddajo električne energije v sistem.</t>
  </si>
  <si>
    <t>Do 2020</t>
  </si>
  <si>
    <t>Sredstva za izvedbo so zagotovljena proračunski postavki MZI in na podlagi poziva EK za PSA (Programme Suport Action). Skupna vrednost sofinanciranja EK je 2,0 mio evrov, Navedena so samo sredstva za izvedbo nalog v RS:</t>
  </si>
  <si>
    <t>Za polnilne postaje običajne moči (22kW) bodo v začetnem obdobju skrbeli distributerji električne energije. Predvideno je podeljevanje koncesij.</t>
  </si>
  <si>
    <t>M1</t>
  </si>
  <si>
    <t>M3</t>
  </si>
  <si>
    <t>Sredstva za kategorijo M1 se bodo zagotovila na podlagi EZ-1 (URE) in se nato predvidijo v Poslovnem načrtu EKO Sklada. Sofinanciranje avtobusov predvideva razliko v ceni med dizelskimi vozili in vozili na vodikove gorivne celice, predvideva se prijava na EU razpise iz sklada IPE. Avtobusi M3 se bodo sofinancirali s sredstvi Podnebnega sklada.</t>
  </si>
  <si>
    <t>E 33.</t>
  </si>
  <si>
    <t xml:space="preserve">Slovenija mora v skladu z evropsko politiko na področju zmanjšanja ogljičnega odtisa zagotoviti, da bo v letu 2023 najmanj 30% vozil v lasti javnega sektorja na alternativna goriva. Ukrep je primeren za kraje, kjer bo zagotovljena polnilna infrastruktura za SZP za vozila javnega prevoza potnikov in servisnih služb. </t>
  </si>
  <si>
    <t>Sofinanciranje medsektosrkih inovacijskih projektov</t>
  </si>
  <si>
    <t>Ukrep v programu Sklada za podnebne spremembe</t>
  </si>
  <si>
    <t>Izvedeni najmanj 3 projekti</t>
  </si>
  <si>
    <t xml:space="preserve">Ukrep v programu Sklada za podnebne spremembe za 2019, predvideno nadaljevanje financiranja. </t>
  </si>
  <si>
    <t xml:space="preserve">Sofinanciranje (preko javnega razpisa in javnih naročil) celostnih pilotnih in demonstracijskih projektov, ki vključujejo sistemski pristop,  tehnološke in socialne inovacije ter spodbujanje prehoda na vozila z električnim pogonom povezujejo z drugimi ukrepi za zmanjšanje emisij toplogrednih plinov. </t>
  </si>
  <si>
    <t>E 7</t>
  </si>
  <si>
    <t>Prehodna ureditev do predvidenega zaprtja cenovnih škarij med vozili, ki za pogon uporabljajo fosilna goriva in vozili na električni pogon. Ugodnejša obravnava se prizna za vozila nakupne vrednosti v višini 40.000 evrov.</t>
  </si>
  <si>
    <t>prihodkov (državnega proračuna, ter blagajn zdravstvenega zavarovanja ter</t>
  </si>
  <si>
    <t>pokojninskega in invalidskega zavarovanja). S spremembo vrednotenja bonitet na način,</t>
  </si>
  <si>
    <t>da se destimulira uporaba okoljsko manj sprejemljivejših vozi nasploh, se bi navedeno</t>
  </si>
  <si>
    <t>zmanjšanje prihodkov lahko do določene mere nevtraliziralo.«</t>
  </si>
  <si>
    <t>Znižanje javno finančnih prihodkov (državnega proračuna, ter blagajn zdravstvenega zavarovanja ter
pokojninskega in invalidskega zavarovanja). S spremembo vrednotenja bonitet na način,
da se destimulira uporaba okoljsko manj sprejemljivejših vozi nasploh, se bi navedeno
zmanjšanje prihodkov lahko do določene mere nevtraliziralo.</t>
  </si>
  <si>
    <t>Za utekočinjeni naftni plin se predlaga ohranitev zneska trošarine v višini, ki zagotavlja nižjo obdavčitev v primerjavi z ostalimi gorivi fosilnega izvora</t>
  </si>
  <si>
    <t>Finančne posledice so ocenjene glede na porabo energenta in so odvisne od prilagoditve višine trošarine.</t>
  </si>
  <si>
    <t>Predlaga se ohranitev višine trošarine v  višini, ki zagotavlja nižjo obdavčitev v primerjavi z ostalimi gorivi fosilnega izvora, z namenom da bi se lahko cena energenta z vsemi davki in dajatvami oblikovala tako, da bi bila primerljiva s ceno energenta v sosednih državah (Avstrija, Hrvaška, Italija, Madžarska).  Analiza strukture trenutne cene utekočinjenega zemeljskega plina v Sloveniji in sosednjih državah je pokazala, da bo potrebno zagotoviti hkratno in usklajeno znižanje trošarine in okoljske dajatve za onesnaženje zraka z emisijo CO2, da se lahko zagotovi ustrezna raven drobnoprodajne cene, ki bo primerljiva z drobnoprodajnimi cenami v sosednjih državah.</t>
  </si>
  <si>
    <t>Predvidena je uvedba stimulativnih davčnih ukrepov, ki bodo uravnotežili uporabo službenih vozil s pogonom na klasična fosilna goriva in spodbudili povečanje števila službenih vozil na električni pogon v javnem in zasebnem sektorju, uvedba uravnoteženega sistema bonitet za uporabo službenih vozil v zasebne namene, ki bo spodbujal uporabo vozil na električni pogon (namesto 1,5-odstotna boniteta, kot trenutno velja za vozila z motorji na notranje izgorevanje, le 0,3-odstotna oziroma ustrezno razmerje, če bi se boniteta za vozila z motorji na notranje izgorevanje spremenila).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</si>
</sst>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16"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6"/>
      <color theme="1"/>
      <name val="Calibri"/>
      <family val="2"/>
      <charset val="238"/>
      <scheme val="minor"/>
    </font>
    <font>
      <sz val="11"/>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rgb="FF626161"/>
      <name val="Arial"/>
      <family val="2"/>
      <charset val="238"/>
    </font>
    <font>
      <b/>
      <sz val="9"/>
      <color rgb="FF626161"/>
      <name val="Arial"/>
      <family val="2"/>
      <charset val="238"/>
    </font>
    <font>
      <b/>
      <sz val="9"/>
      <color rgb="FF626161"/>
      <name val="Trebuchet MS"/>
      <family val="2"/>
      <charset val="238"/>
    </font>
    <font>
      <b/>
      <vertAlign val="subscript"/>
      <sz val="9"/>
      <color rgb="FF626161"/>
      <name val="Arial"/>
      <family val="2"/>
      <charset val="238"/>
    </font>
    <font>
      <sz val="9"/>
      <color rgb="FF626161"/>
      <name val="Trebuchet MS"/>
      <family val="2"/>
      <charset val="238"/>
    </font>
    <font>
      <sz val="11"/>
      <color rgb="FFFF0000"/>
      <name val="Calibri"/>
      <family val="2"/>
      <charset val="238"/>
      <scheme val="minor"/>
    </font>
    <font>
      <sz val="11"/>
      <name val="Calibri"/>
      <family val="2"/>
      <charset val="238"/>
      <scheme val="minor"/>
    </font>
    <font>
      <b/>
      <sz val="11"/>
      <name val="Calibri"/>
      <family val="2"/>
      <charset val="238"/>
      <scheme val="minor"/>
    </font>
  </fonts>
  <fills count="14">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rgb="FF00B050"/>
        <bgColor indexed="64"/>
      </patternFill>
    </fill>
    <fill>
      <patternFill patternType="solid">
        <fgColor theme="6" tint="0.59999389629810485"/>
        <bgColor indexed="64"/>
      </patternFill>
    </fill>
  </fills>
  <borders count="7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s>
  <cellStyleXfs count="2">
    <xf numFmtId="0" fontId="0" fillId="0" borderId="0"/>
    <xf numFmtId="43" fontId="4" fillId="0" borderId="0" applyFont="0" applyFill="0" applyBorder="0" applyAlignment="0" applyProtection="0"/>
  </cellStyleXfs>
  <cellXfs count="697">
    <xf numFmtId="0" fontId="0" fillId="0" borderId="0" xfId="0"/>
    <xf numFmtId="0" fontId="0" fillId="0" borderId="4" xfId="0" applyBorder="1"/>
    <xf numFmtId="0" fontId="0" fillId="0" borderId="5" xfId="0" applyBorder="1"/>
    <xf numFmtId="0" fontId="0" fillId="0" borderId="4" xfId="0" applyFont="1" applyBorder="1"/>
    <xf numFmtId="0" fontId="0" fillId="0" borderId="5" xfId="0" applyFont="1" applyBorder="1"/>
    <xf numFmtId="0" fontId="0" fillId="0" borderId="6" xfId="0" applyFont="1" applyBorder="1"/>
    <xf numFmtId="0" fontId="1" fillId="7" borderId="2" xfId="0" applyFont="1" applyFill="1" applyBorder="1"/>
    <xf numFmtId="0" fontId="1" fillId="7" borderId="2" xfId="0" applyFont="1" applyFill="1" applyBorder="1" applyAlignment="1">
      <alignment wrapText="1"/>
    </xf>
    <xf numFmtId="0" fontId="1" fillId="7" borderId="8" xfId="0" applyFont="1" applyFill="1" applyBorder="1"/>
    <xf numFmtId="0" fontId="1" fillId="7" borderId="23" xfId="0" applyFont="1" applyFill="1" applyBorder="1"/>
    <xf numFmtId="0" fontId="0" fillId="2" borderId="19" xfId="0" applyFont="1" applyFill="1" applyBorder="1"/>
    <xf numFmtId="0" fontId="0" fillId="6" borderId="19" xfId="0" applyFont="1" applyFill="1" applyBorder="1"/>
    <xf numFmtId="17" fontId="0" fillId="6" borderId="19" xfId="0" applyNumberFormat="1" applyFont="1" applyFill="1" applyBorder="1"/>
    <xf numFmtId="0" fontId="0" fillId="0" borderId="0" xfId="0" applyFont="1" applyFill="1" applyBorder="1"/>
    <xf numFmtId="0" fontId="0" fillId="0" borderId="0" xfId="0" applyFont="1" applyFill="1" applyBorder="1" applyAlignment="1">
      <alignment vertical="center" wrapText="1"/>
    </xf>
    <xf numFmtId="0" fontId="0" fillId="0" borderId="0" xfId="0" applyFont="1" applyFill="1" applyBorder="1" applyAlignment="1">
      <alignment vertical="top" wrapText="1"/>
    </xf>
    <xf numFmtId="17" fontId="0" fillId="6" borderId="18" xfId="0" applyNumberFormat="1" applyFont="1" applyFill="1" applyBorder="1"/>
    <xf numFmtId="0" fontId="1" fillId="7" borderId="0" xfId="0" applyFont="1" applyFill="1"/>
    <xf numFmtId="17" fontId="0" fillId="6" borderId="24" xfId="0" applyNumberFormat="1" applyFont="1" applyFill="1" applyBorder="1"/>
    <xf numFmtId="0" fontId="0" fillId="6" borderId="2" xfId="0" applyFont="1" applyFill="1" applyBorder="1"/>
    <xf numFmtId="0" fontId="0" fillId="6" borderId="8" xfId="0" applyFont="1" applyFill="1" applyBorder="1"/>
    <xf numFmtId="0" fontId="0" fillId="6" borderId="19" xfId="0" applyFont="1" applyFill="1" applyBorder="1" applyAlignment="1">
      <alignment wrapText="1"/>
    </xf>
    <xf numFmtId="0" fontId="0" fillId="6" borderId="8" xfId="0" applyFont="1" applyFill="1" applyBorder="1" applyAlignment="1">
      <alignment wrapText="1"/>
    </xf>
    <xf numFmtId="0" fontId="0" fillId="6" borderId="18" xfId="0" applyFont="1" applyFill="1" applyBorder="1"/>
    <xf numFmtId="0" fontId="0" fillId="6" borderId="8" xfId="0" applyFont="1" applyFill="1" applyBorder="1"/>
    <xf numFmtId="0" fontId="0" fillId="3" borderId="19" xfId="0" applyFont="1" applyFill="1" applyBorder="1" applyAlignment="1">
      <alignment vertical="top" wrapText="1"/>
    </xf>
    <xf numFmtId="0" fontId="0" fillId="3" borderId="8" xfId="0" applyFont="1" applyFill="1" applyBorder="1" applyAlignment="1">
      <alignment vertical="top" wrapText="1"/>
    </xf>
    <xf numFmtId="0" fontId="0" fillId="6" borderId="19" xfId="0" applyFont="1" applyFill="1" applyBorder="1" applyAlignment="1">
      <alignment wrapText="1"/>
    </xf>
    <xf numFmtId="0" fontId="0" fillId="6" borderId="18" xfId="0" applyFont="1" applyFill="1" applyBorder="1"/>
    <xf numFmtId="0" fontId="5" fillId="6" borderId="8" xfId="0" applyFont="1" applyFill="1" applyBorder="1"/>
    <xf numFmtId="1" fontId="0" fillId="6" borderId="2" xfId="0" applyNumberFormat="1" applyFont="1" applyFill="1" applyBorder="1"/>
    <xf numFmtId="0" fontId="0" fillId="6" borderId="8" xfId="0" applyFont="1" applyFill="1" applyBorder="1"/>
    <xf numFmtId="0" fontId="0" fillId="6" borderId="18" xfId="0" applyFont="1" applyFill="1" applyBorder="1"/>
    <xf numFmtId="0" fontId="0" fillId="6" borderId="2" xfId="0" applyFont="1" applyFill="1" applyBorder="1" applyAlignment="1">
      <alignment wrapText="1"/>
    </xf>
    <xf numFmtId="0" fontId="0" fillId="0" borderId="33" xfId="0" applyBorder="1"/>
    <xf numFmtId="0" fontId="0" fillId="0" borderId="16" xfId="0" applyBorder="1"/>
    <xf numFmtId="0" fontId="0" fillId="0" borderId="17" xfId="0" applyBorder="1"/>
    <xf numFmtId="0" fontId="0" fillId="0" borderId="15" xfId="0" applyBorder="1"/>
    <xf numFmtId="9" fontId="0" fillId="6" borderId="2" xfId="0" applyNumberFormat="1" applyFont="1" applyFill="1" applyBorder="1" applyAlignment="1">
      <alignment wrapText="1"/>
    </xf>
    <xf numFmtId="0" fontId="0" fillId="6" borderId="8" xfId="0" applyFont="1" applyFill="1" applyBorder="1"/>
    <xf numFmtId="0" fontId="0" fillId="3" borderId="19" xfId="0" applyFont="1" applyFill="1" applyBorder="1" applyAlignment="1">
      <alignment vertical="top" wrapText="1"/>
    </xf>
    <xf numFmtId="0" fontId="0" fillId="3" borderId="8" xfId="0" applyFont="1" applyFill="1" applyBorder="1" applyAlignment="1">
      <alignment vertical="top" wrapText="1"/>
    </xf>
    <xf numFmtId="0" fontId="0" fillId="6" borderId="19" xfId="0" applyFont="1" applyFill="1" applyBorder="1" applyAlignment="1">
      <alignment wrapText="1"/>
    </xf>
    <xf numFmtId="0" fontId="0" fillId="6" borderId="18" xfId="0" applyFont="1" applyFill="1" applyBorder="1"/>
    <xf numFmtId="0" fontId="0" fillId="6" borderId="8" xfId="0" applyFont="1" applyFill="1" applyBorder="1"/>
    <xf numFmtId="2" fontId="0" fillId="6" borderId="18" xfId="0" applyNumberFormat="1" applyFont="1" applyFill="1" applyBorder="1"/>
    <xf numFmtId="0" fontId="0" fillId="10" borderId="0" xfId="0" applyFill="1"/>
    <xf numFmtId="0" fontId="0" fillId="9" borderId="0" xfId="0" applyFill="1"/>
    <xf numFmtId="0" fontId="0" fillId="2" borderId="0" xfId="0" applyFill="1"/>
    <xf numFmtId="0" fontId="0" fillId="6" borderId="2" xfId="0" applyFont="1" applyFill="1" applyBorder="1"/>
    <xf numFmtId="2" fontId="0" fillId="5" borderId="2" xfId="0" applyNumberFormat="1" applyFont="1" applyFill="1" applyBorder="1" applyAlignment="1">
      <alignment vertical="top"/>
    </xf>
    <xf numFmtId="0" fontId="0" fillId="6" borderId="19" xfId="0" applyFont="1" applyFill="1" applyBorder="1" applyAlignment="1">
      <alignment wrapText="1"/>
    </xf>
    <xf numFmtId="0" fontId="0" fillId="6" borderId="8" xfId="0" applyFont="1" applyFill="1" applyBorder="1" applyAlignment="1">
      <alignment wrapText="1"/>
    </xf>
    <xf numFmtId="0" fontId="0" fillId="6" borderId="8" xfId="0" applyFont="1" applyFill="1" applyBorder="1"/>
    <xf numFmtId="0" fontId="0" fillId="2" borderId="8" xfId="0" applyFont="1" applyFill="1" applyBorder="1"/>
    <xf numFmtId="0" fontId="0" fillId="8" borderId="2" xfId="0" applyFont="1" applyFill="1" applyBorder="1" applyAlignment="1">
      <alignment vertical="center" wrapText="1"/>
    </xf>
    <xf numFmtId="0" fontId="0" fillId="6" borderId="2" xfId="0" applyFont="1" applyFill="1" applyBorder="1"/>
    <xf numFmtId="0" fontId="0" fillId="6" borderId="19" xfId="0" applyFont="1" applyFill="1" applyBorder="1" applyAlignment="1">
      <alignment wrapText="1"/>
    </xf>
    <xf numFmtId="0" fontId="0" fillId="6" borderId="8" xfId="0" applyFont="1" applyFill="1" applyBorder="1" applyAlignment="1">
      <alignment wrapText="1"/>
    </xf>
    <xf numFmtId="0" fontId="1" fillId="7" borderId="13" xfId="0" applyFont="1" applyFill="1" applyBorder="1" applyAlignment="1">
      <alignment horizontal="center"/>
    </xf>
    <xf numFmtId="0" fontId="0" fillId="6" borderId="8" xfId="0" applyFont="1" applyFill="1" applyBorder="1"/>
    <xf numFmtId="0" fontId="1" fillId="7" borderId="2" xfId="0" applyFont="1" applyFill="1" applyBorder="1" applyAlignment="1">
      <alignment horizontal="center"/>
    </xf>
    <xf numFmtId="17" fontId="5" fillId="6" borderId="8" xfId="0" applyNumberFormat="1" applyFont="1" applyFill="1" applyBorder="1"/>
    <xf numFmtId="164" fontId="0" fillId="6" borderId="2" xfId="1" applyNumberFormat="1" applyFont="1" applyFill="1" applyBorder="1" applyAlignment="1">
      <alignment wrapText="1"/>
    </xf>
    <xf numFmtId="0" fontId="0" fillId="0" borderId="39" xfId="0" applyBorder="1"/>
    <xf numFmtId="0" fontId="0" fillId="0" borderId="19" xfId="0" applyBorder="1"/>
    <xf numFmtId="0" fontId="0" fillId="2" borderId="2" xfId="0" applyFill="1" applyBorder="1"/>
    <xf numFmtId="43" fontId="0" fillId="2" borderId="2" xfId="0" applyNumberFormat="1" applyFill="1" applyBorder="1" applyAlignment="1"/>
    <xf numFmtId="0" fontId="0" fillId="9" borderId="2" xfId="0" applyFill="1" applyBorder="1"/>
    <xf numFmtId="43" fontId="0" fillId="9" borderId="2" xfId="0" applyNumberFormat="1" applyFill="1" applyBorder="1" applyAlignment="1"/>
    <xf numFmtId="43" fontId="0" fillId="8" borderId="18" xfId="1" applyFont="1" applyFill="1" applyBorder="1" applyAlignment="1"/>
    <xf numFmtId="43" fontId="0" fillId="8" borderId="19" xfId="1" applyFont="1" applyFill="1" applyBorder="1" applyAlignment="1"/>
    <xf numFmtId="43" fontId="0" fillId="8" borderId="8" xfId="1" applyFont="1" applyFill="1" applyBorder="1" applyAlignment="1"/>
    <xf numFmtId="3" fontId="0" fillId="6" borderId="2" xfId="0" applyNumberFormat="1" applyFont="1" applyFill="1" applyBorder="1" applyAlignment="1">
      <alignment wrapText="1"/>
    </xf>
    <xf numFmtId="0" fontId="0" fillId="6" borderId="18" xfId="0" applyFont="1" applyFill="1" applyBorder="1" applyAlignment="1"/>
    <xf numFmtId="0" fontId="0" fillId="6" borderId="19" xfId="0" applyFont="1" applyFill="1" applyBorder="1" applyAlignment="1"/>
    <xf numFmtId="0" fontId="0" fillId="6" borderId="8" xfId="0" applyFont="1" applyFill="1" applyBorder="1" applyAlignment="1"/>
    <xf numFmtId="0" fontId="0" fillId="10" borderId="2" xfId="0" applyFont="1" applyFill="1" applyBorder="1"/>
    <xf numFmtId="43" fontId="0" fillId="10" borderId="2" xfId="0" applyNumberFormat="1" applyFont="1" applyFill="1" applyBorder="1"/>
    <xf numFmtId="1" fontId="0" fillId="6" borderId="2" xfId="0" applyNumberFormat="1" applyFont="1" applyFill="1" applyBorder="1" applyAlignment="1">
      <alignment wrapText="1"/>
    </xf>
    <xf numFmtId="0" fontId="0" fillId="6" borderId="8" xfId="0" applyFont="1" applyFill="1" applyBorder="1"/>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8" xfId="0" applyBorder="1" applyAlignment="1">
      <alignment horizontal="left" vertical="top" wrapText="1"/>
    </xf>
    <xf numFmtId="43" fontId="0" fillId="9" borderId="2" xfId="0" applyNumberFormat="1" applyFill="1" applyBorder="1" applyAlignment="1">
      <alignment wrapText="1"/>
    </xf>
    <xf numFmtId="0" fontId="0" fillId="0" borderId="0" xfId="0" applyAlignment="1">
      <alignment wrapText="1"/>
    </xf>
    <xf numFmtId="0" fontId="0" fillId="0" borderId="18" xfId="0" applyFont="1" applyBorder="1"/>
    <xf numFmtId="0" fontId="0" fillId="0" borderId="0" xfId="0" applyBorder="1"/>
    <xf numFmtId="0" fontId="1" fillId="7" borderId="7" xfId="0" applyFont="1" applyFill="1" applyBorder="1" applyAlignment="1">
      <alignment horizontal="left" vertical="top"/>
    </xf>
    <xf numFmtId="0" fontId="1" fillId="7" borderId="0" xfId="0" applyFont="1" applyFill="1" applyBorder="1" applyAlignment="1">
      <alignment horizontal="left" vertical="top"/>
    </xf>
    <xf numFmtId="0" fontId="0" fillId="0" borderId="0" xfId="0" applyBorder="1" applyAlignment="1">
      <alignment horizontal="left" vertical="top" wrapText="1"/>
    </xf>
    <xf numFmtId="0" fontId="0" fillId="2" borderId="42" xfId="0" applyFont="1" applyFill="1" applyBorder="1" applyAlignment="1">
      <alignment vertical="top" wrapText="1"/>
    </xf>
    <xf numFmtId="43" fontId="0" fillId="2" borderId="28" xfId="1" applyFont="1" applyFill="1" applyBorder="1" applyAlignment="1">
      <alignment vertical="top"/>
    </xf>
    <xf numFmtId="0" fontId="0" fillId="9" borderId="43" xfId="0" applyFill="1" applyBorder="1" applyAlignment="1">
      <alignment wrapText="1"/>
    </xf>
    <xf numFmtId="43" fontId="0" fillId="10" borderId="3" xfId="0" applyNumberFormat="1" applyFont="1" applyFill="1" applyBorder="1"/>
    <xf numFmtId="0" fontId="0" fillId="0" borderId="30" xfId="0" applyFont="1" applyFill="1" applyBorder="1" applyAlignment="1">
      <alignment vertical="top" wrapText="1"/>
    </xf>
    <xf numFmtId="43" fontId="0" fillId="0" borderId="19" xfId="1" applyFont="1" applyFill="1" applyBorder="1" applyAlignment="1">
      <alignment vertical="top"/>
    </xf>
    <xf numFmtId="2" fontId="0" fillId="0" borderId="0" xfId="0" applyNumberFormat="1" applyFont="1" applyFill="1" applyBorder="1" applyAlignment="1">
      <alignment horizontal="left" vertical="top" wrapText="1"/>
    </xf>
    <xf numFmtId="0" fontId="0" fillId="2" borderId="42" xfId="0" applyFill="1" applyBorder="1" applyAlignment="1">
      <alignment wrapText="1"/>
    </xf>
    <xf numFmtId="0" fontId="0" fillId="9" borderId="44" xfId="0" applyFill="1" applyBorder="1" applyAlignment="1">
      <alignment wrapText="1"/>
    </xf>
    <xf numFmtId="0" fontId="0" fillId="2" borderId="18" xfId="0" applyFont="1" applyFill="1" applyBorder="1"/>
    <xf numFmtId="0" fontId="0" fillId="0" borderId="0" xfId="0" applyAlignment="1">
      <alignment horizontal="left" vertical="top"/>
    </xf>
    <xf numFmtId="0" fontId="0" fillId="0" borderId="0" xfId="0" applyFont="1" applyFill="1" applyBorder="1" applyAlignment="1">
      <alignment horizontal="left" vertical="top" wrapText="1"/>
    </xf>
    <xf numFmtId="0" fontId="1" fillId="7" borderId="13" xfId="0" applyFont="1" applyFill="1" applyBorder="1" applyAlignment="1">
      <alignment horizontal="left" vertical="top"/>
    </xf>
    <xf numFmtId="0" fontId="1" fillId="7" borderId="32" xfId="0" applyFont="1" applyFill="1" applyBorder="1" applyAlignment="1">
      <alignment horizontal="left" vertical="top"/>
    </xf>
    <xf numFmtId="0" fontId="1" fillId="7" borderId="27" xfId="0" applyFont="1" applyFill="1" applyBorder="1" applyAlignment="1">
      <alignment horizontal="left" vertical="top"/>
    </xf>
    <xf numFmtId="0" fontId="1" fillId="7" borderId="37" xfId="0" applyFont="1" applyFill="1" applyBorder="1" applyAlignment="1">
      <alignment horizontal="center"/>
    </xf>
    <xf numFmtId="0" fontId="1" fillId="7" borderId="13" xfId="0" applyFont="1" applyFill="1" applyBorder="1" applyAlignment="1">
      <alignment horizontal="center"/>
    </xf>
    <xf numFmtId="0" fontId="1" fillId="7" borderId="32" xfId="0" applyFont="1" applyFill="1" applyBorder="1" applyAlignment="1">
      <alignment horizontal="center"/>
    </xf>
    <xf numFmtId="0" fontId="1" fillId="7" borderId="27" xfId="0" applyFont="1" applyFill="1" applyBorder="1" applyAlignment="1">
      <alignment horizontal="center"/>
    </xf>
    <xf numFmtId="0" fontId="0" fillId="6" borderId="8" xfId="0" applyFont="1" applyFill="1" applyBorder="1"/>
    <xf numFmtId="0" fontId="0" fillId="0" borderId="29" xfId="0" applyFont="1" applyBorder="1" applyAlignment="1">
      <alignment vertical="top" wrapText="1"/>
    </xf>
    <xf numFmtId="0" fontId="0" fillId="6" borderId="18" xfId="0" applyFont="1" applyFill="1" applyBorder="1"/>
    <xf numFmtId="0" fontId="0" fillId="7" borderId="17" xfId="0" applyFill="1" applyBorder="1"/>
    <xf numFmtId="0" fontId="0" fillId="2" borderId="18" xfId="0" applyFont="1" applyFill="1" applyBorder="1" applyAlignment="1">
      <alignment vertical="top"/>
    </xf>
    <xf numFmtId="0" fontId="0" fillId="2" borderId="19" xfId="0" applyFont="1" applyFill="1" applyBorder="1" applyAlignment="1">
      <alignment vertical="top"/>
    </xf>
    <xf numFmtId="0" fontId="0" fillId="6" borderId="19" xfId="0" applyFont="1" applyFill="1" applyBorder="1" applyAlignment="1">
      <alignment vertical="center"/>
    </xf>
    <xf numFmtId="0" fontId="0" fillId="6" borderId="18" xfId="0" applyNumberFormat="1" applyFont="1" applyFill="1" applyBorder="1" applyAlignment="1">
      <alignment vertical="center"/>
    </xf>
    <xf numFmtId="0" fontId="0" fillId="8" borderId="8" xfId="0" applyFont="1" applyFill="1" applyBorder="1" applyAlignment="1">
      <alignment vertical="center" wrapText="1"/>
    </xf>
    <xf numFmtId="0" fontId="0" fillId="6" borderId="2" xfId="0" applyFont="1" applyFill="1" applyBorder="1"/>
    <xf numFmtId="0" fontId="0" fillId="2" borderId="2" xfId="0" applyFont="1" applyFill="1" applyBorder="1"/>
    <xf numFmtId="0" fontId="0" fillId="4" borderId="18" xfId="0" applyFont="1" applyFill="1" applyBorder="1" applyAlignment="1">
      <alignment vertical="top" wrapText="1"/>
    </xf>
    <xf numFmtId="0" fontId="0" fillId="4" borderId="19" xfId="0" applyFont="1" applyFill="1" applyBorder="1" applyAlignment="1">
      <alignment vertical="top" wrapText="1"/>
    </xf>
    <xf numFmtId="0" fontId="0" fillId="4" borderId="8" xfId="0" applyFont="1" applyFill="1" applyBorder="1" applyAlignment="1">
      <alignment vertical="top" wrapText="1"/>
    </xf>
    <xf numFmtId="0" fontId="0" fillId="2" borderId="2" xfId="0" applyFont="1" applyFill="1" applyBorder="1" applyAlignment="1">
      <alignment vertical="top"/>
    </xf>
    <xf numFmtId="0" fontId="0" fillId="0" borderId="16" xfId="0" applyFont="1" applyBorder="1" applyAlignment="1">
      <alignment vertical="top" wrapText="1"/>
    </xf>
    <xf numFmtId="0" fontId="0" fillId="6" borderId="19" xfId="0" applyFont="1" applyFill="1" applyBorder="1" applyAlignment="1">
      <alignment vertical="top" wrapText="1"/>
    </xf>
    <xf numFmtId="0" fontId="0" fillId="6" borderId="8" xfId="0" applyFont="1" applyFill="1" applyBorder="1" applyAlignment="1">
      <alignment vertical="top" wrapText="1"/>
    </xf>
    <xf numFmtId="0" fontId="0" fillId="9" borderId="2" xfId="0" applyFill="1" applyBorder="1" applyAlignment="1">
      <alignment horizontal="left" vertical="top" wrapText="1"/>
    </xf>
    <xf numFmtId="0" fontId="1" fillId="7" borderId="13" xfId="0" applyFont="1" applyFill="1" applyBorder="1" applyAlignment="1">
      <alignment horizontal="center"/>
    </xf>
    <xf numFmtId="0" fontId="1" fillId="7" borderId="32" xfId="0" applyFont="1" applyFill="1" applyBorder="1" applyAlignment="1">
      <alignment horizontal="center"/>
    </xf>
    <xf numFmtId="0" fontId="1" fillId="7" borderId="27" xfId="0" applyFont="1" applyFill="1" applyBorder="1" applyAlignment="1">
      <alignment horizontal="center"/>
    </xf>
    <xf numFmtId="0" fontId="0" fillId="6" borderId="8" xfId="0" applyFont="1" applyFill="1" applyBorder="1"/>
    <xf numFmtId="0" fontId="0" fillId="6" borderId="18" xfId="0" applyFont="1" applyFill="1" applyBorder="1"/>
    <xf numFmtId="0" fontId="1" fillId="7" borderId="36" xfId="0" applyFont="1" applyFill="1" applyBorder="1" applyAlignment="1">
      <alignment horizontal="center"/>
    </xf>
    <xf numFmtId="0" fontId="1" fillId="7" borderId="37" xfId="0" applyFont="1" applyFill="1" applyBorder="1" applyAlignment="1">
      <alignment horizontal="center"/>
    </xf>
    <xf numFmtId="0" fontId="0" fillId="0" borderId="14" xfId="0" applyBorder="1"/>
    <xf numFmtId="0" fontId="0" fillId="0" borderId="7" xfId="0" applyBorder="1"/>
    <xf numFmtId="0" fontId="0" fillId="0" borderId="23" xfId="0" applyBorder="1"/>
    <xf numFmtId="0" fontId="1" fillId="0" borderId="23" xfId="0" applyFont="1" applyFill="1" applyBorder="1"/>
    <xf numFmtId="0" fontId="0" fillId="8" borderId="7" xfId="0" applyFont="1" applyFill="1" applyBorder="1" applyAlignment="1">
      <alignment vertical="center" wrapText="1"/>
    </xf>
    <xf numFmtId="0" fontId="0" fillId="6" borderId="27" xfId="0" applyFont="1" applyFill="1" applyBorder="1"/>
    <xf numFmtId="1" fontId="0" fillId="6" borderId="27" xfId="0" applyNumberFormat="1" applyFont="1" applyFill="1" applyBorder="1"/>
    <xf numFmtId="0" fontId="0" fillId="6" borderId="38" xfId="0" applyFont="1" applyFill="1" applyBorder="1"/>
    <xf numFmtId="0" fontId="0" fillId="6" borderId="7" xfId="0" applyFont="1" applyFill="1" applyBorder="1"/>
    <xf numFmtId="0" fontId="0" fillId="0" borderId="18" xfId="0" applyFont="1" applyBorder="1" applyAlignment="1">
      <alignment wrapText="1"/>
    </xf>
    <xf numFmtId="0" fontId="0" fillId="0" borderId="14" xfId="0" applyFont="1" applyBorder="1"/>
    <xf numFmtId="0" fontId="0" fillId="0" borderId="7" xfId="0" applyFont="1" applyBorder="1"/>
    <xf numFmtId="0" fontId="0" fillId="0" borderId="23" xfId="0" applyFont="1" applyBorder="1"/>
    <xf numFmtId="0" fontId="0" fillId="0" borderId="40" xfId="0" applyFont="1" applyBorder="1" applyAlignment="1">
      <alignment vertical="top" wrapText="1"/>
    </xf>
    <xf numFmtId="0" fontId="0" fillId="0" borderId="41" xfId="0" applyFont="1" applyBorder="1" applyAlignment="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0" fillId="6" borderId="0" xfId="0" applyFont="1" applyFill="1" applyBorder="1"/>
    <xf numFmtId="0" fontId="0" fillId="7" borderId="16" xfId="0" applyFill="1" applyBorder="1"/>
    <xf numFmtId="0" fontId="0" fillId="7" borderId="16" xfId="0" applyFill="1" applyBorder="1" applyAlignment="1">
      <alignment horizontal="center"/>
    </xf>
    <xf numFmtId="0" fontId="0" fillId="0" borderId="14" xfId="0" applyFont="1" applyFill="1" applyBorder="1" applyAlignment="1">
      <alignment vertical="center"/>
    </xf>
    <xf numFmtId="0" fontId="0" fillId="0" borderId="7" xfId="0" applyFont="1" applyFill="1" applyBorder="1" applyAlignment="1">
      <alignment vertical="center" wrapText="1"/>
    </xf>
    <xf numFmtId="0" fontId="0" fillId="0" borderId="0" xfId="0" applyFill="1"/>
    <xf numFmtId="17" fontId="0" fillId="2" borderId="19" xfId="0" applyNumberFormat="1" applyFont="1" applyFill="1" applyBorder="1"/>
    <xf numFmtId="0" fontId="5" fillId="2" borderId="8" xfId="0" applyFont="1" applyFill="1" applyBorder="1"/>
    <xf numFmtId="0" fontId="0" fillId="6" borderId="13" xfId="0" applyFont="1" applyFill="1" applyBorder="1"/>
    <xf numFmtId="1" fontId="0" fillId="6" borderId="13" xfId="0" applyNumberFormat="1" applyFont="1" applyFill="1" applyBorder="1"/>
    <xf numFmtId="17" fontId="0" fillId="2" borderId="18" xfId="0" applyNumberFormat="1" applyFont="1" applyFill="1" applyBorder="1"/>
    <xf numFmtId="0" fontId="5" fillId="2" borderId="19" xfId="0" applyFont="1" applyFill="1" applyBorder="1"/>
    <xf numFmtId="0" fontId="0" fillId="2" borderId="7" xfId="0" applyFont="1" applyFill="1" applyBorder="1" applyAlignment="1">
      <alignment vertical="top"/>
    </xf>
    <xf numFmtId="0" fontId="1" fillId="2" borderId="23" xfId="0" applyFont="1" applyFill="1" applyBorder="1"/>
    <xf numFmtId="0" fontId="0" fillId="2" borderId="30" xfId="0" applyFont="1" applyFill="1" applyBorder="1"/>
    <xf numFmtId="0" fontId="5" fillId="2" borderId="30" xfId="0" applyFont="1" applyFill="1" applyBorder="1"/>
    <xf numFmtId="0" fontId="1" fillId="2" borderId="26" xfId="0" applyFont="1" applyFill="1" applyBorder="1"/>
    <xf numFmtId="1" fontId="0" fillId="6" borderId="38" xfId="0" applyNumberFormat="1" applyFill="1" applyBorder="1"/>
    <xf numFmtId="1" fontId="0" fillId="6" borderId="18" xfId="0" applyNumberFormat="1" applyFill="1" applyBorder="1"/>
    <xf numFmtId="1" fontId="0" fillId="6" borderId="14" xfId="0" applyNumberFormat="1" applyFill="1" applyBorder="1"/>
    <xf numFmtId="0" fontId="0" fillId="6" borderId="30" xfId="0" applyFont="1" applyFill="1" applyBorder="1"/>
    <xf numFmtId="0" fontId="1" fillId="6" borderId="23" xfId="0" applyFont="1" applyFill="1" applyBorder="1"/>
    <xf numFmtId="0" fontId="1" fillId="6" borderId="37" xfId="0" applyFont="1" applyFill="1" applyBorder="1"/>
    <xf numFmtId="0" fontId="1" fillId="6" borderId="26" xfId="0" applyFont="1" applyFill="1" applyBorder="1"/>
    <xf numFmtId="17" fontId="5" fillId="2" borderId="19" xfId="0" applyNumberFormat="1" applyFont="1" applyFill="1" applyBorder="1" applyAlignment="1">
      <alignment vertical="center" wrapText="1"/>
    </xf>
    <xf numFmtId="0" fontId="0" fillId="7" borderId="18" xfId="0" applyFill="1" applyBorder="1"/>
    <xf numFmtId="0" fontId="0" fillId="7" borderId="19" xfId="0" applyFill="1" applyBorder="1"/>
    <xf numFmtId="0" fontId="0" fillId="7" borderId="14" xfId="0" applyFill="1" applyBorder="1"/>
    <xf numFmtId="0" fontId="0" fillId="7" borderId="7" xfId="0" applyFill="1" applyBorder="1"/>
    <xf numFmtId="0" fontId="0" fillId="7" borderId="19" xfId="0" applyFill="1" applyBorder="1" applyAlignment="1">
      <alignment horizontal="center"/>
    </xf>
    <xf numFmtId="0" fontId="0" fillId="7" borderId="8" xfId="0" applyFill="1" applyBorder="1"/>
    <xf numFmtId="0" fontId="1" fillId="0" borderId="21" xfId="0" applyFont="1" applyFill="1" applyBorder="1" applyAlignment="1"/>
    <xf numFmtId="0" fontId="0" fillId="0" borderId="0" xfId="0" applyFill="1" applyBorder="1"/>
    <xf numFmtId="0" fontId="1" fillId="0" borderId="20" xfId="0" applyFont="1" applyFill="1" applyBorder="1" applyAlignment="1"/>
    <xf numFmtId="0" fontId="1" fillId="0" borderId="21" xfId="0" applyFont="1" applyFill="1" applyBorder="1" applyAlignment="1">
      <alignment horizontal="center"/>
    </xf>
    <xf numFmtId="0" fontId="0" fillId="0" borderId="21" xfId="0" applyFill="1" applyBorder="1"/>
    <xf numFmtId="0" fontId="3" fillId="7" borderId="21" xfId="0" applyFont="1" applyFill="1" applyBorder="1" applyAlignment="1"/>
    <xf numFmtId="0" fontId="0" fillId="0" borderId="21" xfId="0" applyBorder="1"/>
    <xf numFmtId="0" fontId="0" fillId="0" borderId="22" xfId="0" applyBorder="1"/>
    <xf numFmtId="0" fontId="0" fillId="0" borderId="0" xfId="0" applyAlignment="1">
      <alignment vertical="top" wrapText="1"/>
    </xf>
    <xf numFmtId="17" fontId="0" fillId="6" borderId="18" xfId="0" applyNumberFormat="1" applyFont="1" applyFill="1" applyBorder="1" applyAlignment="1">
      <alignment vertical="top" wrapText="1"/>
    </xf>
    <xf numFmtId="17" fontId="0" fillId="4" borderId="18" xfId="0" applyNumberFormat="1" applyFont="1" applyFill="1" applyBorder="1" applyAlignment="1">
      <alignment vertical="top" wrapText="1"/>
    </xf>
    <xf numFmtId="0" fontId="0" fillId="0" borderId="0" xfId="0" applyFill="1" applyAlignment="1">
      <alignment wrapText="1"/>
    </xf>
    <xf numFmtId="0" fontId="0" fillId="0" borderId="19" xfId="0" applyFont="1" applyFill="1" applyBorder="1" applyAlignment="1">
      <alignment vertical="top" wrapText="1"/>
    </xf>
    <xf numFmtId="0" fontId="0" fillId="0" borderId="8" xfId="0" applyFont="1" applyFill="1" applyBorder="1" applyAlignment="1">
      <alignment vertical="top" wrapText="1"/>
    </xf>
    <xf numFmtId="0" fontId="0" fillId="0" borderId="18" xfId="0" applyFill="1" applyBorder="1"/>
    <xf numFmtId="0" fontId="0" fillId="2" borderId="42" xfId="0" applyFill="1" applyBorder="1"/>
    <xf numFmtId="0" fontId="0" fillId="2" borderId="51" xfId="0" applyFill="1" applyBorder="1" applyAlignment="1">
      <alignment wrapText="1"/>
    </xf>
    <xf numFmtId="0" fontId="0" fillId="9" borderId="43" xfId="0" applyFill="1" applyBorder="1"/>
    <xf numFmtId="0" fontId="0" fillId="9" borderId="52" xfId="0" applyFill="1" applyBorder="1"/>
    <xf numFmtId="0" fontId="0" fillId="10" borderId="53" xfId="0" applyFill="1" applyBorder="1"/>
    <xf numFmtId="1" fontId="0" fillId="6" borderId="18" xfId="0" applyNumberFormat="1" applyFont="1" applyFill="1" applyBorder="1"/>
    <xf numFmtId="0" fontId="0" fillId="6" borderId="23" xfId="0" applyFont="1" applyFill="1" applyBorder="1"/>
    <xf numFmtId="0" fontId="0" fillId="6" borderId="30" xfId="0" applyFont="1" applyFill="1" applyBorder="1" applyAlignment="1">
      <alignment vertical="top" wrapText="1"/>
    </xf>
    <xf numFmtId="0" fontId="0" fillId="6" borderId="8" xfId="0" applyFill="1" applyBorder="1"/>
    <xf numFmtId="0" fontId="1" fillId="7" borderId="36" xfId="0" applyFont="1" applyFill="1" applyBorder="1" applyAlignment="1"/>
    <xf numFmtId="0" fontId="0" fillId="0" borderId="32" xfId="0" applyFont="1" applyFill="1" applyBorder="1"/>
    <xf numFmtId="43" fontId="0" fillId="0" borderId="32" xfId="0" applyNumberFormat="1" applyFont="1" applyFill="1" applyBorder="1"/>
    <xf numFmtId="0" fontId="0" fillId="0" borderId="14" xfId="0" applyFont="1" applyFill="1" applyBorder="1" applyAlignment="1">
      <alignment horizontal="left" vertical="top" wrapText="1"/>
    </xf>
    <xf numFmtId="0" fontId="0" fillId="0" borderId="18" xfId="0" applyFont="1" applyFill="1" applyBorder="1" applyAlignment="1">
      <alignment horizontal="left" vertical="top" wrapText="1"/>
    </xf>
    <xf numFmtId="0" fontId="1" fillId="0" borderId="0" xfId="0" applyFont="1" applyBorder="1" applyAlignment="1">
      <alignment horizontal="center"/>
    </xf>
    <xf numFmtId="2" fontId="0" fillId="5" borderId="18" xfId="0" applyNumberFormat="1" applyFont="1" applyFill="1" applyBorder="1" applyAlignment="1">
      <alignment vertical="top"/>
    </xf>
    <xf numFmtId="2" fontId="0" fillId="5" borderId="25" xfId="0" applyNumberFormat="1" applyFont="1" applyFill="1" applyBorder="1" applyAlignment="1">
      <alignment vertical="top"/>
    </xf>
    <xf numFmtId="0" fontId="0" fillId="7" borderId="32" xfId="0" applyFont="1" applyFill="1" applyBorder="1"/>
    <xf numFmtId="0" fontId="2" fillId="7" borderId="27" xfId="0" applyFont="1" applyFill="1" applyBorder="1" applyAlignment="1">
      <alignment vertical="top" wrapText="1"/>
    </xf>
    <xf numFmtId="0" fontId="0" fillId="6" borderId="26" xfId="0" applyFill="1" applyBorder="1"/>
    <xf numFmtId="0" fontId="0" fillId="8" borderId="14" xfId="0" applyFont="1" applyFill="1" applyBorder="1" applyAlignment="1">
      <alignment vertical="center" wrapText="1"/>
    </xf>
    <xf numFmtId="0" fontId="0" fillId="6" borderId="26" xfId="0" applyFont="1" applyFill="1" applyBorder="1"/>
    <xf numFmtId="0" fontId="0" fillId="0" borderId="0" xfId="0" applyNumberFormat="1" applyFont="1" applyFill="1" applyBorder="1" applyAlignment="1">
      <alignment vertical="top"/>
    </xf>
    <xf numFmtId="0" fontId="0" fillId="0" borderId="0" xfId="0" applyFont="1" applyFill="1" applyBorder="1" applyAlignment="1">
      <alignment wrapText="1"/>
    </xf>
    <xf numFmtId="0" fontId="0" fillId="9" borderId="29" xfId="0" applyFont="1" applyFill="1" applyBorder="1" applyAlignment="1">
      <alignment vertical="top" wrapText="1"/>
    </xf>
    <xf numFmtId="0" fontId="0" fillId="10" borderId="2" xfId="0" applyFont="1" applyFill="1" applyBorder="1" applyAlignment="1">
      <alignment vertical="top" wrapText="1"/>
    </xf>
    <xf numFmtId="43" fontId="0" fillId="10" borderId="2" xfId="1" applyFont="1" applyFill="1" applyBorder="1" applyAlignment="1">
      <alignment vertical="top"/>
    </xf>
    <xf numFmtId="0" fontId="0" fillId="7" borderId="22" xfId="0" applyFill="1" applyBorder="1"/>
    <xf numFmtId="0" fontId="3" fillId="7" borderId="4" xfId="0" applyFont="1" applyFill="1" applyBorder="1" applyAlignment="1"/>
    <xf numFmtId="0" fontId="1" fillId="7" borderId="47" xfId="0" applyFont="1" applyFill="1" applyBorder="1" applyAlignment="1"/>
    <xf numFmtId="0" fontId="0" fillId="7" borderId="36" xfId="0" applyFill="1" applyBorder="1"/>
    <xf numFmtId="0" fontId="1" fillId="7" borderId="8" xfId="0" applyFont="1" applyFill="1" applyBorder="1" applyAlignment="1">
      <alignment wrapText="1"/>
    </xf>
    <xf numFmtId="0" fontId="0" fillId="7" borderId="38" xfId="0" applyFill="1" applyBorder="1"/>
    <xf numFmtId="0" fontId="0" fillId="7" borderId="30" xfId="0" applyFill="1" applyBorder="1"/>
    <xf numFmtId="0" fontId="6" fillId="0" borderId="19" xfId="0" applyFont="1" applyBorder="1"/>
    <xf numFmtId="0" fontId="6" fillId="0" borderId="0" xfId="0" applyFont="1"/>
    <xf numFmtId="0" fontId="7" fillId="7" borderId="8" xfId="0" applyFont="1" applyFill="1" applyBorder="1"/>
    <xf numFmtId="0" fontId="7" fillId="7" borderId="23" xfId="0" applyFont="1" applyFill="1" applyBorder="1"/>
    <xf numFmtId="0" fontId="7" fillId="7" borderId="19" xfId="0" applyFont="1" applyFill="1" applyBorder="1"/>
    <xf numFmtId="0" fontId="6" fillId="7" borderId="30" xfId="0" applyFont="1" applyFill="1" applyBorder="1"/>
    <xf numFmtId="0" fontId="7" fillId="7" borderId="0" xfId="0" applyFont="1" applyFill="1"/>
    <xf numFmtId="0" fontId="7" fillId="7" borderId="2" xfId="0" applyFont="1" applyFill="1" applyBorder="1" applyAlignment="1">
      <alignment horizontal="center"/>
    </xf>
    <xf numFmtId="0" fontId="7" fillId="7" borderId="13" xfId="0" applyFont="1" applyFill="1" applyBorder="1" applyAlignment="1">
      <alignment horizontal="center"/>
    </xf>
    <xf numFmtId="0" fontId="6" fillId="7" borderId="26" xfId="0" applyFont="1" applyFill="1" applyBorder="1"/>
    <xf numFmtId="0" fontId="6" fillId="0" borderId="18" xfId="0" applyFont="1" applyBorder="1"/>
    <xf numFmtId="0" fontId="6" fillId="6" borderId="2" xfId="0" applyFont="1" applyFill="1" applyBorder="1"/>
    <xf numFmtId="17" fontId="6" fillId="6" borderId="18" xfId="0" applyNumberFormat="1" applyFont="1" applyFill="1" applyBorder="1"/>
    <xf numFmtId="0" fontId="6" fillId="6" borderId="19" xfId="0" applyFont="1" applyFill="1" applyBorder="1"/>
    <xf numFmtId="1" fontId="6" fillId="6" borderId="2" xfId="0" applyNumberFormat="1" applyFont="1" applyFill="1" applyBorder="1"/>
    <xf numFmtId="0" fontId="6" fillId="0" borderId="16" xfId="0" applyFont="1" applyBorder="1"/>
    <xf numFmtId="0" fontId="6" fillId="0" borderId="17" xfId="0" applyFont="1" applyBorder="1"/>
    <xf numFmtId="0" fontId="6" fillId="6" borderId="8" xfId="0" applyFont="1" applyFill="1" applyBorder="1"/>
    <xf numFmtId="0" fontId="6" fillId="0" borderId="0" xfId="0" applyFont="1" applyFill="1" applyBorder="1" applyAlignment="1">
      <alignment vertical="top" wrapText="1"/>
    </xf>
    <xf numFmtId="0" fontId="6" fillId="0" borderId="2" xfId="0" applyFont="1" applyBorder="1"/>
    <xf numFmtId="0" fontId="6" fillId="0" borderId="15" xfId="0" applyFont="1" applyBorder="1"/>
    <xf numFmtId="0" fontId="6" fillId="6" borderId="18" xfId="0" applyFont="1" applyFill="1" applyBorder="1"/>
    <xf numFmtId="0" fontId="6" fillId="0" borderId="8" xfId="0" applyFont="1" applyBorder="1"/>
    <xf numFmtId="0" fontId="1" fillId="7" borderId="37" xfId="0" applyFont="1" applyFill="1" applyBorder="1" applyAlignment="1">
      <alignment horizontal="center"/>
    </xf>
    <xf numFmtId="0" fontId="0" fillId="6" borderId="19" xfId="0" applyFont="1" applyFill="1" applyBorder="1" applyAlignment="1">
      <alignment vertical="top" wrapText="1"/>
    </xf>
    <xf numFmtId="0" fontId="0" fillId="6" borderId="2" xfId="0" applyFont="1" applyFill="1" applyBorder="1"/>
    <xf numFmtId="0" fontId="0" fillId="8" borderId="2" xfId="0" applyFont="1" applyFill="1" applyBorder="1" applyAlignment="1">
      <alignment vertical="center" wrapText="1"/>
    </xf>
    <xf numFmtId="0" fontId="0" fillId="6" borderId="8" xfId="0" applyFont="1" applyFill="1" applyBorder="1"/>
    <xf numFmtId="43" fontId="0" fillId="9" borderId="18" xfId="1" applyFont="1" applyFill="1" applyBorder="1" applyAlignment="1">
      <alignment vertical="top"/>
    </xf>
    <xf numFmtId="0" fontId="0" fillId="6" borderId="2" xfId="0" applyNumberFormat="1" applyFont="1" applyFill="1" applyBorder="1" applyAlignment="1">
      <alignment wrapText="1"/>
    </xf>
    <xf numFmtId="164" fontId="0" fillId="6" borderId="8" xfId="0" applyNumberFormat="1" applyFont="1" applyFill="1" applyBorder="1" applyAlignment="1">
      <alignment horizontal="right" wrapText="1"/>
    </xf>
    <xf numFmtId="0" fontId="0" fillId="8" borderId="8" xfId="0" applyFont="1" applyFill="1" applyBorder="1" applyAlignment="1">
      <alignment vertical="center" wrapText="1"/>
    </xf>
    <xf numFmtId="0" fontId="0" fillId="6" borderId="8" xfId="0" applyFont="1" applyFill="1" applyBorder="1"/>
    <xf numFmtId="0" fontId="1" fillId="7" borderId="37" xfId="0" applyFont="1" applyFill="1" applyBorder="1" applyAlignment="1">
      <alignment horizontal="center"/>
    </xf>
    <xf numFmtId="0" fontId="0" fillId="0" borderId="6" xfId="0" applyBorder="1"/>
    <xf numFmtId="0" fontId="0" fillId="2" borderId="2" xfId="0" applyFont="1" applyFill="1" applyBorder="1" applyAlignment="1">
      <alignment vertical="top"/>
    </xf>
    <xf numFmtId="0" fontId="0" fillId="6" borderId="2" xfId="0" applyFont="1" applyFill="1" applyBorder="1" applyAlignment="1">
      <alignment vertical="top"/>
    </xf>
    <xf numFmtId="0" fontId="0" fillId="6" borderId="2" xfId="0" applyFont="1" applyFill="1" applyBorder="1"/>
    <xf numFmtId="0" fontId="0" fillId="6" borderId="8" xfId="0" applyFont="1" applyFill="1" applyBorder="1"/>
    <xf numFmtId="0" fontId="0" fillId="2" borderId="19" xfId="0" applyFont="1" applyFill="1" applyBorder="1"/>
    <xf numFmtId="43" fontId="0" fillId="2" borderId="59" xfId="0" applyNumberFormat="1" applyFill="1" applyBorder="1" applyAlignment="1"/>
    <xf numFmtId="43" fontId="0" fillId="2" borderId="60" xfId="0" applyNumberFormat="1" applyFill="1" applyBorder="1" applyAlignment="1"/>
    <xf numFmtId="0" fontId="0" fillId="7" borderId="22" xfId="0" applyFont="1" applyFill="1" applyBorder="1"/>
    <xf numFmtId="0" fontId="2" fillId="7" borderId="0" xfId="0" applyFont="1" applyFill="1" applyBorder="1" applyAlignment="1">
      <alignment vertical="top" wrapText="1"/>
    </xf>
    <xf numFmtId="2" fontId="0" fillId="7" borderId="0" xfId="0" applyNumberFormat="1" applyFont="1" applyFill="1" applyBorder="1" applyAlignment="1">
      <alignment vertical="top"/>
    </xf>
    <xf numFmtId="0" fontId="0" fillId="7" borderId="0" xfId="0" applyFont="1" applyFill="1" applyBorder="1" applyAlignment="1">
      <alignment vertical="top"/>
    </xf>
    <xf numFmtId="0" fontId="0" fillId="7" borderId="0" xfId="0" applyFont="1" applyFill="1" applyBorder="1" applyAlignment="1">
      <alignment vertical="top" wrapText="1"/>
    </xf>
    <xf numFmtId="0" fontId="0" fillId="7" borderId="2" xfId="0" applyFill="1" applyBorder="1" applyAlignment="1">
      <alignment wrapText="1"/>
    </xf>
    <xf numFmtId="0" fontId="0" fillId="11" borderId="8" xfId="0" applyFill="1" applyBorder="1"/>
    <xf numFmtId="0" fontId="0" fillId="6" borderId="18" xfId="0" applyFont="1" applyFill="1" applyBorder="1" applyAlignment="1">
      <alignment wrapText="1"/>
    </xf>
    <xf numFmtId="17" fontId="0" fillId="6" borderId="30" xfId="0" applyNumberFormat="1" applyFont="1" applyFill="1" applyBorder="1"/>
    <xf numFmtId="164" fontId="0" fillId="6" borderId="19" xfId="1" applyNumberFormat="1" applyFont="1" applyFill="1" applyBorder="1" applyAlignment="1">
      <alignment wrapText="1"/>
    </xf>
    <xf numFmtId="0" fontId="0" fillId="0" borderId="39" xfId="0" applyFont="1" applyBorder="1" applyAlignment="1">
      <alignment vertical="top" wrapText="1"/>
    </xf>
    <xf numFmtId="0" fontId="0" fillId="0" borderId="62" xfId="0" applyFont="1" applyBorder="1"/>
    <xf numFmtId="17" fontId="5" fillId="2" borderId="18" xfId="0" applyNumberFormat="1" applyFont="1" applyFill="1" applyBorder="1" applyAlignment="1">
      <alignment vertical="center" wrapText="1"/>
    </xf>
    <xf numFmtId="43" fontId="6" fillId="2" borderId="28" xfId="0" applyNumberFormat="1" applyFont="1" applyFill="1" applyBorder="1" applyAlignment="1"/>
    <xf numFmtId="43" fontId="6" fillId="9" borderId="2" xfId="0" applyNumberFormat="1" applyFont="1" applyFill="1" applyBorder="1" applyAlignment="1"/>
    <xf numFmtId="0" fontId="0" fillId="2" borderId="37" xfId="0" applyFill="1" applyBorder="1"/>
    <xf numFmtId="0" fontId="0" fillId="0" borderId="3" xfId="0" applyFill="1" applyBorder="1" applyAlignment="1">
      <alignment wrapText="1"/>
    </xf>
    <xf numFmtId="0" fontId="0" fillId="6" borderId="18" xfId="0" applyFont="1" applyFill="1" applyBorder="1" applyAlignment="1">
      <alignment vertical="top" wrapText="1"/>
    </xf>
    <xf numFmtId="0" fontId="0" fillId="6" borderId="19" xfId="0" applyFont="1" applyFill="1" applyBorder="1" applyAlignment="1">
      <alignment vertical="top" wrapText="1"/>
    </xf>
    <xf numFmtId="0" fontId="0" fillId="6" borderId="8" xfId="0" applyFont="1" applyFill="1" applyBorder="1" applyAlignment="1">
      <alignment vertical="top" wrapText="1"/>
    </xf>
    <xf numFmtId="0" fontId="0" fillId="6" borderId="8" xfId="0" applyFont="1" applyFill="1" applyBorder="1"/>
    <xf numFmtId="43" fontId="0" fillId="6" borderId="18" xfId="0" applyNumberFormat="1" applyFill="1" applyBorder="1"/>
    <xf numFmtId="43" fontId="0" fillId="6" borderId="19" xfId="0" applyNumberFormat="1" applyFill="1" applyBorder="1"/>
    <xf numFmtId="43" fontId="0" fillId="6" borderId="8" xfId="0" applyNumberFormat="1" applyFill="1" applyBorder="1"/>
    <xf numFmtId="0" fontId="0" fillId="7" borderId="63" xfId="0" applyFill="1" applyBorder="1"/>
    <xf numFmtId="0" fontId="0" fillId="7" borderId="63" xfId="0" applyFill="1" applyBorder="1" applyAlignment="1">
      <alignment horizontal="center" vertical="center"/>
    </xf>
    <xf numFmtId="0" fontId="0" fillId="7" borderId="5" xfId="0" applyFill="1" applyBorder="1" applyAlignment="1">
      <alignment horizontal="center" vertical="center"/>
    </xf>
    <xf numFmtId="0" fontId="1" fillId="7" borderId="16"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0" fillId="2" borderId="19" xfId="0" applyFont="1" applyFill="1" applyBorder="1"/>
    <xf numFmtId="0" fontId="0" fillId="2" borderId="8" xfId="0" applyFont="1" applyFill="1" applyBorder="1"/>
    <xf numFmtId="43" fontId="0" fillId="6" borderId="14" xfId="0" applyNumberFormat="1" applyFill="1" applyBorder="1"/>
    <xf numFmtId="43" fontId="0" fillId="6" borderId="7" xfId="0" applyNumberFormat="1" applyFill="1" applyBorder="1"/>
    <xf numFmtId="43" fontId="0" fillId="6" borderId="23" xfId="0" applyNumberFormat="1" applyFill="1" applyBorder="1"/>
    <xf numFmtId="0" fontId="1" fillId="7" borderId="14" xfId="0" applyFont="1" applyFill="1" applyBorder="1" applyAlignment="1">
      <alignment horizontal="center"/>
    </xf>
    <xf numFmtId="0" fontId="0" fillId="6" borderId="30" xfId="0" applyFont="1" applyFill="1" applyBorder="1" applyAlignment="1">
      <alignment wrapText="1"/>
    </xf>
    <xf numFmtId="1" fontId="0" fillId="6" borderId="8" xfId="0" applyNumberFormat="1" applyFont="1" applyFill="1" applyBorder="1" applyAlignment="1">
      <alignment wrapText="1"/>
    </xf>
    <xf numFmtId="164" fontId="0" fillId="6" borderId="8" xfId="1" applyNumberFormat="1" applyFont="1" applyFill="1" applyBorder="1" applyAlignment="1">
      <alignment wrapText="1"/>
    </xf>
    <xf numFmtId="0" fontId="0" fillId="6" borderId="0" xfId="0" applyFont="1" applyFill="1" applyBorder="1" applyAlignment="1"/>
    <xf numFmtId="0" fontId="0" fillId="6" borderId="0" xfId="0" applyFont="1" applyFill="1" applyBorder="1" applyAlignment="1">
      <alignment wrapText="1"/>
    </xf>
    <xf numFmtId="0" fontId="0" fillId="6" borderId="38" xfId="0" applyFont="1" applyFill="1" applyBorder="1" applyAlignment="1">
      <alignment wrapText="1"/>
    </xf>
    <xf numFmtId="0" fontId="0" fillId="6" borderId="30" xfId="0" applyFont="1" applyFill="1" applyBorder="1" applyAlignment="1"/>
    <xf numFmtId="3" fontId="0" fillId="6" borderId="8" xfId="0" applyNumberFormat="1" applyFont="1" applyFill="1" applyBorder="1" applyAlignment="1">
      <alignment wrapText="1"/>
    </xf>
    <xf numFmtId="0" fontId="0" fillId="6" borderId="38" xfId="0" applyFont="1" applyFill="1" applyBorder="1" applyAlignment="1"/>
    <xf numFmtId="0" fontId="0" fillId="6" borderId="23" xfId="0" applyFont="1" applyFill="1" applyBorder="1" applyAlignment="1"/>
    <xf numFmtId="0" fontId="0" fillId="6" borderId="26" xfId="0" applyFont="1" applyFill="1" applyBorder="1" applyAlignment="1"/>
    <xf numFmtId="0" fontId="0" fillId="6" borderId="19" xfId="0" applyFont="1" applyFill="1" applyBorder="1" applyAlignment="1">
      <alignment horizontal="center" vertical="center" wrapText="1"/>
    </xf>
    <xf numFmtId="0" fontId="0" fillId="7" borderId="18" xfId="0" applyFont="1" applyFill="1" applyBorder="1" applyAlignment="1">
      <alignment vertical="top" wrapText="1"/>
    </xf>
    <xf numFmtId="0" fontId="0" fillId="7" borderId="19" xfId="0" applyFont="1" applyFill="1" applyBorder="1" applyAlignment="1">
      <alignment vertical="top" wrapText="1"/>
    </xf>
    <xf numFmtId="0" fontId="0" fillId="7" borderId="8" xfId="0" applyFont="1" applyFill="1" applyBorder="1" applyAlignment="1">
      <alignment vertical="top" wrapText="1"/>
    </xf>
    <xf numFmtId="0" fontId="0" fillId="7" borderId="0" xfId="0" applyFill="1"/>
    <xf numFmtId="0" fontId="0" fillId="7" borderId="2" xfId="0" applyFill="1" applyBorder="1"/>
    <xf numFmtId="2" fontId="0" fillId="7" borderId="32" xfId="0" applyNumberFormat="1" applyFont="1" applyFill="1" applyBorder="1" applyAlignment="1">
      <alignment vertical="top"/>
    </xf>
    <xf numFmtId="0" fontId="0" fillId="7" borderId="27" xfId="0" applyFont="1" applyFill="1" applyBorder="1" applyAlignment="1">
      <alignment vertical="top"/>
    </xf>
    <xf numFmtId="2" fontId="0" fillId="7" borderId="32" xfId="0" applyNumberFormat="1" applyFont="1" applyFill="1" applyBorder="1" applyAlignment="1">
      <alignment horizontal="left" vertical="top"/>
    </xf>
    <xf numFmtId="0" fontId="0" fillId="7" borderId="27" xfId="0" applyFont="1" applyFill="1" applyBorder="1" applyAlignment="1">
      <alignment horizontal="left" vertical="top"/>
    </xf>
    <xf numFmtId="0" fontId="0" fillId="7" borderId="0" xfId="0" applyFont="1" applyFill="1" applyBorder="1" applyAlignment="1">
      <alignment horizontal="left" vertical="top" wrapText="1"/>
    </xf>
    <xf numFmtId="0" fontId="0" fillId="7" borderId="2" xfId="0" applyFill="1" applyBorder="1" applyAlignment="1">
      <alignment horizontal="left" vertical="top"/>
    </xf>
    <xf numFmtId="0" fontId="0" fillId="6" borderId="31" xfId="0" applyFont="1" applyFill="1" applyBorder="1" applyAlignment="1"/>
    <xf numFmtId="0" fontId="0" fillId="6" borderId="7" xfId="0" applyFont="1" applyFill="1" applyBorder="1" applyAlignment="1"/>
    <xf numFmtId="0" fontId="0" fillId="6" borderId="14" xfId="0" applyFont="1" applyFill="1" applyBorder="1" applyAlignment="1">
      <alignment horizontal="left" vertical="center"/>
    </xf>
    <xf numFmtId="0" fontId="0" fillId="6" borderId="37" xfId="0" applyFont="1" applyFill="1" applyBorder="1" applyAlignment="1"/>
    <xf numFmtId="0" fontId="1" fillId="0" borderId="8" xfId="0" applyFont="1" applyFill="1" applyBorder="1" applyAlignment="1">
      <alignment vertical="top" wrapText="1"/>
    </xf>
    <xf numFmtId="17" fontId="0" fillId="6" borderId="48" xfId="0" applyNumberFormat="1" applyFont="1" applyFill="1" applyBorder="1"/>
    <xf numFmtId="0" fontId="0" fillId="6" borderId="14" xfId="0" applyFont="1" applyFill="1" applyBorder="1" applyAlignment="1">
      <alignment wrapText="1"/>
    </xf>
    <xf numFmtId="0" fontId="0" fillId="6" borderId="31" xfId="0" applyFont="1" applyFill="1" applyBorder="1" applyAlignment="1">
      <alignment wrapText="1"/>
    </xf>
    <xf numFmtId="0" fontId="0" fillId="6" borderId="7" xfId="0" applyFont="1" applyFill="1" applyBorder="1" applyAlignment="1">
      <alignment wrapText="1"/>
    </xf>
    <xf numFmtId="9" fontId="0" fillId="6" borderId="23" xfId="0" applyNumberFormat="1" applyFont="1" applyFill="1" applyBorder="1" applyAlignment="1">
      <alignment wrapText="1"/>
    </xf>
    <xf numFmtId="9" fontId="0" fillId="6" borderId="37" xfId="0" applyNumberFormat="1" applyFont="1" applyFill="1" applyBorder="1" applyAlignment="1">
      <alignment wrapText="1"/>
    </xf>
    <xf numFmtId="9" fontId="0" fillId="6" borderId="26" xfId="0" applyNumberFormat="1" applyFont="1" applyFill="1" applyBorder="1" applyAlignment="1">
      <alignment wrapText="1"/>
    </xf>
    <xf numFmtId="0" fontId="0" fillId="0" borderId="64" xfId="0" applyBorder="1"/>
    <xf numFmtId="43" fontId="1" fillId="13" borderId="2" xfId="1" applyFont="1" applyFill="1" applyBorder="1" applyAlignment="1">
      <alignment horizontal="center"/>
    </xf>
    <xf numFmtId="43" fontId="1" fillId="13" borderId="13" xfId="1" applyFont="1" applyFill="1" applyBorder="1" applyAlignment="1">
      <alignment horizontal="center"/>
    </xf>
    <xf numFmtId="0" fontId="6" fillId="6" borderId="7" xfId="0" applyFont="1" applyFill="1" applyBorder="1"/>
    <xf numFmtId="0" fontId="6" fillId="6" borderId="23" xfId="0" applyFont="1" applyFill="1" applyBorder="1"/>
    <xf numFmtId="0" fontId="0" fillId="2" borderId="35" xfId="0" applyFill="1" applyBorder="1"/>
    <xf numFmtId="0" fontId="6" fillId="6" borderId="14" xfId="0" applyFont="1" applyFill="1" applyBorder="1"/>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0" fillId="0" borderId="72" xfId="0" applyBorder="1" applyAlignment="1">
      <alignment vertical="top" wrapText="1"/>
    </xf>
    <xf numFmtId="0" fontId="10" fillId="0" borderId="72" xfId="0" applyFont="1" applyBorder="1" applyAlignment="1">
      <alignment horizontal="center" vertical="center" wrapText="1"/>
    </xf>
    <xf numFmtId="0" fontId="10" fillId="0" borderId="69" xfId="0" applyFont="1" applyBorder="1" applyAlignment="1">
      <alignment horizontal="center" vertical="center" wrapText="1"/>
    </xf>
    <xf numFmtId="0" fontId="12" fillId="0" borderId="72" xfId="0" applyFont="1" applyBorder="1" applyAlignment="1">
      <alignment horizontal="center" vertical="center" wrapText="1"/>
    </xf>
    <xf numFmtId="0" fontId="8" fillId="0" borderId="0" xfId="0" applyFont="1" applyAlignment="1">
      <alignment vertical="center" wrapText="1"/>
    </xf>
    <xf numFmtId="2" fontId="0" fillId="0" borderId="0" xfId="0" applyNumberFormat="1"/>
    <xf numFmtId="43" fontId="0" fillId="0" borderId="0" xfId="1" applyFont="1"/>
    <xf numFmtId="0" fontId="0" fillId="4" borderId="19" xfId="0" applyFont="1" applyFill="1" applyBorder="1" applyAlignment="1">
      <alignment vertical="top" wrapText="1"/>
    </xf>
    <xf numFmtId="0" fontId="0" fillId="4" borderId="8" xfId="0" applyFont="1" applyFill="1" applyBorder="1" applyAlignment="1">
      <alignment vertical="top" wrapText="1"/>
    </xf>
    <xf numFmtId="0" fontId="0" fillId="6" borderId="19" xfId="0" applyFont="1" applyFill="1" applyBorder="1" applyAlignment="1">
      <alignment vertical="top" wrapText="1"/>
    </xf>
    <xf numFmtId="0" fontId="0" fillId="6" borderId="8" xfId="0" applyFont="1" applyFill="1" applyBorder="1" applyAlignment="1">
      <alignment vertical="top" wrapText="1"/>
    </xf>
    <xf numFmtId="0" fontId="0" fillId="6" borderId="8" xfId="0" applyFont="1" applyFill="1" applyBorder="1"/>
    <xf numFmtId="0" fontId="0" fillId="10" borderId="44" xfId="0" applyFont="1" applyFill="1" applyBorder="1"/>
    <xf numFmtId="43" fontId="0" fillId="10" borderId="44" xfId="1" applyNumberFormat="1" applyFont="1" applyFill="1" applyBorder="1"/>
    <xf numFmtId="0" fontId="13" fillId="6" borderId="2" xfId="0" applyFont="1" applyFill="1" applyBorder="1" applyAlignment="1">
      <alignment wrapText="1"/>
    </xf>
    <xf numFmtId="0" fontId="13" fillId="2" borderId="2" xfId="0" applyFont="1" applyFill="1" applyBorder="1"/>
    <xf numFmtId="0" fontId="13" fillId="0" borderId="0" xfId="0" applyFont="1"/>
    <xf numFmtId="0" fontId="15" fillId="0" borderId="2" xfId="0" applyFont="1" applyBorder="1" applyAlignment="1">
      <alignment horizontal="center" vertical="center"/>
    </xf>
    <xf numFmtId="0" fontId="14" fillId="0" borderId="2" xfId="0" applyFont="1" applyBorder="1" applyAlignment="1">
      <alignment vertical="top" wrapText="1"/>
    </xf>
    <xf numFmtId="0" fontId="14" fillId="0" borderId="2" xfId="0" applyFont="1" applyFill="1" applyBorder="1" applyAlignment="1">
      <alignment vertical="center" wrapText="1"/>
    </xf>
    <xf numFmtId="0" fontId="14" fillId="2" borderId="2" xfId="0" applyFont="1" applyFill="1" applyBorder="1" applyAlignment="1">
      <alignment vertical="top" wrapText="1"/>
    </xf>
    <xf numFmtId="0" fontId="14" fillId="6" borderId="2" xfId="0" applyFont="1" applyFill="1" applyBorder="1" applyAlignment="1">
      <alignment wrapText="1"/>
    </xf>
    <xf numFmtId="0" fontId="14" fillId="6" borderId="2" xfId="0" applyFont="1" applyFill="1" applyBorder="1" applyAlignment="1">
      <alignment vertical="top" wrapText="1"/>
    </xf>
    <xf numFmtId="43" fontId="14" fillId="9" borderId="2" xfId="1" applyFont="1" applyFill="1" applyBorder="1" applyAlignment="1">
      <alignment vertical="top"/>
    </xf>
    <xf numFmtId="2" fontId="14" fillId="0" borderId="2" xfId="0" applyNumberFormat="1" applyFont="1" applyFill="1" applyBorder="1" applyAlignment="1">
      <alignment horizontal="left" vertical="top" wrapText="1"/>
    </xf>
    <xf numFmtId="0" fontId="14" fillId="0" borderId="2" xfId="0" applyFont="1" applyBorder="1" applyAlignment="1">
      <alignment horizontal="left" vertical="top" wrapText="1"/>
    </xf>
    <xf numFmtId="0" fontId="1" fillId="7" borderId="7" xfId="0" applyFont="1" applyFill="1" applyBorder="1" applyAlignment="1">
      <alignment horizontal="center" wrapText="1"/>
    </xf>
    <xf numFmtId="0" fontId="1" fillId="7" borderId="23" xfId="0" applyFont="1" applyFill="1" applyBorder="1" applyAlignment="1">
      <alignment horizontal="center" wrapText="1"/>
    </xf>
    <xf numFmtId="0" fontId="0" fillId="0" borderId="34" xfId="0" applyFont="1" applyBorder="1" applyAlignment="1">
      <alignment vertical="top" wrapText="1"/>
    </xf>
    <xf numFmtId="0" fontId="0" fillId="0" borderId="29" xfId="0" applyFont="1" applyBorder="1" applyAlignment="1">
      <alignment vertical="top" wrapText="1"/>
    </xf>
    <xf numFmtId="0" fontId="0" fillId="0" borderId="35" xfId="0" applyFont="1" applyBorder="1" applyAlignment="1">
      <alignment vertical="top" wrapText="1"/>
    </xf>
    <xf numFmtId="0" fontId="0" fillId="6" borderId="18" xfId="0" applyFont="1" applyFill="1" applyBorder="1" applyAlignment="1">
      <alignment horizontal="left" vertical="top" wrapText="1"/>
    </xf>
    <xf numFmtId="0" fontId="0" fillId="6" borderId="19"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18" xfId="0" applyFont="1" applyFill="1" applyBorder="1"/>
    <xf numFmtId="0" fontId="0" fillId="6" borderId="19" xfId="0" applyFont="1" applyFill="1" applyBorder="1"/>
    <xf numFmtId="0" fontId="0" fillId="6" borderId="8" xfId="0" applyFont="1" applyFill="1" applyBorder="1"/>
    <xf numFmtId="0" fontId="0" fillId="0" borderId="24" xfId="0" applyFont="1" applyBorder="1" applyAlignment="1">
      <alignment vertical="top" wrapText="1"/>
    </xf>
    <xf numFmtId="0" fontId="0" fillId="0" borderId="19" xfId="0" applyFont="1" applyBorder="1" applyAlignment="1">
      <alignment vertical="top" wrapText="1"/>
    </xf>
    <xf numFmtId="0" fontId="0" fillId="0" borderId="25" xfId="0" applyFont="1" applyBorder="1" applyAlignment="1">
      <alignment vertical="top" wrapText="1"/>
    </xf>
    <xf numFmtId="0" fontId="0" fillId="0" borderId="8" xfId="0" applyFont="1" applyFill="1" applyBorder="1" applyAlignment="1">
      <alignment vertical="center" wrapText="1"/>
    </xf>
    <xf numFmtId="0" fontId="0" fillId="0" borderId="2" xfId="0" applyFont="1" applyFill="1" applyBorder="1" applyAlignment="1">
      <alignment vertical="center" wrapText="1"/>
    </xf>
    <xf numFmtId="0" fontId="0" fillId="6" borderId="2" xfId="0" applyFont="1" applyFill="1" applyBorder="1"/>
    <xf numFmtId="0" fontId="0" fillId="6" borderId="18" xfId="0" applyFont="1" applyFill="1" applyBorder="1" applyAlignment="1">
      <alignment horizontal="center" wrapText="1"/>
    </xf>
    <xf numFmtId="0" fontId="0" fillId="6" borderId="19" xfId="0" applyFont="1" applyFill="1" applyBorder="1" applyAlignment="1">
      <alignment horizontal="center" wrapText="1"/>
    </xf>
    <xf numFmtId="0" fontId="0" fillId="6" borderId="8" xfId="0" applyFont="1" applyFill="1" applyBorder="1" applyAlignment="1">
      <alignment horizontal="center" wrapText="1"/>
    </xf>
    <xf numFmtId="43" fontId="0" fillId="13" borderId="2" xfId="1" applyFont="1" applyFill="1" applyBorder="1" applyAlignment="1">
      <alignment vertical="top"/>
    </xf>
    <xf numFmtId="17" fontId="0" fillId="6" borderId="8" xfId="0" applyNumberFormat="1" applyFont="1" applyFill="1" applyBorder="1" applyAlignment="1">
      <alignment vertical="top"/>
    </xf>
    <xf numFmtId="0" fontId="0" fillId="6" borderId="2" xfId="0" applyNumberFormat="1" applyFont="1" applyFill="1" applyBorder="1" applyAlignment="1">
      <alignment vertical="top"/>
    </xf>
    <xf numFmtId="43" fontId="0" fillId="9" borderId="8" xfId="1" applyFont="1" applyFill="1" applyBorder="1" applyAlignment="1">
      <alignment vertical="top"/>
    </xf>
    <xf numFmtId="43" fontId="0" fillId="9" borderId="2" xfId="1" applyFont="1" applyFill="1" applyBorder="1" applyAlignment="1">
      <alignment vertical="top"/>
    </xf>
    <xf numFmtId="17" fontId="0" fillId="6" borderId="18" xfId="0" applyNumberFormat="1" applyFont="1" applyFill="1" applyBorder="1" applyAlignment="1">
      <alignment horizontal="center" wrapText="1"/>
    </xf>
    <xf numFmtId="17" fontId="0" fillId="6" borderId="19" xfId="0" applyNumberFormat="1" applyFont="1" applyFill="1" applyBorder="1" applyAlignment="1">
      <alignment horizontal="center" wrapText="1"/>
    </xf>
    <xf numFmtId="0" fontId="0" fillId="4" borderId="18" xfId="0" applyFont="1" applyFill="1" applyBorder="1" applyAlignment="1">
      <alignment horizontal="left" vertical="top" wrapText="1"/>
    </xf>
    <xf numFmtId="0" fontId="0" fillId="4" borderId="19" xfId="0" applyFont="1" applyFill="1" applyBorder="1" applyAlignment="1">
      <alignment horizontal="left" vertical="top" wrapText="1"/>
    </xf>
    <xf numFmtId="0" fontId="0" fillId="4" borderId="8" xfId="0" applyFont="1" applyFill="1" applyBorder="1" applyAlignment="1">
      <alignment horizontal="left" vertical="top" wrapText="1"/>
    </xf>
    <xf numFmtId="43" fontId="0" fillId="13" borderId="27" xfId="1" applyFont="1" applyFill="1" applyBorder="1" applyAlignment="1">
      <alignment vertical="top"/>
    </xf>
    <xf numFmtId="0" fontId="0" fillId="0" borderId="36" xfId="0" applyFont="1" applyFill="1" applyBorder="1" applyAlignment="1">
      <alignment vertical="top" wrapText="1"/>
    </xf>
    <xf numFmtId="0" fontId="0" fillId="0" borderId="0" xfId="0" applyFont="1" applyFill="1" applyBorder="1" applyAlignment="1">
      <alignmen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8" xfId="0" applyBorder="1" applyAlignment="1">
      <alignment horizontal="left" vertical="top"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6" borderId="19" xfId="0" applyFont="1" applyFill="1" applyBorder="1" applyAlignment="1">
      <alignment horizontal="center"/>
    </xf>
    <xf numFmtId="43" fontId="0" fillId="9" borderId="18" xfId="1" applyFont="1" applyFill="1" applyBorder="1" applyAlignment="1">
      <alignment vertical="top"/>
    </xf>
    <xf numFmtId="43" fontId="0" fillId="9" borderId="19" xfId="1" applyFont="1" applyFill="1" applyBorder="1" applyAlignment="1">
      <alignment vertical="top"/>
    </xf>
    <xf numFmtId="17" fontId="0" fillId="6" borderId="18" xfId="0" applyNumberFormat="1" applyFont="1" applyFill="1" applyBorder="1" applyAlignment="1">
      <alignment vertical="top"/>
    </xf>
    <xf numFmtId="17" fontId="0" fillId="6" borderId="19" xfId="0" applyNumberFormat="1" applyFont="1" applyFill="1" applyBorder="1" applyAlignment="1">
      <alignment vertical="top"/>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6" borderId="2" xfId="0" applyFont="1" applyFill="1" applyBorder="1" applyAlignment="1">
      <alignment vertical="top"/>
    </xf>
    <xf numFmtId="0" fontId="1" fillId="7" borderId="32" xfId="0" applyFont="1" applyFill="1" applyBorder="1" applyAlignment="1">
      <alignment horizontal="left"/>
    </xf>
    <xf numFmtId="0" fontId="0" fillId="0" borderId="2" xfId="0" applyBorder="1" applyAlignment="1">
      <alignment horizontal="left" vertical="top" wrapText="1"/>
    </xf>
    <xf numFmtId="0" fontId="0" fillId="2" borderId="2" xfId="0" applyFont="1" applyFill="1" applyBorder="1"/>
    <xf numFmtId="0" fontId="0" fillId="4" borderId="18" xfId="0" applyFont="1" applyFill="1" applyBorder="1" applyAlignment="1">
      <alignment vertical="top" wrapText="1"/>
    </xf>
    <xf numFmtId="0" fontId="0" fillId="4" borderId="19" xfId="0" applyFont="1" applyFill="1" applyBorder="1" applyAlignment="1">
      <alignment vertical="top" wrapText="1"/>
    </xf>
    <xf numFmtId="0" fontId="0" fillId="4" borderId="8" xfId="0" applyFont="1" applyFill="1" applyBorder="1" applyAlignment="1">
      <alignment vertical="top" wrapText="1"/>
    </xf>
    <xf numFmtId="0" fontId="0" fillId="0" borderId="36" xfId="0" applyFont="1" applyBorder="1" applyAlignment="1">
      <alignment vertical="top" wrapText="1"/>
    </xf>
    <xf numFmtId="0" fontId="0" fillId="0" borderId="0" xfId="0" applyFont="1" applyBorder="1" applyAlignment="1">
      <alignment vertical="top" wrapText="1"/>
    </xf>
    <xf numFmtId="0" fontId="0" fillId="0" borderId="1" xfId="0" applyFont="1" applyBorder="1" applyAlignment="1">
      <alignment vertical="top" wrapText="1"/>
    </xf>
    <xf numFmtId="43" fontId="0" fillId="0" borderId="8" xfId="1" applyFont="1" applyFill="1" applyBorder="1" applyAlignment="1">
      <alignment vertical="top"/>
    </xf>
    <xf numFmtId="43" fontId="0" fillId="0" borderId="2" xfId="1" applyFont="1" applyFill="1" applyBorder="1" applyAlignment="1">
      <alignment vertical="top"/>
    </xf>
    <xf numFmtId="43" fontId="0" fillId="2" borderId="9" xfId="1" applyFont="1" applyFill="1" applyBorder="1" applyAlignment="1">
      <alignment vertical="top"/>
    </xf>
    <xf numFmtId="43" fontId="0" fillId="2" borderId="10" xfId="1" applyFont="1" applyFill="1" applyBorder="1" applyAlignment="1">
      <alignment vertical="top"/>
    </xf>
    <xf numFmtId="43" fontId="0" fillId="2" borderId="11" xfId="1" applyFont="1" applyFill="1" applyBorder="1" applyAlignment="1">
      <alignment vertical="top"/>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43" fontId="0" fillId="13" borderId="8" xfId="1" applyFont="1" applyFill="1" applyBorder="1" applyAlignment="1">
      <alignment vertical="top"/>
    </xf>
    <xf numFmtId="43" fontId="0" fillId="2" borderId="8" xfId="1" applyFont="1" applyFill="1" applyBorder="1" applyAlignment="1">
      <alignment vertical="top"/>
    </xf>
    <xf numFmtId="43" fontId="0" fillId="2" borderId="2" xfId="1" applyFont="1" applyFill="1" applyBorder="1" applyAlignment="1">
      <alignment vertical="top"/>
    </xf>
    <xf numFmtId="2" fontId="0" fillId="5" borderId="2" xfId="0" applyNumberFormat="1" applyFont="1" applyFill="1" applyBorder="1" applyAlignment="1">
      <alignment vertical="top"/>
    </xf>
    <xf numFmtId="0" fontId="0" fillId="6" borderId="18" xfId="0" applyFont="1" applyFill="1" applyBorder="1" applyAlignment="1">
      <alignment horizontal="center" vertical="top" wrapText="1"/>
    </xf>
    <xf numFmtId="0" fontId="0" fillId="6" borderId="19"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0" borderId="18" xfId="0" applyFont="1" applyBorder="1" applyAlignment="1">
      <alignment vertical="top" wrapText="1"/>
    </xf>
    <xf numFmtId="0" fontId="0" fillId="2" borderId="2" xfId="0" applyFont="1" applyFill="1" applyBorder="1" applyAlignment="1">
      <alignment vertical="top"/>
    </xf>
    <xf numFmtId="0" fontId="0" fillId="0" borderId="8" xfId="0" applyFont="1" applyBorder="1" applyAlignment="1">
      <alignment vertical="top" wrapText="1"/>
    </xf>
    <xf numFmtId="0" fontId="0" fillId="0" borderId="41" xfId="0" applyFont="1" applyBorder="1" applyAlignment="1">
      <alignment vertical="top" wrapText="1"/>
    </xf>
    <xf numFmtId="0" fontId="1" fillId="7" borderId="55" xfId="0" applyFont="1" applyFill="1" applyBorder="1" applyAlignment="1">
      <alignment horizontal="left"/>
    </xf>
    <xf numFmtId="0" fontId="1" fillId="7" borderId="56" xfId="0" applyFont="1" applyFill="1" applyBorder="1" applyAlignment="1">
      <alignment horizontal="left"/>
    </xf>
    <xf numFmtId="0" fontId="1" fillId="7" borderId="57" xfId="0" applyFont="1" applyFill="1" applyBorder="1" applyAlignment="1">
      <alignment horizontal="left"/>
    </xf>
    <xf numFmtId="43" fontId="0" fillId="0" borderId="18" xfId="1" applyFont="1" applyFill="1" applyBorder="1" applyAlignment="1">
      <alignment horizontal="left" vertical="top" wrapText="1"/>
    </xf>
    <xf numFmtId="43" fontId="0" fillId="0" borderId="19" xfId="1" applyFont="1" applyFill="1" applyBorder="1" applyAlignment="1">
      <alignment horizontal="left" vertical="top" wrapText="1"/>
    </xf>
    <xf numFmtId="43" fontId="0" fillId="0" borderId="8" xfId="1" applyFont="1" applyFill="1" applyBorder="1" applyAlignment="1">
      <alignment horizontal="left" vertical="top" wrapText="1"/>
    </xf>
    <xf numFmtId="0" fontId="0" fillId="6" borderId="14" xfId="0" applyFont="1" applyFill="1" applyBorder="1" applyAlignment="1">
      <alignment horizontal="center"/>
    </xf>
    <xf numFmtId="0" fontId="0" fillId="6" borderId="31" xfId="0" applyFont="1" applyFill="1" applyBorder="1" applyAlignment="1">
      <alignment horizontal="center"/>
    </xf>
    <xf numFmtId="0" fontId="0" fillId="6" borderId="38" xfId="0" applyFont="1" applyFill="1" applyBorder="1" applyAlignment="1">
      <alignment horizontal="center"/>
    </xf>
    <xf numFmtId="0" fontId="0" fillId="6" borderId="13" xfId="0" applyFont="1" applyFill="1" applyBorder="1" applyAlignment="1">
      <alignment horizontal="center"/>
    </xf>
    <xf numFmtId="0" fontId="0" fillId="6" borderId="32" xfId="0" applyFont="1" applyFill="1" applyBorder="1" applyAlignment="1">
      <alignment horizontal="center"/>
    </xf>
    <xf numFmtId="0" fontId="0" fillId="6" borderId="27" xfId="0" applyFont="1" applyFill="1" applyBorder="1" applyAlignment="1">
      <alignment horizontal="center"/>
    </xf>
    <xf numFmtId="0" fontId="0" fillId="6" borderId="2" xfId="0" applyNumberFormat="1" applyFont="1" applyFill="1" applyBorder="1" applyAlignment="1">
      <alignment vertical="center"/>
    </xf>
    <xf numFmtId="2" fontId="0" fillId="5" borderId="19" xfId="0" applyNumberFormat="1" applyFont="1" applyFill="1" applyBorder="1" applyAlignment="1">
      <alignment horizontal="center" vertical="center" wrapText="1"/>
    </xf>
    <xf numFmtId="2" fontId="0" fillId="5" borderId="8" xfId="0" applyNumberFormat="1" applyFont="1" applyFill="1" applyBorder="1" applyAlignment="1">
      <alignment horizontal="center" vertical="center" wrapText="1"/>
    </xf>
    <xf numFmtId="0" fontId="0" fillId="6" borderId="18" xfId="0" applyFont="1" applyFill="1" applyBorder="1" applyAlignment="1">
      <alignment vertical="top" wrapText="1"/>
    </xf>
    <xf numFmtId="0" fontId="0" fillId="6" borderId="19" xfId="0" applyFont="1" applyFill="1" applyBorder="1" applyAlignment="1">
      <alignment vertical="top" wrapText="1"/>
    </xf>
    <xf numFmtId="0" fontId="0" fillId="6" borderId="8" xfId="0" applyFont="1" applyFill="1" applyBorder="1" applyAlignment="1">
      <alignment vertical="top" wrapText="1"/>
    </xf>
    <xf numFmtId="0" fontId="14" fillId="6" borderId="18" xfId="0" applyFont="1" applyFill="1" applyBorder="1" applyAlignment="1">
      <alignment vertical="top" wrapText="1"/>
    </xf>
    <xf numFmtId="0" fontId="14" fillId="6" borderId="19" xfId="0" applyFont="1" applyFill="1" applyBorder="1" applyAlignment="1">
      <alignment vertical="top" wrapText="1"/>
    </xf>
    <xf numFmtId="0" fontId="14" fillId="6" borderId="8" xfId="0" applyFont="1" applyFill="1" applyBorder="1" applyAlignment="1">
      <alignment vertical="top" wrapText="1"/>
    </xf>
    <xf numFmtId="0" fontId="0" fillId="12" borderId="2" xfId="0" applyFont="1" applyFill="1" applyBorder="1" applyAlignment="1">
      <alignmen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2" borderId="18" xfId="0" applyFont="1" applyFill="1" applyBorder="1" applyAlignment="1">
      <alignment vertical="top" wrapText="1"/>
    </xf>
    <xf numFmtId="0" fontId="0" fillId="2" borderId="19" xfId="0" applyFont="1" applyFill="1" applyBorder="1" applyAlignment="1">
      <alignment vertical="top" wrapText="1"/>
    </xf>
    <xf numFmtId="0" fontId="0" fillId="0" borderId="40" xfId="0" applyBorder="1" applyAlignment="1">
      <alignment horizontal="left" vertical="top" wrapText="1"/>
    </xf>
    <xf numFmtId="0" fontId="0" fillId="0" borderId="29" xfId="0" applyBorder="1" applyAlignment="1">
      <alignment horizontal="left" vertical="top" wrapText="1"/>
    </xf>
    <xf numFmtId="0" fontId="0" fillId="0" borderId="41" xfId="0" applyBorder="1" applyAlignment="1">
      <alignment horizontal="left" vertical="top" wrapText="1"/>
    </xf>
    <xf numFmtId="0" fontId="14" fillId="0" borderId="40" xfId="0" applyFont="1" applyBorder="1" applyAlignment="1">
      <alignment horizontal="left" vertical="top" wrapText="1"/>
    </xf>
    <xf numFmtId="0" fontId="14" fillId="0" borderId="29" xfId="0" applyFont="1" applyBorder="1" applyAlignment="1">
      <alignment horizontal="left" vertical="top" wrapText="1"/>
    </xf>
    <xf numFmtId="0" fontId="14" fillId="0" borderId="41" xfId="0" applyFont="1" applyBorder="1" applyAlignment="1">
      <alignment horizontal="left" vertical="top" wrapText="1"/>
    </xf>
    <xf numFmtId="0" fontId="0" fillId="0" borderId="25" xfId="0" applyBorder="1" applyAlignment="1">
      <alignment horizontal="left" vertical="top" wrapText="1"/>
    </xf>
    <xf numFmtId="0" fontId="0" fillId="0" borderId="62" xfId="0" applyFont="1" applyBorder="1" applyAlignment="1">
      <alignment vertical="top" wrapText="1"/>
    </xf>
    <xf numFmtId="2" fontId="0" fillId="13" borderId="2" xfId="1" applyNumberFormat="1" applyFont="1" applyFill="1" applyBorder="1" applyAlignment="1">
      <alignment vertical="top"/>
    </xf>
    <xf numFmtId="43" fontId="0" fillId="2" borderId="18" xfId="1" applyFont="1" applyFill="1" applyBorder="1" applyAlignment="1">
      <alignment vertical="top"/>
    </xf>
    <xf numFmtId="2" fontId="0" fillId="0" borderId="15" xfId="0" applyNumberFormat="1" applyFont="1" applyFill="1" applyBorder="1" applyAlignment="1">
      <alignment horizontal="left" vertical="top" wrapText="1"/>
    </xf>
    <xf numFmtId="2" fontId="0" fillId="0" borderId="16" xfId="0" applyNumberFormat="1" applyFont="1" applyFill="1" applyBorder="1" applyAlignment="1">
      <alignment horizontal="left" vertical="top" wrapText="1"/>
    </xf>
    <xf numFmtId="2" fontId="0" fillId="0" borderId="39" xfId="0" applyNumberFormat="1" applyFont="1" applyFill="1" applyBorder="1" applyAlignment="1">
      <alignment horizontal="left" vertical="top" wrapText="1"/>
    </xf>
    <xf numFmtId="2" fontId="0" fillId="13" borderId="2" xfId="0" applyNumberFormat="1" applyFont="1" applyFill="1" applyBorder="1" applyAlignment="1">
      <alignment vertical="top"/>
    </xf>
    <xf numFmtId="0" fontId="0" fillId="6" borderId="14" xfId="0" applyFont="1" applyFill="1" applyBorder="1" applyAlignment="1">
      <alignment vertical="top" wrapText="1"/>
    </xf>
    <xf numFmtId="0" fontId="0" fillId="6" borderId="7" xfId="0" applyFont="1" applyFill="1" applyBorder="1" applyAlignment="1">
      <alignment vertical="top" wrapText="1"/>
    </xf>
    <xf numFmtId="0" fontId="1" fillId="7" borderId="13" xfId="0" applyFont="1" applyFill="1" applyBorder="1" applyAlignment="1">
      <alignment horizontal="left"/>
    </xf>
    <xf numFmtId="0" fontId="1" fillId="7" borderId="27" xfId="0" applyFont="1" applyFill="1" applyBorder="1" applyAlignment="1">
      <alignment horizontal="left"/>
    </xf>
    <xf numFmtId="0" fontId="0" fillId="0" borderId="24" xfId="0" applyBorder="1" applyAlignment="1">
      <alignment horizontal="left" vertical="top" wrapText="1"/>
    </xf>
    <xf numFmtId="43" fontId="0" fillId="2" borderId="58" xfId="1" applyFont="1" applyFill="1" applyBorder="1" applyAlignment="1">
      <alignment vertical="top"/>
    </xf>
    <xf numFmtId="2" fontId="0" fillId="0" borderId="65" xfId="0" applyNumberFormat="1" applyFont="1" applyFill="1" applyBorder="1" applyAlignment="1">
      <alignment horizontal="left" vertical="top" wrapText="1"/>
    </xf>
    <xf numFmtId="2" fontId="0" fillId="0" borderId="45" xfId="0" applyNumberFormat="1" applyFont="1" applyFill="1" applyBorder="1" applyAlignment="1">
      <alignment horizontal="left" vertical="top" wrapText="1"/>
    </xf>
    <xf numFmtId="2" fontId="0" fillId="0" borderId="66" xfId="0" applyNumberFormat="1" applyFont="1" applyFill="1" applyBorder="1" applyAlignment="1">
      <alignment horizontal="left" vertical="top" wrapText="1"/>
    </xf>
    <xf numFmtId="0" fontId="0" fillId="2" borderId="8" xfId="0" applyFont="1" applyFill="1" applyBorder="1" applyAlignment="1">
      <alignment vertical="top"/>
    </xf>
    <xf numFmtId="0" fontId="0" fillId="2" borderId="13" xfId="0" applyFont="1" applyFill="1" applyBorder="1" applyAlignment="1">
      <alignment vertical="top"/>
    </xf>
    <xf numFmtId="0" fontId="0" fillId="6" borderId="30"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2" borderId="8" xfId="0" applyFont="1" applyFill="1" applyBorder="1" applyAlignment="1">
      <alignment vertical="top" wrapText="1"/>
    </xf>
    <xf numFmtId="2" fontId="0" fillId="2" borderId="2" xfId="0" applyNumberFormat="1" applyFont="1" applyFill="1" applyBorder="1" applyAlignment="1">
      <alignment vertical="top"/>
    </xf>
    <xf numFmtId="2" fontId="0" fillId="2" borderId="12" xfId="0" applyNumberFormat="1" applyFont="1" applyFill="1" applyBorder="1" applyAlignment="1">
      <alignment vertical="top"/>
    </xf>
    <xf numFmtId="2" fontId="0" fillId="2" borderId="10" xfId="0" applyNumberFormat="1" applyFont="1" applyFill="1" applyBorder="1" applyAlignment="1">
      <alignment vertical="top"/>
    </xf>
    <xf numFmtId="2" fontId="0" fillId="2" borderId="11" xfId="0" applyNumberFormat="1" applyFont="1" applyFill="1" applyBorder="1" applyAlignment="1">
      <alignment vertical="top"/>
    </xf>
    <xf numFmtId="2" fontId="0" fillId="13" borderId="8" xfId="0" applyNumberFormat="1" applyFont="1" applyFill="1" applyBorder="1" applyAlignment="1">
      <alignment vertical="top"/>
    </xf>
    <xf numFmtId="2" fontId="0" fillId="13" borderId="12" xfId="0" applyNumberFormat="1" applyFont="1" applyFill="1" applyBorder="1" applyAlignment="1">
      <alignment vertical="top"/>
    </xf>
    <xf numFmtId="2" fontId="0" fillId="13" borderId="10" xfId="0" applyNumberFormat="1" applyFont="1" applyFill="1" applyBorder="1" applyAlignment="1">
      <alignment vertical="top"/>
    </xf>
    <xf numFmtId="2" fontId="0" fillId="13" borderId="11" xfId="0" applyNumberFormat="1" applyFont="1" applyFill="1" applyBorder="1" applyAlignment="1">
      <alignment vertical="top"/>
    </xf>
    <xf numFmtId="43" fontId="6" fillId="2" borderId="2" xfId="1" applyFont="1" applyFill="1" applyBorder="1" applyAlignment="1">
      <alignment vertical="top"/>
    </xf>
    <xf numFmtId="43" fontId="6" fillId="2" borderId="9" xfId="1" applyFont="1" applyFill="1" applyBorder="1" applyAlignment="1">
      <alignment vertical="top"/>
    </xf>
    <xf numFmtId="43" fontId="6" fillId="2" borderId="10" xfId="1" applyFont="1" applyFill="1" applyBorder="1" applyAlignment="1">
      <alignment vertical="top"/>
    </xf>
    <xf numFmtId="43" fontId="6" fillId="2" borderId="58" xfId="1" applyFont="1" applyFill="1" applyBorder="1" applyAlignment="1">
      <alignment vertical="top"/>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8" xfId="0" applyFont="1" applyBorder="1" applyAlignment="1">
      <alignment horizontal="left" vertical="top" wrapText="1"/>
    </xf>
    <xf numFmtId="2" fontId="0" fillId="6" borderId="8" xfId="0" applyNumberFormat="1" applyFont="1" applyFill="1" applyBorder="1" applyAlignment="1">
      <alignment vertical="top"/>
    </xf>
    <xf numFmtId="2" fontId="0" fillId="6" borderId="2" xfId="0" applyNumberFormat="1" applyFont="1" applyFill="1" applyBorder="1" applyAlignment="1">
      <alignment vertical="top"/>
    </xf>
    <xf numFmtId="2" fontId="5" fillId="2" borderId="2" xfId="0" applyNumberFormat="1" applyFont="1" applyFill="1" applyBorder="1" applyAlignment="1">
      <alignment vertical="top"/>
    </xf>
    <xf numFmtId="0" fontId="0" fillId="4" borderId="24" xfId="0" applyFont="1" applyFill="1" applyBorder="1" applyAlignment="1">
      <alignment vertical="top" wrapText="1"/>
    </xf>
    <xf numFmtId="17" fontId="0" fillId="6" borderId="18" xfId="0" applyNumberFormat="1" applyFont="1" applyFill="1" applyBorder="1" applyAlignment="1">
      <alignment horizontal="center" vertical="center" wrapText="1"/>
    </xf>
    <xf numFmtId="17" fontId="0" fillId="6" borderId="19" xfId="0" applyNumberFormat="1" applyFont="1" applyFill="1" applyBorder="1" applyAlignment="1">
      <alignment horizontal="center" vertical="center" wrapText="1"/>
    </xf>
    <xf numFmtId="17" fontId="0" fillId="6" borderId="8" xfId="0" applyNumberFormat="1" applyFont="1" applyFill="1" applyBorder="1" applyAlignment="1">
      <alignment horizontal="center" vertical="center"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2" fontId="0" fillId="0" borderId="18" xfId="0" applyNumberFormat="1" applyFont="1" applyFill="1" applyBorder="1" applyAlignment="1">
      <alignment vertical="top" wrapText="1"/>
    </xf>
    <xf numFmtId="2" fontId="0" fillId="0" borderId="19" xfId="0" applyNumberFormat="1" applyFont="1" applyFill="1" applyBorder="1" applyAlignment="1">
      <alignment vertical="top" wrapText="1"/>
    </xf>
    <xf numFmtId="2" fontId="0" fillId="0" borderId="8" xfId="0" applyNumberFormat="1" applyFont="1" applyFill="1" applyBorder="1" applyAlignment="1">
      <alignmen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2" xfId="0" applyFont="1" applyBorder="1" applyAlignment="1">
      <alignment horizontal="left" vertical="top" wrapText="1"/>
    </xf>
    <xf numFmtId="0" fontId="0" fillId="0" borderId="17" xfId="0" applyFont="1" applyBorder="1" applyAlignment="1">
      <alignment horizontal="left" vertical="top" wrapText="1"/>
    </xf>
    <xf numFmtId="0" fontId="1" fillId="7" borderId="19" xfId="0" applyFont="1" applyFill="1" applyBorder="1" applyAlignment="1">
      <alignment horizontal="center" wrapText="1"/>
    </xf>
    <xf numFmtId="0" fontId="1" fillId="7" borderId="8" xfId="0" applyFont="1" applyFill="1" applyBorder="1" applyAlignment="1">
      <alignment horizontal="center" wrapText="1"/>
    </xf>
    <xf numFmtId="0" fontId="0" fillId="2" borderId="13" xfId="0" applyFill="1" applyBorder="1" applyAlignment="1">
      <alignment horizontal="center" vertical="top" wrapText="1"/>
    </xf>
    <xf numFmtId="0" fontId="0" fillId="2" borderId="27" xfId="0" applyFill="1" applyBorder="1" applyAlignment="1">
      <alignment horizontal="center" vertical="top" wrapText="1"/>
    </xf>
    <xf numFmtId="0" fontId="0" fillId="10" borderId="2" xfId="0" applyFont="1" applyFill="1" applyBorder="1" applyAlignment="1">
      <alignment horizontal="left" vertical="top" wrapText="1"/>
    </xf>
    <xf numFmtId="0" fontId="0" fillId="2" borderId="2" xfId="0" applyFill="1" applyBorder="1" applyAlignment="1">
      <alignment horizontal="left" vertical="top" wrapText="1"/>
    </xf>
    <xf numFmtId="0" fontId="0" fillId="9" borderId="2" xfId="0" applyFill="1" applyBorder="1" applyAlignment="1">
      <alignment horizontal="left" vertical="top" wrapText="1"/>
    </xf>
    <xf numFmtId="0" fontId="0" fillId="0" borderId="1" xfId="0" applyFont="1" applyFill="1" applyBorder="1" applyAlignment="1">
      <alignment vertical="top" wrapText="1"/>
    </xf>
    <xf numFmtId="2" fontId="0" fillId="0" borderId="17" xfId="0" applyNumberFormat="1" applyFont="1" applyFill="1" applyBorder="1" applyAlignment="1">
      <alignment horizontal="left" vertical="top" wrapText="1"/>
    </xf>
    <xf numFmtId="0" fontId="0" fillId="3" borderId="18" xfId="0" applyFont="1" applyFill="1" applyBorder="1" applyAlignment="1">
      <alignment vertical="top" wrapText="1"/>
    </xf>
    <xf numFmtId="0" fontId="0" fillId="3" borderId="19" xfId="0" applyFont="1" applyFill="1" applyBorder="1" applyAlignment="1">
      <alignment vertical="top" wrapText="1"/>
    </xf>
    <xf numFmtId="0" fontId="0" fillId="3" borderId="8" xfId="0" applyFont="1" applyFill="1" applyBorder="1" applyAlignment="1">
      <alignment vertical="top" wrapText="1"/>
    </xf>
    <xf numFmtId="2" fontId="0" fillId="13" borderId="8" xfId="1" applyNumberFormat="1" applyFont="1" applyFill="1" applyBorder="1" applyAlignment="1">
      <alignment vertical="top"/>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8" xfId="0" applyFont="1" applyBorder="1" applyAlignment="1">
      <alignment horizontal="left" vertical="top" wrapText="1"/>
    </xf>
    <xf numFmtId="0" fontId="0" fillId="8" borderId="8" xfId="0" applyFont="1" applyFill="1" applyBorder="1" applyAlignment="1">
      <alignment vertical="center" wrapText="1"/>
    </xf>
    <xf numFmtId="0" fontId="0" fillId="8" borderId="2" xfId="0" applyFont="1" applyFill="1" applyBorder="1" applyAlignment="1">
      <alignment vertical="center" wrapText="1"/>
    </xf>
    <xf numFmtId="0" fontId="14" fillId="8" borderId="8" xfId="0" applyFont="1" applyFill="1" applyBorder="1" applyAlignment="1">
      <alignment vertical="center" wrapText="1"/>
    </xf>
    <xf numFmtId="0" fontId="14" fillId="8" borderId="2" xfId="0" applyFont="1" applyFill="1" applyBorder="1" applyAlignment="1">
      <alignment vertical="center" wrapText="1"/>
    </xf>
    <xf numFmtId="0" fontId="0" fillId="8" borderId="18" xfId="0" applyFont="1" applyFill="1" applyBorder="1" applyAlignment="1">
      <alignment vertical="center" wrapText="1"/>
    </xf>
    <xf numFmtId="0" fontId="0" fillId="8" borderId="19" xfId="0" applyFont="1" applyFill="1" applyBorder="1" applyAlignment="1">
      <alignment vertical="center" wrapText="1"/>
    </xf>
    <xf numFmtId="17" fontId="5" fillId="6" borderId="24" xfId="0" applyNumberFormat="1" applyFont="1" applyFill="1" applyBorder="1" applyAlignment="1">
      <alignment horizontal="left" vertical="top" wrapText="1"/>
    </xf>
    <xf numFmtId="17" fontId="5" fillId="6" borderId="19" xfId="0" applyNumberFormat="1" applyFont="1" applyFill="1" applyBorder="1" applyAlignment="1">
      <alignment horizontal="left" vertical="top" wrapText="1"/>
    </xf>
    <xf numFmtId="0" fontId="0" fillId="0" borderId="18" xfId="0" applyFont="1" applyBorder="1" applyAlignment="1">
      <alignment horizontal="center" vertical="top" wrapText="1"/>
    </xf>
    <xf numFmtId="0" fontId="0" fillId="0" borderId="19" xfId="0" applyFont="1" applyBorder="1" applyAlignment="1">
      <alignment horizontal="center" vertical="top" wrapText="1"/>
    </xf>
    <xf numFmtId="0" fontId="0" fillId="0" borderId="8" xfId="0" applyFont="1" applyBorder="1" applyAlignment="1">
      <alignment horizontal="center" vertical="top" wrapText="1"/>
    </xf>
    <xf numFmtId="0" fontId="0" fillId="3" borderId="18" xfId="0" applyFont="1" applyFill="1" applyBorder="1" applyAlignment="1">
      <alignment horizontal="center" vertical="top" wrapText="1"/>
    </xf>
    <xf numFmtId="0" fontId="0" fillId="3" borderId="19" xfId="0" applyFont="1" applyFill="1" applyBorder="1" applyAlignment="1">
      <alignment horizontal="center" vertical="top" wrapText="1"/>
    </xf>
    <xf numFmtId="0" fontId="0" fillId="0" borderId="14" xfId="0" applyFont="1" applyBorder="1" applyAlignment="1">
      <alignment horizontal="center" vertical="top" wrapText="1"/>
    </xf>
    <xf numFmtId="0" fontId="0" fillId="0" borderId="7" xfId="0" applyFont="1" applyBorder="1" applyAlignment="1">
      <alignment horizontal="center" vertical="top" wrapText="1"/>
    </xf>
    <xf numFmtId="0" fontId="0" fillId="0" borderId="23" xfId="0" applyFont="1" applyBorder="1" applyAlignment="1">
      <alignment horizontal="center" vertical="top" wrapText="1"/>
    </xf>
    <xf numFmtId="0" fontId="0" fillId="6" borderId="2" xfId="0" applyFont="1" applyFill="1" applyBorder="1" applyAlignment="1">
      <alignment vertical="center" wrapText="1"/>
    </xf>
    <xf numFmtId="0" fontId="0" fillId="6" borderId="18" xfId="0" applyFont="1" applyFill="1" applyBorder="1" applyAlignment="1">
      <alignment vertical="center" wrapText="1"/>
    </xf>
    <xf numFmtId="0" fontId="0" fillId="8" borderId="7" xfId="0" applyFont="1" applyFill="1" applyBorder="1" applyAlignment="1">
      <alignment vertical="center" wrapText="1"/>
    </xf>
    <xf numFmtId="0" fontId="0" fillId="8" borderId="23" xfId="0" applyFont="1" applyFill="1" applyBorder="1" applyAlignment="1">
      <alignment vertical="center" wrapText="1"/>
    </xf>
    <xf numFmtId="0" fontId="0" fillId="2" borderId="19" xfId="0" applyFont="1" applyFill="1" applyBorder="1"/>
    <xf numFmtId="0" fontId="0" fillId="2" borderId="8" xfId="0" applyFont="1" applyFill="1" applyBorder="1"/>
    <xf numFmtId="0" fontId="0" fillId="6" borderId="7" xfId="0" applyFont="1" applyFill="1" applyBorder="1" applyAlignment="1">
      <alignment horizontal="center"/>
    </xf>
    <xf numFmtId="0" fontId="0" fillId="6" borderId="0" xfId="0" applyFont="1" applyFill="1" applyBorder="1" applyAlignment="1">
      <alignment horizontal="center"/>
    </xf>
    <xf numFmtId="0" fontId="0" fillId="6" borderId="30" xfId="0" applyFont="1" applyFill="1" applyBorder="1" applyAlignment="1">
      <alignment horizontal="center"/>
    </xf>
    <xf numFmtId="0" fontId="0" fillId="6" borderId="23" xfId="0" applyFont="1" applyFill="1" applyBorder="1" applyAlignment="1">
      <alignment horizontal="center"/>
    </xf>
    <xf numFmtId="0" fontId="0" fillId="6" borderId="37" xfId="0" applyFont="1" applyFill="1" applyBorder="1" applyAlignment="1">
      <alignment horizontal="center"/>
    </xf>
    <xf numFmtId="0" fontId="0" fillId="6" borderId="26" xfId="0" applyFont="1" applyFill="1" applyBorder="1" applyAlignment="1">
      <alignment horizontal="center"/>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2" fontId="0" fillId="9" borderId="8" xfId="1" applyNumberFormat="1" applyFont="1" applyFill="1" applyBorder="1" applyAlignment="1">
      <alignment vertical="top"/>
    </xf>
    <xf numFmtId="2" fontId="0" fillId="9" borderId="2" xfId="1" applyNumberFormat="1" applyFont="1" applyFill="1" applyBorder="1" applyAlignment="1">
      <alignment vertical="top"/>
    </xf>
    <xf numFmtId="43" fontId="0" fillId="5" borderId="24" xfId="1" applyFont="1" applyFill="1" applyBorder="1" applyAlignment="1">
      <alignment vertical="top"/>
    </xf>
    <xf numFmtId="43" fontId="0" fillId="5" borderId="19" xfId="1" applyFont="1" applyFill="1" applyBorder="1" applyAlignment="1">
      <alignment vertical="top"/>
    </xf>
    <xf numFmtId="43" fontId="0" fillId="5" borderId="8" xfId="1" applyFont="1" applyFill="1" applyBorder="1" applyAlignment="1">
      <alignment vertical="top"/>
    </xf>
    <xf numFmtId="43" fontId="0" fillId="5" borderId="2" xfId="1" applyFont="1" applyFill="1" applyBorder="1" applyAlignment="1">
      <alignment vertical="top"/>
    </xf>
    <xf numFmtId="0" fontId="0" fillId="0" borderId="8" xfId="0" applyFill="1" applyBorder="1" applyAlignment="1">
      <alignment horizontal="left" vertical="top" wrapText="1"/>
    </xf>
    <xf numFmtId="0" fontId="0" fillId="5" borderId="2" xfId="0" applyNumberFormat="1" applyFont="1" applyFill="1" applyBorder="1" applyAlignment="1">
      <alignment vertical="top"/>
    </xf>
    <xf numFmtId="0" fontId="0" fillId="3" borderId="18" xfId="0" applyFont="1" applyFill="1" applyBorder="1" applyAlignment="1">
      <alignment horizontal="left" vertical="top" wrapText="1"/>
    </xf>
    <xf numFmtId="0" fontId="0" fillId="3" borderId="19"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8" xfId="0" applyFont="1" applyFill="1" applyBorder="1" applyAlignment="1">
      <alignment horizontal="center" vertical="top" wrapText="1"/>
    </xf>
    <xf numFmtId="0" fontId="0" fillId="0" borderId="29" xfId="0" applyFont="1" applyBorder="1" applyAlignment="1">
      <alignment horizontal="center" vertical="top" wrapText="1"/>
    </xf>
    <xf numFmtId="0" fontId="0" fillId="0" borderId="35" xfId="0" applyFont="1" applyBorder="1" applyAlignment="1">
      <alignment horizontal="center" vertical="top" wrapText="1"/>
    </xf>
    <xf numFmtId="0" fontId="0" fillId="7" borderId="50" xfId="0" applyFont="1" applyFill="1" applyBorder="1" applyAlignment="1">
      <alignment horizontal="center"/>
    </xf>
    <xf numFmtId="0" fontId="0" fillId="7" borderId="1" xfId="0" applyFont="1" applyFill="1" applyBorder="1" applyAlignment="1">
      <alignment horizontal="center"/>
    </xf>
    <xf numFmtId="0" fontId="0" fillId="7" borderId="54" xfId="0" applyFont="1" applyFill="1" applyBorder="1" applyAlignment="1">
      <alignment horizontal="center"/>
    </xf>
    <xf numFmtId="0" fontId="1" fillId="7" borderId="20"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7" borderId="61" xfId="0" applyFont="1" applyFill="1" applyBorder="1" applyAlignment="1">
      <alignment horizontal="left" vertical="top" wrapText="1"/>
    </xf>
    <xf numFmtId="0" fontId="0" fillId="8" borderId="3" xfId="0" applyFont="1" applyFill="1" applyBorder="1" applyAlignment="1">
      <alignment vertical="center" wrapText="1"/>
    </xf>
    <xf numFmtId="0" fontId="0" fillId="6" borderId="3" xfId="0" applyFont="1" applyFill="1" applyBorder="1"/>
    <xf numFmtId="17" fontId="5" fillId="6" borderId="48" xfId="0" applyNumberFormat="1" applyFont="1" applyFill="1" applyBorder="1" applyAlignment="1">
      <alignment horizontal="left" vertical="top" wrapText="1"/>
    </xf>
    <xf numFmtId="17" fontId="5" fillId="6" borderId="30" xfId="0" applyNumberFormat="1" applyFont="1" applyFill="1" applyBorder="1" applyAlignment="1">
      <alignment horizontal="left" vertical="top" wrapText="1"/>
    </xf>
    <xf numFmtId="0" fontId="0" fillId="0" borderId="34" xfId="0" applyFont="1" applyFill="1" applyBorder="1" applyAlignment="1">
      <alignment vertical="top" wrapText="1"/>
    </xf>
    <xf numFmtId="0" fontId="0" fillId="0" borderId="29" xfId="0" applyFont="1" applyFill="1" applyBorder="1" applyAlignment="1">
      <alignment vertical="top" wrapText="1"/>
    </xf>
    <xf numFmtId="0" fontId="0" fillId="0" borderId="35" xfId="0" applyFont="1" applyFill="1" applyBorder="1" applyAlignment="1">
      <alignment vertical="top" wrapText="1"/>
    </xf>
    <xf numFmtId="17" fontId="0" fillId="5" borderId="8" xfId="0" applyNumberFormat="1" applyFont="1" applyFill="1" applyBorder="1" applyAlignment="1">
      <alignment vertical="top"/>
    </xf>
    <xf numFmtId="0" fontId="1" fillId="7" borderId="13" xfId="0" applyFont="1" applyFill="1" applyBorder="1" applyAlignment="1">
      <alignment horizontal="left" vertical="top" wrapText="1"/>
    </xf>
    <xf numFmtId="0" fontId="1" fillId="7" borderId="32" xfId="0" applyFont="1" applyFill="1" applyBorder="1" applyAlignment="1">
      <alignment horizontal="left" vertical="top" wrapText="1"/>
    </xf>
    <xf numFmtId="0" fontId="0" fillId="7" borderId="18" xfId="0" applyFill="1" applyBorder="1" applyAlignment="1">
      <alignment horizontal="left" vertical="top" wrapText="1"/>
    </xf>
    <xf numFmtId="0" fontId="0" fillId="7" borderId="19" xfId="0" applyFill="1" applyBorder="1" applyAlignment="1">
      <alignment horizontal="left" vertical="top" wrapText="1"/>
    </xf>
    <xf numFmtId="0" fontId="0" fillId="7" borderId="8" xfId="0" applyFill="1" applyBorder="1" applyAlignment="1">
      <alignment horizontal="left" vertical="top" wrapText="1"/>
    </xf>
    <xf numFmtId="43" fontId="0" fillId="9" borderId="12" xfId="1" applyFont="1" applyFill="1" applyBorder="1" applyAlignment="1">
      <alignment vertical="top"/>
    </xf>
    <xf numFmtId="43" fontId="0" fillId="9" borderId="10" xfId="1" applyFont="1" applyFill="1" applyBorder="1" applyAlignment="1">
      <alignment vertical="top"/>
    </xf>
    <xf numFmtId="43" fontId="0" fillId="9" borderId="58" xfId="1" applyFont="1" applyFill="1" applyBorder="1" applyAlignment="1">
      <alignment vertical="top"/>
    </xf>
    <xf numFmtId="0" fontId="0" fillId="7" borderId="18" xfId="0" applyFont="1" applyFill="1" applyBorder="1" applyAlignment="1">
      <alignment horizontal="center" vertical="top" wrapText="1"/>
    </xf>
    <xf numFmtId="0" fontId="0" fillId="7" borderId="19"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2" fontId="14" fillId="0" borderId="15" xfId="0" applyNumberFormat="1" applyFont="1" applyFill="1" applyBorder="1" applyAlignment="1">
      <alignment horizontal="left" vertical="top" wrapText="1"/>
    </xf>
    <xf numFmtId="2" fontId="14" fillId="0" borderId="16" xfId="0" applyNumberFormat="1" applyFont="1" applyFill="1" applyBorder="1" applyAlignment="1">
      <alignment horizontal="left" vertical="top" wrapText="1"/>
    </xf>
    <xf numFmtId="2" fontId="14" fillId="0" borderId="17" xfId="0" applyNumberFormat="1" applyFont="1" applyFill="1" applyBorder="1" applyAlignment="1">
      <alignment horizontal="left" vertical="top" wrapText="1"/>
    </xf>
    <xf numFmtId="0" fontId="0" fillId="6" borderId="14" xfId="0" applyFont="1" applyFill="1" applyBorder="1" applyAlignment="1">
      <alignment horizontal="center" wrapText="1"/>
    </xf>
    <xf numFmtId="0" fontId="0" fillId="6" borderId="31" xfId="0" applyFont="1" applyFill="1" applyBorder="1" applyAlignment="1">
      <alignment horizontal="center" wrapText="1"/>
    </xf>
    <xf numFmtId="0" fontId="0" fillId="6" borderId="38" xfId="0" applyFont="1" applyFill="1" applyBorder="1" applyAlignment="1">
      <alignment horizontal="center" wrapText="1"/>
    </xf>
    <xf numFmtId="0" fontId="0" fillId="6" borderId="23" xfId="0" applyFont="1" applyFill="1" applyBorder="1" applyAlignment="1">
      <alignment horizontal="center" wrapText="1"/>
    </xf>
    <xf numFmtId="0" fontId="0" fillId="6" borderId="37" xfId="0" applyFont="1" applyFill="1" applyBorder="1" applyAlignment="1">
      <alignment horizontal="center" wrapText="1"/>
    </xf>
    <xf numFmtId="0" fontId="0" fillId="6" borderId="26" xfId="0" applyFont="1" applyFill="1" applyBorder="1" applyAlignment="1">
      <alignment horizontal="center" wrapText="1"/>
    </xf>
    <xf numFmtId="0" fontId="0" fillId="6" borderId="13" xfId="0" applyFill="1" applyBorder="1" applyAlignment="1">
      <alignment horizontal="center"/>
    </xf>
    <xf numFmtId="0" fontId="0" fillId="6" borderId="32" xfId="0" applyFill="1" applyBorder="1" applyAlignment="1">
      <alignment horizontal="center"/>
    </xf>
    <xf numFmtId="0" fontId="0" fillId="6" borderId="27" xfId="0" applyFill="1" applyBorder="1" applyAlignment="1">
      <alignment horizontal="center"/>
    </xf>
    <xf numFmtId="0" fontId="0" fillId="2" borderId="18"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2" borderId="8" xfId="0" applyFont="1" applyFill="1" applyBorder="1" applyAlignment="1">
      <alignment horizontal="left" vertical="top" wrapText="1"/>
    </xf>
    <xf numFmtId="0" fontId="0" fillId="0" borderId="16" xfId="0" applyBorder="1" applyAlignment="1">
      <alignment horizontal="center"/>
    </xf>
    <xf numFmtId="0" fontId="0" fillId="0" borderId="17" xfId="0" applyBorder="1" applyAlignment="1">
      <alignment horizontal="center"/>
    </xf>
    <xf numFmtId="0" fontId="0" fillId="2" borderId="20" xfId="0" applyFill="1" applyBorder="1" applyAlignment="1">
      <alignment horizontal="left" wrapText="1"/>
    </xf>
    <xf numFmtId="0" fontId="0" fillId="2" borderId="22" xfId="0" applyFill="1" applyBorder="1" applyAlignment="1">
      <alignment horizontal="left" wrapText="1"/>
    </xf>
    <xf numFmtId="0" fontId="6" fillId="6" borderId="13" xfId="0" applyFont="1" applyFill="1" applyBorder="1" applyAlignment="1">
      <alignment horizontal="center"/>
    </xf>
    <xf numFmtId="0" fontId="6" fillId="6" borderId="32" xfId="0" applyFont="1" applyFill="1" applyBorder="1" applyAlignment="1">
      <alignment horizontal="center"/>
    </xf>
    <xf numFmtId="0" fontId="6" fillId="6" borderId="27" xfId="0" applyFont="1" applyFill="1" applyBorder="1" applyAlignment="1">
      <alignment horizontal="center"/>
    </xf>
    <xf numFmtId="0" fontId="6" fillId="6" borderId="18" xfId="0" applyFont="1" applyFill="1" applyBorder="1" applyAlignment="1">
      <alignment vertical="top" wrapText="1"/>
    </xf>
    <xf numFmtId="0" fontId="6" fillId="6" borderId="19" xfId="0" applyFont="1" applyFill="1" applyBorder="1" applyAlignment="1">
      <alignment vertical="top" wrapText="1"/>
    </xf>
    <xf numFmtId="0" fontId="6" fillId="6" borderId="8" xfId="0" applyFont="1" applyFill="1" applyBorder="1" applyAlignment="1">
      <alignment vertical="top" wrapText="1"/>
    </xf>
    <xf numFmtId="0" fontId="6" fillId="8" borderId="18" xfId="0" applyFont="1" applyFill="1" applyBorder="1" applyAlignment="1">
      <alignment vertical="center" wrapText="1"/>
    </xf>
    <xf numFmtId="0" fontId="6" fillId="8" borderId="19" xfId="0" applyFont="1" applyFill="1" applyBorder="1" applyAlignment="1">
      <alignment vertical="center" wrapText="1"/>
    </xf>
    <xf numFmtId="0" fontId="6" fillId="8" borderId="8" xfId="0" applyFont="1" applyFill="1" applyBorder="1" applyAlignment="1">
      <alignment vertical="center" wrapText="1"/>
    </xf>
    <xf numFmtId="0" fontId="6" fillId="0" borderId="24" xfId="0" applyFont="1" applyBorder="1" applyAlignment="1">
      <alignment vertical="top" wrapText="1"/>
    </xf>
    <xf numFmtId="0" fontId="6" fillId="0" borderId="19" xfId="0" applyFont="1" applyBorder="1" applyAlignment="1">
      <alignment vertical="top" wrapText="1"/>
    </xf>
    <xf numFmtId="0" fontId="6" fillId="0" borderId="25" xfId="0" applyFont="1" applyBorder="1" applyAlignment="1">
      <alignmen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34" xfId="0" applyFont="1" applyBorder="1" applyAlignment="1">
      <alignment vertical="top" wrapText="1"/>
    </xf>
    <xf numFmtId="0" fontId="6" fillId="0" borderId="29" xfId="0" applyFont="1" applyBorder="1" applyAlignment="1">
      <alignment vertical="top" wrapText="1"/>
    </xf>
    <xf numFmtId="43" fontId="6" fillId="2" borderId="12" xfId="1" applyFont="1" applyFill="1" applyBorder="1" applyAlignment="1">
      <alignment vertical="top"/>
    </xf>
    <xf numFmtId="43" fontId="6" fillId="2" borderId="18" xfId="1" applyFont="1" applyFill="1" applyBorder="1" applyAlignment="1">
      <alignment vertical="top"/>
    </xf>
    <xf numFmtId="43" fontId="6" fillId="2" borderId="19" xfId="1" applyFont="1" applyFill="1" applyBorder="1" applyAlignment="1">
      <alignment vertical="top"/>
    </xf>
    <xf numFmtId="0" fontId="6" fillId="0" borderId="8" xfId="0" applyFont="1" applyBorder="1" applyAlignment="1">
      <alignment horizontal="left" vertical="top" wrapText="1"/>
    </xf>
    <xf numFmtId="0" fontId="1" fillId="7" borderId="7" xfId="0" applyFont="1" applyFill="1" applyBorder="1" applyAlignment="1">
      <alignment horizontal="left" vertical="top" wrapText="1"/>
    </xf>
    <xf numFmtId="0" fontId="1" fillId="7" borderId="0" xfId="0" applyFont="1" applyFill="1" applyBorder="1" applyAlignment="1">
      <alignment horizontal="left" vertical="top" wrapText="1"/>
    </xf>
    <xf numFmtId="0" fontId="6" fillId="8" borderId="2" xfId="0" applyFont="1" applyFill="1" applyBorder="1" applyAlignment="1">
      <alignment vertical="center" wrapText="1"/>
    </xf>
    <xf numFmtId="0" fontId="6" fillId="3" borderId="18" xfId="0" applyFont="1" applyFill="1" applyBorder="1" applyAlignment="1">
      <alignment vertical="top" wrapText="1"/>
    </xf>
    <xf numFmtId="0" fontId="6" fillId="3" borderId="19" xfId="0" applyFont="1" applyFill="1" applyBorder="1" applyAlignment="1">
      <alignment vertical="top" wrapText="1"/>
    </xf>
    <xf numFmtId="0" fontId="6" fillId="3" borderId="8" xfId="0" applyFont="1" applyFill="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43" fontId="6" fillId="2" borderId="49" xfId="1" applyFont="1" applyFill="1" applyBorder="1" applyAlignment="1">
      <alignment vertical="top"/>
    </xf>
    <xf numFmtId="43" fontId="6" fillId="2" borderId="7" xfId="1" applyFont="1" applyFill="1" applyBorder="1" applyAlignment="1">
      <alignment vertical="top"/>
    </xf>
    <xf numFmtId="43" fontId="6" fillId="2" borderId="50" xfId="1" applyFont="1" applyFill="1" applyBorder="1" applyAlignment="1">
      <alignment vertical="top"/>
    </xf>
    <xf numFmtId="0" fontId="6" fillId="0" borderId="2" xfId="0" applyFont="1" applyBorder="1" applyAlignment="1">
      <alignment horizontal="left" vertical="top" wrapText="1"/>
    </xf>
    <xf numFmtId="43" fontId="6" fillId="2" borderId="8" xfId="1" applyFont="1" applyFill="1" applyBorder="1" applyAlignment="1">
      <alignment vertical="top"/>
    </xf>
    <xf numFmtId="0" fontId="6" fillId="0" borderId="5" xfId="0" applyFont="1" applyBorder="1" applyAlignment="1">
      <alignment horizontal="left" vertical="top" wrapText="1"/>
    </xf>
    <xf numFmtId="0" fontId="6" fillId="0" borderId="48" xfId="0" applyFont="1" applyBorder="1" applyAlignment="1">
      <alignment vertical="top" wrapText="1"/>
    </xf>
    <xf numFmtId="0" fontId="6" fillId="0" borderId="30" xfId="0" applyFont="1" applyBorder="1" applyAlignment="1">
      <alignment vertical="top" wrapText="1"/>
    </xf>
    <xf numFmtId="0" fontId="6" fillId="0" borderId="54" xfId="0" applyFont="1" applyBorder="1" applyAlignment="1">
      <alignment vertical="top" wrapText="1"/>
    </xf>
    <xf numFmtId="0" fontId="6" fillId="2" borderId="2" xfId="0" applyFont="1" applyFill="1" applyBorder="1"/>
    <xf numFmtId="0" fontId="1" fillId="7" borderId="23" xfId="0" applyFont="1" applyFill="1" applyBorder="1" applyAlignment="1">
      <alignment horizontal="center"/>
    </xf>
    <xf numFmtId="0" fontId="1" fillId="7" borderId="37" xfId="0" applyFont="1" applyFill="1" applyBorder="1" applyAlignment="1">
      <alignment horizontal="center"/>
    </xf>
    <xf numFmtId="0" fontId="1" fillId="7" borderId="26" xfId="0" applyFont="1" applyFill="1" applyBorder="1" applyAlignment="1">
      <alignment horizontal="center"/>
    </xf>
    <xf numFmtId="0" fontId="1" fillId="7" borderId="0" xfId="0" applyFont="1" applyFill="1" applyBorder="1" applyAlignment="1">
      <alignment horizontal="center"/>
    </xf>
    <xf numFmtId="0" fontId="1" fillId="7" borderId="18" xfId="0" applyFont="1" applyFill="1" applyBorder="1" applyAlignment="1">
      <alignment horizont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cellXfs>
  <cellStyles count="2">
    <cellStyle name="Navadno" xfId="0" builtinId="0"/>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tabSelected="1" view="pageLayout" zoomScale="60" zoomScaleNormal="100" zoomScalePageLayoutView="60" workbookViewId="0">
      <selection activeCell="I1" sqref="I1"/>
    </sheetView>
  </sheetViews>
  <sheetFormatPr defaultRowHeight="15" x14ac:dyDescent="0.25"/>
  <cols>
    <col min="1" max="1" width="7.85546875" customWidth="1"/>
    <col min="2" max="2" width="22.85546875" customWidth="1"/>
    <col min="3" max="3" width="13.7109375" customWidth="1"/>
    <col min="4" max="4" width="13" customWidth="1"/>
    <col min="7" max="7" width="11.5703125" customWidth="1"/>
    <col min="8" max="8" width="10.5703125" customWidth="1"/>
    <col min="9" max="9" width="21.140625" customWidth="1"/>
    <col min="10" max="10" width="22.28515625" customWidth="1"/>
    <col min="11" max="11" width="19" customWidth="1"/>
    <col min="12" max="12" width="64.7109375" customWidth="1"/>
    <col min="13" max="13" width="78" customWidth="1"/>
  </cols>
  <sheetData>
    <row r="1" spans="1:13" ht="21.75" thickBot="1" x14ac:dyDescent="0.4">
      <c r="B1" s="186"/>
      <c r="C1" s="184"/>
      <c r="D1" s="184"/>
      <c r="E1" s="187"/>
      <c r="F1" s="187"/>
      <c r="G1" s="187"/>
      <c r="H1" s="188"/>
      <c r="I1" s="189" t="s">
        <v>228</v>
      </c>
      <c r="J1" s="190"/>
      <c r="K1" s="190"/>
      <c r="L1" s="190"/>
      <c r="M1" s="191"/>
    </row>
    <row r="2" spans="1:13" ht="30" x14ac:dyDescent="0.25">
      <c r="A2" s="145" t="s">
        <v>21</v>
      </c>
      <c r="B2" s="454" t="s">
        <v>15</v>
      </c>
      <c r="C2" s="455"/>
      <c r="D2" s="455"/>
      <c r="E2" s="455"/>
      <c r="F2" s="455"/>
      <c r="G2" s="455"/>
      <c r="H2" s="455"/>
      <c r="I2" s="455"/>
      <c r="J2" s="455"/>
      <c r="K2" s="456"/>
      <c r="L2" s="181"/>
      <c r="M2" s="179"/>
    </row>
    <row r="3" spans="1:13" x14ac:dyDescent="0.25">
      <c r="A3" s="65"/>
      <c r="B3" s="6" t="s">
        <v>1</v>
      </c>
      <c r="C3" s="6" t="s">
        <v>4</v>
      </c>
      <c r="D3" s="6" t="s">
        <v>13</v>
      </c>
      <c r="E3" s="107" t="s">
        <v>24</v>
      </c>
      <c r="F3" s="108"/>
      <c r="G3" s="109"/>
      <c r="H3" s="6" t="s">
        <v>14</v>
      </c>
      <c r="I3" s="7" t="s">
        <v>0</v>
      </c>
      <c r="J3" s="106" t="s">
        <v>231</v>
      </c>
      <c r="K3" s="106"/>
      <c r="L3" s="181"/>
      <c r="M3" s="179"/>
    </row>
    <row r="4" spans="1:13" x14ac:dyDescent="0.25">
      <c r="A4" s="65"/>
      <c r="B4" s="6"/>
      <c r="C4" s="6"/>
      <c r="D4" s="6"/>
      <c r="E4" s="6">
        <v>2018</v>
      </c>
      <c r="F4" s="6">
        <v>2019</v>
      </c>
      <c r="G4" s="6">
        <v>2020</v>
      </c>
      <c r="H4" s="6"/>
      <c r="I4" s="7"/>
      <c r="J4" s="8">
        <v>2019</v>
      </c>
      <c r="K4" s="9">
        <v>2020</v>
      </c>
      <c r="L4" s="380" t="s">
        <v>30</v>
      </c>
      <c r="M4" s="182" t="s">
        <v>37</v>
      </c>
    </row>
    <row r="5" spans="1:13" x14ac:dyDescent="0.25">
      <c r="A5" s="65"/>
      <c r="B5" s="17"/>
      <c r="C5" s="17"/>
      <c r="D5" s="17"/>
      <c r="E5" s="17"/>
      <c r="F5" s="17"/>
      <c r="G5" s="17"/>
      <c r="H5" s="17"/>
      <c r="I5" s="17"/>
      <c r="J5" s="61" t="s">
        <v>3</v>
      </c>
      <c r="K5" s="59" t="s">
        <v>3</v>
      </c>
      <c r="L5" s="381"/>
      <c r="M5" s="183"/>
    </row>
    <row r="6" spans="1:13" ht="15" customHeight="1" x14ac:dyDescent="0.25">
      <c r="A6" s="136" t="s">
        <v>25</v>
      </c>
      <c r="B6" s="525" t="s">
        <v>26</v>
      </c>
      <c r="C6" s="156" t="s">
        <v>27</v>
      </c>
      <c r="D6" s="114" t="s">
        <v>79</v>
      </c>
      <c r="E6" s="141"/>
      <c r="F6" s="19"/>
      <c r="G6" s="161"/>
      <c r="H6" s="163"/>
      <c r="I6" s="510" t="s">
        <v>327</v>
      </c>
      <c r="J6" s="444">
        <f>SUM(950*7500)+(180*4500)+(220*4500)</f>
        <v>8925000</v>
      </c>
      <c r="K6" s="438">
        <f>SUM(1200*7500)+(210*4500)+(220*4500)</f>
        <v>10935000</v>
      </c>
      <c r="L6" s="476" t="s">
        <v>328</v>
      </c>
      <c r="M6" s="414" t="s">
        <v>268</v>
      </c>
    </row>
    <row r="7" spans="1:13" x14ac:dyDescent="0.25">
      <c r="A7" s="137"/>
      <c r="B7" s="526"/>
      <c r="C7" s="157"/>
      <c r="D7" s="115"/>
      <c r="E7" s="141"/>
      <c r="F7" s="19"/>
      <c r="G7" s="161"/>
      <c r="H7" s="10"/>
      <c r="I7" s="510"/>
      <c r="J7" s="445"/>
      <c r="K7" s="438"/>
      <c r="L7" s="476"/>
      <c r="M7" s="414"/>
    </row>
    <row r="8" spans="1:13" x14ac:dyDescent="0.25">
      <c r="A8" s="137"/>
      <c r="B8" s="526"/>
      <c r="C8" s="157"/>
      <c r="D8" s="124" t="s">
        <v>320</v>
      </c>
      <c r="E8" s="142">
        <v>530</v>
      </c>
      <c r="F8" s="30">
        <v>950</v>
      </c>
      <c r="G8" s="162">
        <v>1200</v>
      </c>
      <c r="H8" s="164" t="s">
        <v>28</v>
      </c>
      <c r="I8" s="510"/>
      <c r="J8" s="445"/>
      <c r="K8" s="438"/>
      <c r="L8" s="476"/>
      <c r="M8" s="414"/>
    </row>
    <row r="9" spans="1:13" x14ac:dyDescent="0.25">
      <c r="A9" s="137"/>
      <c r="B9" s="526"/>
      <c r="C9" s="157"/>
      <c r="D9" s="124" t="s">
        <v>237</v>
      </c>
      <c r="E9" s="170">
        <v>110</v>
      </c>
      <c r="F9" s="171">
        <v>180</v>
      </c>
      <c r="G9" s="172">
        <v>210</v>
      </c>
      <c r="H9" s="10"/>
      <c r="I9" s="510"/>
      <c r="J9" s="445"/>
      <c r="K9" s="438"/>
      <c r="L9" s="476"/>
      <c r="M9" s="414"/>
    </row>
    <row r="10" spans="1:13" ht="15.75" customHeight="1" x14ac:dyDescent="0.25">
      <c r="A10" s="137"/>
      <c r="B10" s="526"/>
      <c r="C10" s="157"/>
      <c r="D10" s="268" t="s">
        <v>321</v>
      </c>
      <c r="E10" s="270">
        <v>120</v>
      </c>
      <c r="F10" s="270">
        <v>220</v>
      </c>
      <c r="G10" s="270">
        <v>220</v>
      </c>
      <c r="H10" s="167"/>
      <c r="I10" s="510"/>
      <c r="J10" s="445"/>
      <c r="K10" s="438"/>
      <c r="L10" s="476"/>
      <c r="M10" s="414"/>
    </row>
    <row r="11" spans="1:13" ht="32.25" customHeight="1" thickBot="1" x14ac:dyDescent="0.3">
      <c r="A11" s="137"/>
      <c r="B11" s="526"/>
      <c r="C11" s="157"/>
      <c r="D11" s="165"/>
      <c r="E11" s="144" t="s">
        <v>29</v>
      </c>
      <c r="F11" s="153" t="s">
        <v>29</v>
      </c>
      <c r="G11" s="173" t="s">
        <v>29</v>
      </c>
      <c r="H11" s="168" t="s">
        <v>28</v>
      </c>
      <c r="I11" s="510"/>
      <c r="J11" s="445"/>
      <c r="K11" s="439"/>
      <c r="L11" s="477"/>
      <c r="M11" s="415"/>
    </row>
    <row r="12" spans="1:13" ht="78" customHeight="1" thickBot="1" x14ac:dyDescent="0.3">
      <c r="A12" s="138"/>
      <c r="B12" s="527"/>
      <c r="C12" s="139"/>
      <c r="D12" s="166"/>
      <c r="E12" s="174"/>
      <c r="F12" s="175"/>
      <c r="G12" s="176"/>
      <c r="H12" s="169"/>
      <c r="I12" s="511"/>
      <c r="J12" s="346"/>
      <c r="K12" s="347"/>
      <c r="L12" s="337" t="s">
        <v>329</v>
      </c>
      <c r="M12" s="291" t="s">
        <v>380</v>
      </c>
    </row>
    <row r="13" spans="1:13" x14ac:dyDescent="0.25">
      <c r="A13" s="64" t="s">
        <v>33</v>
      </c>
      <c r="B13" s="392" t="s">
        <v>75</v>
      </c>
      <c r="C13" s="394" t="s">
        <v>27</v>
      </c>
      <c r="D13" s="508" t="s">
        <v>79</v>
      </c>
      <c r="E13" s="271"/>
      <c r="F13" s="271"/>
      <c r="G13" s="271"/>
      <c r="H13" s="159"/>
      <c r="I13" s="470" t="s">
        <v>322</v>
      </c>
      <c r="J13" s="521">
        <f>SUM(500*20000)</f>
        <v>10000000</v>
      </c>
      <c r="K13" s="522">
        <f>SUM(800*20000)</f>
        <v>16000000</v>
      </c>
      <c r="L13" s="476" t="s">
        <v>330</v>
      </c>
      <c r="M13" s="478" t="s">
        <v>77</v>
      </c>
    </row>
    <row r="14" spans="1:13" x14ac:dyDescent="0.25">
      <c r="A14" s="35"/>
      <c r="B14" s="392"/>
      <c r="C14" s="395"/>
      <c r="D14" s="451"/>
      <c r="E14" s="269" t="s">
        <v>236</v>
      </c>
      <c r="F14" s="269" t="s">
        <v>236</v>
      </c>
      <c r="G14" s="269" t="s">
        <v>236</v>
      </c>
      <c r="H14" s="272"/>
      <c r="I14" s="470"/>
      <c r="J14" s="521"/>
      <c r="K14" s="523"/>
      <c r="L14" s="476"/>
      <c r="M14" s="479"/>
    </row>
    <row r="15" spans="1:13" x14ac:dyDescent="0.25">
      <c r="A15" s="35"/>
      <c r="B15" s="392"/>
      <c r="C15" s="395"/>
      <c r="D15" s="451"/>
      <c r="E15" s="204">
        <v>200</v>
      </c>
      <c r="F15" s="204">
        <v>500</v>
      </c>
      <c r="G15" s="204">
        <v>800</v>
      </c>
      <c r="H15" s="160" t="s">
        <v>28</v>
      </c>
      <c r="I15" s="470"/>
      <c r="J15" s="521"/>
      <c r="K15" s="523"/>
      <c r="L15" s="476"/>
      <c r="M15" s="479"/>
    </row>
    <row r="16" spans="1:13" x14ac:dyDescent="0.25">
      <c r="A16" s="35"/>
      <c r="B16" s="392"/>
      <c r="C16" s="395"/>
      <c r="D16" s="509"/>
      <c r="E16" s="172" t="s">
        <v>29</v>
      </c>
      <c r="F16" s="172" t="s">
        <v>29</v>
      </c>
      <c r="G16" s="171" t="s">
        <v>29</v>
      </c>
      <c r="H16" s="167"/>
      <c r="I16" s="470"/>
      <c r="J16" s="521"/>
      <c r="K16" s="523"/>
      <c r="L16" s="476"/>
      <c r="M16" s="479"/>
    </row>
    <row r="17" spans="1:13" ht="15" customHeight="1" thickBot="1" x14ac:dyDescent="0.3">
      <c r="A17" s="35"/>
      <c r="B17" s="392"/>
      <c r="C17" s="395"/>
      <c r="D17" s="509"/>
      <c r="E17" s="144" t="s">
        <v>29</v>
      </c>
      <c r="F17" s="144" t="s">
        <v>29</v>
      </c>
      <c r="G17" s="11" t="s">
        <v>29</v>
      </c>
      <c r="H17" s="167"/>
      <c r="I17" s="470"/>
      <c r="J17" s="521"/>
      <c r="K17" s="523"/>
      <c r="L17" s="476"/>
      <c r="M17" s="479"/>
    </row>
    <row r="18" spans="1:13" ht="15.75" hidden="1" customHeight="1" thickBot="1" x14ac:dyDescent="0.3">
      <c r="A18" s="36"/>
      <c r="B18" s="393"/>
      <c r="C18" s="395"/>
      <c r="D18" s="509"/>
      <c r="E18" s="205" t="s">
        <v>29</v>
      </c>
      <c r="F18" s="205" t="s">
        <v>29</v>
      </c>
      <c r="G18" s="271" t="s">
        <v>29</v>
      </c>
      <c r="H18" s="290"/>
      <c r="I18" s="471"/>
      <c r="J18" s="521"/>
      <c r="K18" s="524"/>
      <c r="L18" s="477"/>
      <c r="M18" s="479"/>
    </row>
    <row r="19" spans="1:13" x14ac:dyDescent="0.25">
      <c r="A19" s="37" t="s">
        <v>34</v>
      </c>
      <c r="B19" s="391" t="s">
        <v>379</v>
      </c>
      <c r="C19" s="394" t="s">
        <v>27</v>
      </c>
      <c r="D19" s="425" t="s">
        <v>8</v>
      </c>
      <c r="E19" s="335" t="s">
        <v>31</v>
      </c>
      <c r="F19" s="333"/>
      <c r="G19" s="318"/>
      <c r="H19" s="16"/>
      <c r="I19" s="429" t="s">
        <v>17</v>
      </c>
      <c r="J19" s="513">
        <v>0</v>
      </c>
      <c r="K19" s="514">
        <v>0</v>
      </c>
      <c r="L19" s="480" t="s">
        <v>32</v>
      </c>
      <c r="M19" s="413" t="s">
        <v>323</v>
      </c>
    </row>
    <row r="20" spans="1:13" x14ac:dyDescent="0.25">
      <c r="A20" s="35"/>
      <c r="B20" s="392"/>
      <c r="C20" s="395"/>
      <c r="D20" s="425"/>
      <c r="E20" s="334"/>
      <c r="F20" s="313"/>
      <c r="G20" s="316"/>
      <c r="H20" s="11"/>
      <c r="I20" s="430"/>
      <c r="J20" s="513"/>
      <c r="K20" s="515"/>
      <c r="L20" s="481"/>
      <c r="M20" s="414"/>
    </row>
    <row r="21" spans="1:13" x14ac:dyDescent="0.25">
      <c r="A21" s="35"/>
      <c r="B21" s="392"/>
      <c r="C21" s="395"/>
      <c r="D21" s="425"/>
      <c r="E21" s="334"/>
      <c r="F21" s="313"/>
      <c r="G21" s="316"/>
      <c r="H21" s="11"/>
      <c r="I21" s="430"/>
      <c r="J21" s="513"/>
      <c r="K21" s="515"/>
      <c r="L21" s="481"/>
      <c r="M21" s="414"/>
    </row>
    <row r="22" spans="1:13" x14ac:dyDescent="0.25">
      <c r="A22" s="35"/>
      <c r="B22" s="392"/>
      <c r="C22" s="395"/>
      <c r="D22" s="425"/>
      <c r="E22" s="334"/>
      <c r="F22" s="313"/>
      <c r="G22" s="316"/>
      <c r="H22" s="12">
        <v>43556</v>
      </c>
      <c r="I22" s="430"/>
      <c r="J22" s="513"/>
      <c r="K22" s="515"/>
      <c r="L22" s="481"/>
      <c r="M22" s="414"/>
    </row>
    <row r="23" spans="1:13" ht="3.75" customHeight="1" thickBot="1" x14ac:dyDescent="0.3">
      <c r="A23" s="36"/>
      <c r="B23" s="393"/>
      <c r="C23" s="395"/>
      <c r="D23" s="425"/>
      <c r="E23" s="319"/>
      <c r="F23" s="336"/>
      <c r="G23" s="320"/>
      <c r="H23" s="271"/>
      <c r="I23" s="431"/>
      <c r="J23" s="513"/>
      <c r="K23" s="516"/>
      <c r="L23" s="482"/>
      <c r="M23" s="415"/>
    </row>
    <row r="24" spans="1:13" x14ac:dyDescent="0.25">
      <c r="A24" s="37" t="s">
        <v>40</v>
      </c>
      <c r="B24" s="391" t="s">
        <v>35</v>
      </c>
      <c r="C24" s="394" t="s">
        <v>27</v>
      </c>
      <c r="D24" s="451" t="s">
        <v>79</v>
      </c>
      <c r="E24" s="28"/>
      <c r="F24" s="28"/>
      <c r="G24" s="28"/>
      <c r="H24" s="16"/>
      <c r="I24" s="429" t="s">
        <v>17</v>
      </c>
      <c r="J24" s="517">
        <v>0</v>
      </c>
      <c r="K24" s="518">
        <v>0</v>
      </c>
      <c r="L24" s="435" t="s">
        <v>62</v>
      </c>
      <c r="M24" s="413" t="s">
        <v>269</v>
      </c>
    </row>
    <row r="25" spans="1:13" x14ac:dyDescent="0.25">
      <c r="A25" s="35"/>
      <c r="B25" s="392"/>
      <c r="C25" s="395"/>
      <c r="D25" s="451"/>
      <c r="E25" s="27"/>
      <c r="F25" s="11"/>
      <c r="G25" s="11"/>
      <c r="H25" s="11"/>
      <c r="I25" s="430"/>
      <c r="J25" s="498"/>
      <c r="K25" s="519"/>
      <c r="L25" s="436"/>
      <c r="M25" s="414"/>
    </row>
    <row r="26" spans="1:13" x14ac:dyDescent="0.25">
      <c r="A26" s="35"/>
      <c r="B26" s="392"/>
      <c r="C26" s="395"/>
      <c r="D26" s="451"/>
      <c r="E26" s="11"/>
      <c r="F26" s="11"/>
      <c r="G26" s="11"/>
      <c r="H26" s="11"/>
      <c r="I26" s="430"/>
      <c r="J26" s="498"/>
      <c r="K26" s="519"/>
      <c r="L26" s="436"/>
      <c r="M26" s="414"/>
    </row>
    <row r="27" spans="1:13" x14ac:dyDescent="0.25">
      <c r="A27" s="35"/>
      <c r="B27" s="392"/>
      <c r="C27" s="395"/>
      <c r="D27" s="451"/>
      <c r="E27" s="11" t="s">
        <v>31</v>
      </c>
      <c r="F27" s="11"/>
      <c r="G27" s="11"/>
      <c r="H27" s="12">
        <v>43556</v>
      </c>
      <c r="I27" s="430"/>
      <c r="J27" s="498"/>
      <c r="K27" s="519"/>
      <c r="L27" s="436"/>
      <c r="M27" s="414"/>
    </row>
    <row r="28" spans="1:13" ht="20.25" customHeight="1" thickBot="1" x14ac:dyDescent="0.3">
      <c r="A28" s="35"/>
      <c r="B28" s="393"/>
      <c r="C28" s="395"/>
      <c r="D28" s="451"/>
      <c r="E28" s="24"/>
      <c r="F28" s="24"/>
      <c r="G28" s="24"/>
      <c r="H28" s="24"/>
      <c r="I28" s="431"/>
      <c r="J28" s="498"/>
      <c r="K28" s="520"/>
      <c r="L28" s="436"/>
      <c r="M28" s="415"/>
    </row>
    <row r="29" spans="1:13" x14ac:dyDescent="0.25">
      <c r="A29" s="37" t="s">
        <v>41</v>
      </c>
      <c r="B29" s="391" t="s">
        <v>238</v>
      </c>
      <c r="C29" s="394" t="s">
        <v>5</v>
      </c>
      <c r="D29" s="451" t="s">
        <v>79</v>
      </c>
      <c r="E29" s="463" t="s">
        <v>131</v>
      </c>
      <c r="F29" s="464"/>
      <c r="G29" s="465"/>
      <c r="H29" s="16"/>
      <c r="I29" s="429" t="s">
        <v>17</v>
      </c>
      <c r="J29" s="444">
        <v>4000000</v>
      </c>
      <c r="K29" s="444">
        <v>4000000</v>
      </c>
      <c r="L29" s="480" t="s">
        <v>155</v>
      </c>
      <c r="M29" s="413" t="s">
        <v>372</v>
      </c>
    </row>
    <row r="30" spans="1:13" x14ac:dyDescent="0.25">
      <c r="A30" s="35"/>
      <c r="B30" s="392"/>
      <c r="C30" s="395"/>
      <c r="D30" s="451"/>
      <c r="E30" s="42"/>
      <c r="F30" s="11"/>
      <c r="G30" s="11"/>
      <c r="H30" s="11"/>
      <c r="I30" s="430"/>
      <c r="J30" s="445"/>
      <c r="K30" s="445"/>
      <c r="L30" s="481"/>
      <c r="M30" s="414"/>
    </row>
    <row r="31" spans="1:13" x14ac:dyDescent="0.25">
      <c r="A31" s="35"/>
      <c r="B31" s="392"/>
      <c r="C31" s="395"/>
      <c r="D31" s="451"/>
      <c r="E31" s="11"/>
      <c r="F31" s="11"/>
      <c r="G31" s="11"/>
      <c r="H31" s="11"/>
      <c r="I31" s="430"/>
      <c r="J31" s="445"/>
      <c r="K31" s="445"/>
      <c r="L31" s="481"/>
      <c r="M31" s="414"/>
    </row>
    <row r="32" spans="1:13" x14ac:dyDescent="0.25">
      <c r="A32" s="35"/>
      <c r="B32" s="392"/>
      <c r="C32" s="395"/>
      <c r="D32" s="451"/>
      <c r="E32" s="11">
        <v>1</v>
      </c>
      <c r="F32" s="11">
        <v>2</v>
      </c>
      <c r="G32" s="11">
        <v>5</v>
      </c>
      <c r="H32" s="12"/>
      <c r="I32" s="430"/>
      <c r="J32" s="445"/>
      <c r="K32" s="445"/>
      <c r="L32" s="481"/>
      <c r="M32" s="414"/>
    </row>
    <row r="33" spans="1:13" ht="3" customHeight="1" thickBot="1" x14ac:dyDescent="0.3">
      <c r="A33" s="35"/>
      <c r="B33" s="393"/>
      <c r="C33" s="395"/>
      <c r="D33" s="451"/>
      <c r="E33" s="39"/>
      <c r="F33" s="39"/>
      <c r="G33" s="39"/>
      <c r="H33" s="39"/>
      <c r="I33" s="431"/>
      <c r="J33" s="445"/>
      <c r="K33" s="445"/>
      <c r="L33" s="482"/>
      <c r="M33" s="415"/>
    </row>
    <row r="34" spans="1:13" ht="78.75" customHeight="1" x14ac:dyDescent="0.25">
      <c r="A34" s="37" t="s">
        <v>42</v>
      </c>
      <c r="B34" s="391" t="s">
        <v>378</v>
      </c>
      <c r="C34" s="394" t="s">
        <v>7</v>
      </c>
      <c r="D34" s="469" t="s">
        <v>16</v>
      </c>
      <c r="E34" s="21"/>
      <c r="F34" s="21"/>
      <c r="G34" s="21"/>
      <c r="H34" s="18">
        <v>43525</v>
      </c>
      <c r="I34" s="472" t="s">
        <v>399</v>
      </c>
      <c r="J34" s="403">
        <f>+F36*30000*(38.1%+77.9%*30%)*12*(1.5%-0.3%)</f>
        <v>1194976.8</v>
      </c>
      <c r="K34" s="403">
        <f>+G36*30000*(38.1%+77.9%*30%)*12*(1.5%-0.3%)</f>
        <v>1726077.6</v>
      </c>
      <c r="L34" s="488" t="s">
        <v>404</v>
      </c>
      <c r="M34" s="488" t="s">
        <v>408</v>
      </c>
    </row>
    <row r="35" spans="1:13" x14ac:dyDescent="0.25">
      <c r="A35" s="35"/>
      <c r="B35" s="392"/>
      <c r="C35" s="395"/>
      <c r="D35" s="470"/>
      <c r="E35" s="21"/>
      <c r="F35" s="21" t="s">
        <v>39</v>
      </c>
      <c r="G35" s="21" t="s">
        <v>38</v>
      </c>
      <c r="H35" s="11"/>
      <c r="I35" s="473"/>
      <c r="J35" s="404"/>
      <c r="K35" s="404"/>
      <c r="L35" s="489" t="s">
        <v>400</v>
      </c>
      <c r="M35" s="489"/>
    </row>
    <row r="36" spans="1:13" x14ac:dyDescent="0.25">
      <c r="A36" s="35"/>
      <c r="B36" s="392"/>
      <c r="C36" s="395"/>
      <c r="D36" s="470"/>
      <c r="E36" s="33"/>
      <c r="F36" s="33">
        <v>450</v>
      </c>
      <c r="G36" s="33">
        <v>650</v>
      </c>
      <c r="H36" s="11"/>
      <c r="I36" s="473"/>
      <c r="J36" s="404"/>
      <c r="K36" s="404"/>
      <c r="L36" s="489" t="s">
        <v>401</v>
      </c>
      <c r="M36" s="489"/>
    </row>
    <row r="37" spans="1:13" x14ac:dyDescent="0.25">
      <c r="A37" s="35"/>
      <c r="B37" s="392"/>
      <c r="C37" s="395"/>
      <c r="D37" s="470"/>
      <c r="E37" s="21"/>
      <c r="F37" s="27"/>
      <c r="G37" s="27"/>
      <c r="H37" s="11"/>
      <c r="I37" s="473"/>
      <c r="J37" s="404"/>
      <c r="K37" s="404"/>
      <c r="L37" s="489" t="s">
        <v>402</v>
      </c>
      <c r="M37" s="489"/>
    </row>
    <row r="38" spans="1:13" ht="77.25" customHeight="1" thickBot="1" x14ac:dyDescent="0.3">
      <c r="A38" s="36"/>
      <c r="B38" s="393"/>
      <c r="C38" s="395"/>
      <c r="D38" s="471"/>
      <c r="E38" s="22"/>
      <c r="F38" s="22"/>
      <c r="G38" s="22"/>
      <c r="H38" s="20"/>
      <c r="I38" s="474"/>
      <c r="J38" s="404"/>
      <c r="K38" s="404"/>
      <c r="L38" s="490" t="s">
        <v>403</v>
      </c>
      <c r="M38" s="490"/>
    </row>
    <row r="39" spans="1:13" s="370" customFormat="1" ht="75.75" thickBot="1" x14ac:dyDescent="0.3">
      <c r="A39" s="371" t="s">
        <v>398</v>
      </c>
      <c r="B39" s="372" t="s">
        <v>393</v>
      </c>
      <c r="C39" s="373" t="s">
        <v>52</v>
      </c>
      <c r="D39" s="374" t="s">
        <v>394</v>
      </c>
      <c r="E39" s="368"/>
      <c r="F39" s="368"/>
      <c r="G39" s="375" t="s">
        <v>395</v>
      </c>
      <c r="H39" s="369"/>
      <c r="I39" s="376" t="s">
        <v>9</v>
      </c>
      <c r="J39" s="377">
        <v>500000</v>
      </c>
      <c r="K39" s="377">
        <v>1500000</v>
      </c>
      <c r="L39" s="378" t="s">
        <v>396</v>
      </c>
      <c r="M39" s="379" t="s">
        <v>397</v>
      </c>
    </row>
    <row r="40" spans="1:13" ht="21.75" customHeight="1" x14ac:dyDescent="0.25">
      <c r="A40" s="37" t="s">
        <v>56</v>
      </c>
      <c r="B40" s="391" t="s">
        <v>43</v>
      </c>
      <c r="C40" s="394" t="s">
        <v>12</v>
      </c>
      <c r="D40" s="483" t="s">
        <v>79</v>
      </c>
      <c r="E40" s="27"/>
      <c r="F40" s="27"/>
      <c r="G40" s="27"/>
      <c r="H40" s="18">
        <v>43525</v>
      </c>
      <c r="I40" s="429" t="s">
        <v>243</v>
      </c>
      <c r="J40" s="444">
        <f>30*30000</f>
        <v>900000</v>
      </c>
      <c r="K40" s="444">
        <f>40*30000</f>
        <v>1200000</v>
      </c>
      <c r="L40" s="495" t="s">
        <v>74</v>
      </c>
      <c r="M40" s="485" t="s">
        <v>319</v>
      </c>
    </row>
    <row r="41" spans="1:13" ht="18" customHeight="1" x14ac:dyDescent="0.25">
      <c r="A41" s="35"/>
      <c r="B41" s="392"/>
      <c r="C41" s="395"/>
      <c r="D41" s="484"/>
      <c r="E41" s="27" t="s">
        <v>46</v>
      </c>
      <c r="F41" s="27" t="s">
        <v>46</v>
      </c>
      <c r="G41" s="27" t="s">
        <v>46</v>
      </c>
      <c r="H41" s="11"/>
      <c r="I41" s="430"/>
      <c r="J41" s="445"/>
      <c r="K41" s="445"/>
      <c r="L41" s="496"/>
      <c r="M41" s="486"/>
    </row>
    <row r="42" spans="1:13" x14ac:dyDescent="0.25">
      <c r="A42" s="35"/>
      <c r="B42" s="392"/>
      <c r="C42" s="395"/>
      <c r="D42" s="484"/>
      <c r="E42" s="38">
        <v>0.1</v>
      </c>
      <c r="F42" s="38">
        <v>0.2</v>
      </c>
      <c r="G42" s="38">
        <v>0.25</v>
      </c>
      <c r="H42" s="11"/>
      <c r="I42" s="430"/>
      <c r="J42" s="445"/>
      <c r="K42" s="445"/>
      <c r="L42" s="496"/>
      <c r="M42" s="486"/>
    </row>
    <row r="43" spans="1:13" ht="3" customHeight="1" thickBot="1" x14ac:dyDescent="0.3">
      <c r="A43" s="35"/>
      <c r="B43" s="392"/>
      <c r="C43" s="395"/>
      <c r="D43" s="484"/>
      <c r="E43" s="27" t="s">
        <v>120</v>
      </c>
      <c r="F43" s="27" t="s">
        <v>119</v>
      </c>
      <c r="G43" s="27" t="s">
        <v>118</v>
      </c>
      <c r="H43" s="11"/>
      <c r="I43" s="430"/>
      <c r="J43" s="445"/>
      <c r="K43" s="445"/>
      <c r="L43" s="496"/>
      <c r="M43" s="486"/>
    </row>
    <row r="44" spans="1:13" ht="15.75" hidden="1" customHeight="1" thickBot="1" x14ac:dyDescent="0.3">
      <c r="A44" s="36"/>
      <c r="B44" s="393"/>
      <c r="C44" s="395"/>
      <c r="D44" s="512"/>
      <c r="E44" s="57"/>
      <c r="F44" s="57"/>
      <c r="G44" s="57"/>
      <c r="H44" s="24"/>
      <c r="I44" s="431"/>
      <c r="J44" s="445"/>
      <c r="K44" s="445"/>
      <c r="L44" s="497"/>
      <c r="M44" s="487"/>
    </row>
    <row r="45" spans="1:13" ht="42.75" customHeight="1" x14ac:dyDescent="0.25">
      <c r="A45" s="37" t="s">
        <v>57</v>
      </c>
      <c r="B45" s="391" t="s">
        <v>234</v>
      </c>
      <c r="C45" s="395" t="s">
        <v>233</v>
      </c>
      <c r="D45" s="499" t="s">
        <v>8</v>
      </c>
      <c r="E45" s="339"/>
      <c r="F45" s="340"/>
      <c r="G45" s="315"/>
      <c r="H45" s="338">
        <v>43739</v>
      </c>
      <c r="I45" s="429" t="s">
        <v>17</v>
      </c>
      <c r="J45" s="493">
        <v>0</v>
      </c>
      <c r="K45" s="493">
        <v>0</v>
      </c>
      <c r="L45" s="436" t="s">
        <v>62</v>
      </c>
      <c r="M45" s="413" t="s">
        <v>331</v>
      </c>
    </row>
    <row r="46" spans="1:13" ht="15" hidden="1" customHeight="1" x14ac:dyDescent="0.25">
      <c r="A46" s="35"/>
      <c r="B46" s="392"/>
      <c r="C46" s="395"/>
      <c r="D46" s="500"/>
      <c r="E46" s="341"/>
      <c r="F46" s="314"/>
      <c r="G46" s="310"/>
      <c r="H46" s="173"/>
      <c r="I46" s="430"/>
      <c r="J46" s="493"/>
      <c r="K46" s="493"/>
      <c r="L46" s="436"/>
      <c r="M46" s="414"/>
    </row>
    <row r="47" spans="1:13" ht="7.5" customHeight="1" x14ac:dyDescent="0.25">
      <c r="A47" s="35"/>
      <c r="B47" s="392"/>
      <c r="C47" s="395"/>
      <c r="D47" s="500"/>
      <c r="E47" s="342"/>
      <c r="F47" s="343"/>
      <c r="G47" s="344"/>
      <c r="H47" s="173"/>
      <c r="I47" s="430"/>
      <c r="J47" s="493"/>
      <c r="K47" s="493"/>
      <c r="L47" s="436"/>
      <c r="M47" s="414"/>
    </row>
    <row r="48" spans="1:13" ht="15" hidden="1" customHeight="1" x14ac:dyDescent="0.25">
      <c r="A48" s="35"/>
      <c r="B48" s="392"/>
      <c r="C48" s="395"/>
      <c r="D48" s="470"/>
      <c r="E48" s="57"/>
      <c r="F48" s="57"/>
      <c r="G48" s="57"/>
      <c r="H48" s="11"/>
      <c r="I48" s="430"/>
      <c r="J48" s="493"/>
      <c r="K48" s="493"/>
      <c r="L48" s="436"/>
      <c r="M48" s="414"/>
    </row>
    <row r="49" spans="1:13" ht="15" hidden="1" customHeight="1" x14ac:dyDescent="0.25">
      <c r="A49" s="64"/>
      <c r="B49" s="452"/>
      <c r="C49" s="395"/>
      <c r="D49" s="471"/>
      <c r="E49" s="58"/>
      <c r="F49" s="58"/>
      <c r="G49" s="58"/>
      <c r="H49" s="271"/>
      <c r="I49" s="431"/>
      <c r="J49" s="493"/>
      <c r="K49" s="493"/>
      <c r="L49" s="436"/>
      <c r="M49" s="415"/>
    </row>
    <row r="50" spans="1:13" ht="27" customHeight="1" x14ac:dyDescent="0.25">
      <c r="A50" s="345" t="s">
        <v>58</v>
      </c>
      <c r="B50" s="450" t="s">
        <v>65</v>
      </c>
      <c r="C50" s="395" t="s">
        <v>6</v>
      </c>
      <c r="D50" s="483" t="s">
        <v>357</v>
      </c>
      <c r="E50" s="282"/>
      <c r="F50" s="282"/>
      <c r="G50" s="282"/>
      <c r="H50" s="287" t="s">
        <v>28</v>
      </c>
      <c r="I50" s="469" t="s">
        <v>200</v>
      </c>
      <c r="J50" s="404">
        <f>F52*96</f>
        <v>240000</v>
      </c>
      <c r="K50" s="419">
        <f>G52*96</f>
        <v>480000</v>
      </c>
      <c r="L50" s="505" t="s">
        <v>324</v>
      </c>
      <c r="M50" s="485" t="s">
        <v>325</v>
      </c>
    </row>
    <row r="51" spans="1:13" x14ac:dyDescent="0.25">
      <c r="A51" s="2"/>
      <c r="B51" s="392"/>
      <c r="C51" s="395"/>
      <c r="D51" s="484"/>
      <c r="E51" s="57" t="s">
        <v>39</v>
      </c>
      <c r="F51" s="57" t="s">
        <v>39</v>
      </c>
      <c r="G51" s="57" t="s">
        <v>38</v>
      </c>
      <c r="H51" s="177"/>
      <c r="I51" s="470"/>
      <c r="J51" s="404"/>
      <c r="K51" s="420"/>
      <c r="L51" s="506"/>
      <c r="M51" s="486"/>
    </row>
    <row r="52" spans="1:13" x14ac:dyDescent="0.25">
      <c r="A52" s="2"/>
      <c r="B52" s="392"/>
      <c r="C52" s="395"/>
      <c r="D52" s="484"/>
      <c r="E52" s="33">
        <v>1200</v>
      </c>
      <c r="F52" s="33">
        <v>2500</v>
      </c>
      <c r="G52" s="33">
        <v>5000</v>
      </c>
      <c r="H52" s="304"/>
      <c r="I52" s="470"/>
      <c r="J52" s="404"/>
      <c r="K52" s="420"/>
      <c r="L52" s="506"/>
      <c r="M52" s="486"/>
    </row>
    <row r="53" spans="1:13" x14ac:dyDescent="0.25">
      <c r="A53" s="2"/>
      <c r="B53" s="392"/>
      <c r="C53" s="395"/>
      <c r="D53" s="484"/>
      <c r="E53" s="282"/>
      <c r="F53" s="282"/>
      <c r="G53" s="282"/>
      <c r="H53" s="304"/>
      <c r="I53" s="470"/>
      <c r="J53" s="404"/>
      <c r="K53" s="420"/>
      <c r="L53" s="506"/>
      <c r="M53" s="486"/>
    </row>
    <row r="54" spans="1:13" ht="15.75" thickBot="1" x14ac:dyDescent="0.3">
      <c r="A54" s="267"/>
      <c r="B54" s="452"/>
      <c r="C54" s="395"/>
      <c r="D54" s="484"/>
      <c r="E54" s="58"/>
      <c r="F54" s="58"/>
      <c r="G54" s="58"/>
      <c r="H54" s="305"/>
      <c r="I54" s="471"/>
      <c r="J54" s="404"/>
      <c r="K54" s="403"/>
      <c r="L54" s="507"/>
      <c r="M54" s="487"/>
    </row>
    <row r="55" spans="1:13" ht="30" x14ac:dyDescent="0.25">
      <c r="A55" s="145" t="s">
        <v>21</v>
      </c>
      <c r="B55" s="501" t="s">
        <v>235</v>
      </c>
      <c r="C55" s="426"/>
      <c r="D55" s="426"/>
      <c r="E55" s="426"/>
      <c r="F55" s="426"/>
      <c r="G55" s="426"/>
      <c r="H55" s="426"/>
      <c r="I55" s="426"/>
      <c r="J55" s="426"/>
      <c r="K55" s="502"/>
      <c r="L55" s="326"/>
      <c r="M55" s="326"/>
    </row>
    <row r="56" spans="1:13" x14ac:dyDescent="0.25">
      <c r="A56" s="65"/>
      <c r="B56" s="6" t="s">
        <v>1</v>
      </c>
      <c r="C56" s="6" t="s">
        <v>4</v>
      </c>
      <c r="D56" s="6" t="s">
        <v>13</v>
      </c>
      <c r="E56" s="129" t="s">
        <v>24</v>
      </c>
      <c r="F56" s="130"/>
      <c r="G56" s="131"/>
      <c r="H56" s="6" t="s">
        <v>14</v>
      </c>
      <c r="I56" s="7" t="s">
        <v>0</v>
      </c>
      <c r="J56" s="135" t="s">
        <v>231</v>
      </c>
      <c r="K56" s="135"/>
      <c r="L56" s="181"/>
      <c r="M56" s="179"/>
    </row>
    <row r="57" spans="1:13" x14ac:dyDescent="0.25">
      <c r="A57" s="65"/>
      <c r="B57" s="6"/>
      <c r="C57" s="6"/>
      <c r="D57" s="6"/>
      <c r="E57" s="6">
        <v>2018</v>
      </c>
      <c r="F57" s="6">
        <v>2019</v>
      </c>
      <c r="G57" s="6">
        <v>2020</v>
      </c>
      <c r="H57" s="6"/>
      <c r="I57" s="7"/>
      <c r="J57" s="8">
        <v>2019</v>
      </c>
      <c r="K57" s="9">
        <v>2020</v>
      </c>
      <c r="L57" s="380" t="s">
        <v>30</v>
      </c>
      <c r="M57" s="182" t="s">
        <v>37</v>
      </c>
    </row>
    <row r="58" spans="1:13" ht="15.75" thickBot="1" x14ac:dyDescent="0.3">
      <c r="A58" s="65"/>
      <c r="B58" s="17"/>
      <c r="C58" s="17"/>
      <c r="D58" s="17"/>
      <c r="E58" s="17"/>
      <c r="F58" s="17"/>
      <c r="G58" s="17"/>
      <c r="H58" s="17"/>
      <c r="I58" s="17"/>
      <c r="J58" s="61" t="s">
        <v>265</v>
      </c>
      <c r="K58" s="129" t="s">
        <v>266</v>
      </c>
      <c r="L58" s="381"/>
      <c r="M58" s="183"/>
    </row>
    <row r="59" spans="1:13" x14ac:dyDescent="0.25">
      <c r="A59" s="37" t="s">
        <v>59</v>
      </c>
      <c r="B59" s="391" t="s">
        <v>157</v>
      </c>
      <c r="C59" s="394" t="s">
        <v>47</v>
      </c>
      <c r="D59" s="469" t="s">
        <v>8</v>
      </c>
      <c r="E59" s="23"/>
      <c r="F59" s="23"/>
      <c r="G59" s="23"/>
      <c r="H59" s="16"/>
      <c r="I59" s="429" t="s">
        <v>9</v>
      </c>
      <c r="J59" s="445">
        <f>30*60000</f>
        <v>1800000</v>
      </c>
      <c r="K59" s="437">
        <f>20*60000</f>
        <v>1200000</v>
      </c>
      <c r="L59" s="440" t="s">
        <v>272</v>
      </c>
      <c r="M59" s="413" t="s">
        <v>370</v>
      </c>
    </row>
    <row r="60" spans="1:13" x14ac:dyDescent="0.25">
      <c r="A60" s="35"/>
      <c r="B60" s="392"/>
      <c r="C60" s="395"/>
      <c r="D60" s="470"/>
      <c r="E60" s="11"/>
      <c r="F60" s="11"/>
      <c r="G60" s="11"/>
      <c r="H60" s="11"/>
      <c r="I60" s="430"/>
      <c r="J60" s="445"/>
      <c r="K60" s="438"/>
      <c r="L60" s="441"/>
      <c r="M60" s="414"/>
    </row>
    <row r="61" spans="1:13" x14ac:dyDescent="0.25">
      <c r="A61" s="35"/>
      <c r="B61" s="392"/>
      <c r="C61" s="395"/>
      <c r="D61" s="470"/>
      <c r="E61" s="11"/>
      <c r="F61" s="11">
        <v>30</v>
      </c>
      <c r="G61" s="11">
        <v>20</v>
      </c>
      <c r="H61" s="11">
        <v>2020</v>
      </c>
      <c r="I61" s="430"/>
      <c r="J61" s="445"/>
      <c r="K61" s="438"/>
      <c r="L61" s="441"/>
      <c r="M61" s="414"/>
    </row>
    <row r="62" spans="1:13" x14ac:dyDescent="0.25">
      <c r="A62" s="35"/>
      <c r="B62" s="392"/>
      <c r="C62" s="395"/>
      <c r="D62" s="470"/>
      <c r="E62" s="11"/>
      <c r="F62" s="11"/>
      <c r="G62" s="11"/>
      <c r="H62" s="11"/>
      <c r="I62" s="430"/>
      <c r="J62" s="445"/>
      <c r="K62" s="438"/>
      <c r="L62" s="441"/>
      <c r="M62" s="414"/>
    </row>
    <row r="63" spans="1:13" ht="32.25" customHeight="1" thickBot="1" x14ac:dyDescent="0.3">
      <c r="A63" s="36"/>
      <c r="B63" s="393"/>
      <c r="C63" s="395"/>
      <c r="D63" s="471"/>
      <c r="E63" s="20"/>
      <c r="F63" s="20"/>
      <c r="G63" s="20"/>
      <c r="H63" s="20"/>
      <c r="I63" s="431"/>
      <c r="J63" s="445"/>
      <c r="K63" s="439"/>
      <c r="L63" s="442"/>
      <c r="M63" s="415"/>
    </row>
    <row r="64" spans="1:13" ht="50.25" customHeight="1" x14ac:dyDescent="0.25">
      <c r="A64" s="37" t="s">
        <v>89</v>
      </c>
      <c r="B64" s="391" t="s">
        <v>159</v>
      </c>
      <c r="C64" s="394" t="s">
        <v>161</v>
      </c>
      <c r="D64" s="469" t="s">
        <v>8</v>
      </c>
      <c r="E64" s="460" t="s">
        <v>270</v>
      </c>
      <c r="F64" s="461"/>
      <c r="G64" s="462"/>
      <c r="H64" s="11"/>
      <c r="I64" s="194" t="s">
        <v>9</v>
      </c>
      <c r="J64" s="444">
        <f>45*9500</f>
        <v>427500</v>
      </c>
      <c r="K64" s="444">
        <f>65*9500</f>
        <v>617500</v>
      </c>
      <c r="L64" s="440" t="s">
        <v>160</v>
      </c>
      <c r="M64" s="413" t="s">
        <v>387</v>
      </c>
    </row>
    <row r="65" spans="1:13" x14ac:dyDescent="0.25">
      <c r="A65" s="35"/>
      <c r="B65" s="392"/>
      <c r="C65" s="395"/>
      <c r="D65" s="470"/>
      <c r="E65" s="119">
        <v>30</v>
      </c>
      <c r="F65" s="119">
        <v>45</v>
      </c>
      <c r="G65" s="119">
        <v>65</v>
      </c>
      <c r="H65" s="11" t="s">
        <v>162</v>
      </c>
      <c r="I65" s="122"/>
      <c r="J65" s="445"/>
      <c r="K65" s="445"/>
      <c r="L65" s="441"/>
      <c r="M65" s="414"/>
    </row>
    <row r="66" spans="1:13" x14ac:dyDescent="0.25">
      <c r="A66" s="35"/>
      <c r="B66" s="392"/>
      <c r="C66" s="395"/>
      <c r="D66" s="470"/>
      <c r="E66" s="11"/>
      <c r="F66" s="11"/>
      <c r="G66" s="11"/>
      <c r="H66" s="11"/>
      <c r="I66" s="122"/>
      <c r="J66" s="445"/>
      <c r="K66" s="445"/>
      <c r="L66" s="441"/>
      <c r="M66" s="414"/>
    </row>
    <row r="67" spans="1:13" x14ac:dyDescent="0.25">
      <c r="A67" s="35"/>
      <c r="B67" s="392"/>
      <c r="C67" s="395"/>
      <c r="D67" s="470"/>
      <c r="E67" s="11"/>
      <c r="F67" s="11"/>
      <c r="G67" s="11"/>
      <c r="H67" s="11"/>
      <c r="I67" s="122"/>
      <c r="J67" s="445"/>
      <c r="K67" s="445"/>
      <c r="L67" s="441"/>
      <c r="M67" s="414"/>
    </row>
    <row r="68" spans="1:13" ht="6" customHeight="1" thickBot="1" x14ac:dyDescent="0.3">
      <c r="A68" s="36"/>
      <c r="B68" s="393"/>
      <c r="C68" s="395"/>
      <c r="D68" s="471"/>
      <c r="E68" s="24"/>
      <c r="F68" s="24"/>
      <c r="G68" s="60"/>
      <c r="H68" s="11"/>
      <c r="I68" s="123"/>
      <c r="J68" s="445"/>
      <c r="K68" s="445"/>
      <c r="L68" s="442"/>
      <c r="M68" s="415"/>
    </row>
    <row r="69" spans="1:13" ht="3.75" customHeight="1" thickBot="1" x14ac:dyDescent="0.3">
      <c r="A69" s="35"/>
      <c r="B69" s="392"/>
      <c r="C69" s="395"/>
      <c r="D69" s="451"/>
      <c r="E69" s="11"/>
      <c r="F69" s="144"/>
      <c r="G69" s="132" t="s">
        <v>51</v>
      </c>
      <c r="H69" s="206"/>
      <c r="I69" s="25"/>
      <c r="J69" s="445"/>
      <c r="K69" s="438"/>
      <c r="L69" s="441"/>
      <c r="M69" s="414"/>
    </row>
    <row r="70" spans="1:13" ht="15.75" hidden="1" customHeight="1" thickBot="1" x14ac:dyDescent="0.3">
      <c r="A70" s="35"/>
      <c r="B70" s="392"/>
      <c r="C70" s="395"/>
      <c r="D70" s="451"/>
      <c r="E70" s="11"/>
      <c r="F70" s="11"/>
      <c r="G70" s="11"/>
      <c r="H70" s="40"/>
      <c r="I70" s="25"/>
      <c r="J70" s="445"/>
      <c r="K70" s="438"/>
      <c r="L70" s="441"/>
      <c r="M70" s="414"/>
    </row>
    <row r="71" spans="1:13" ht="15.75" hidden="1" customHeight="1" thickBot="1" x14ac:dyDescent="0.3">
      <c r="A71" s="36"/>
      <c r="B71" s="393"/>
      <c r="C71" s="395"/>
      <c r="D71" s="451"/>
      <c r="E71" s="24"/>
      <c r="F71" s="24"/>
      <c r="G71" s="24"/>
      <c r="H71" s="41"/>
      <c r="I71" s="26"/>
      <c r="J71" s="445"/>
      <c r="K71" s="439"/>
      <c r="L71" s="442"/>
      <c r="M71" s="491"/>
    </row>
    <row r="72" spans="1:13" ht="68.25" customHeight="1" x14ac:dyDescent="0.25">
      <c r="A72" s="3" t="s">
        <v>90</v>
      </c>
      <c r="B72" s="391" t="s">
        <v>78</v>
      </c>
      <c r="C72" s="395" t="s">
        <v>6</v>
      </c>
      <c r="D72" s="451" t="s">
        <v>79</v>
      </c>
      <c r="E72" s="16"/>
      <c r="F72" s="292"/>
      <c r="G72" s="528"/>
      <c r="H72" s="530" t="s">
        <v>28</v>
      </c>
      <c r="I72" s="531" t="s">
        <v>239</v>
      </c>
      <c r="J72" s="445">
        <v>60000</v>
      </c>
      <c r="K72" s="437">
        <v>120000</v>
      </c>
      <c r="L72" s="440" t="s">
        <v>273</v>
      </c>
      <c r="M72" s="541" t="s">
        <v>68</v>
      </c>
    </row>
    <row r="73" spans="1:13" ht="12" customHeight="1" x14ac:dyDescent="0.25">
      <c r="A73" s="4"/>
      <c r="B73" s="392"/>
      <c r="C73" s="395"/>
      <c r="D73" s="451"/>
      <c r="E73" s="295"/>
      <c r="F73" s="293"/>
      <c r="G73" s="529"/>
      <c r="H73" s="530"/>
      <c r="I73" s="430"/>
      <c r="J73" s="445"/>
      <c r="K73" s="438"/>
      <c r="L73" s="441"/>
      <c r="M73" s="542"/>
    </row>
    <row r="74" spans="1:13" ht="15" hidden="1" customHeight="1" x14ac:dyDescent="0.25">
      <c r="A74" s="4"/>
      <c r="B74" s="392"/>
      <c r="C74" s="395"/>
      <c r="D74" s="451"/>
      <c r="E74" s="11"/>
      <c r="F74" s="293"/>
      <c r="G74" s="529"/>
      <c r="H74" s="530"/>
      <c r="I74" s="430"/>
      <c r="J74" s="445"/>
      <c r="K74" s="438"/>
      <c r="L74" s="441"/>
      <c r="M74" s="125"/>
    </row>
    <row r="75" spans="1:13" ht="15" hidden="1" customHeight="1" x14ac:dyDescent="0.25">
      <c r="A75" s="4"/>
      <c r="B75" s="392"/>
      <c r="C75" s="395"/>
      <c r="D75" s="451"/>
      <c r="E75" s="11"/>
      <c r="F75" s="293"/>
      <c r="G75" s="529"/>
      <c r="H75" s="530"/>
      <c r="I75" s="430"/>
      <c r="J75" s="445"/>
      <c r="K75" s="438"/>
      <c r="L75" s="441"/>
      <c r="M75" s="125"/>
    </row>
    <row r="76" spans="1:13" ht="15.75" hidden="1" customHeight="1" thickBot="1" x14ac:dyDescent="0.25">
      <c r="A76" s="286"/>
      <c r="B76" s="452"/>
      <c r="C76" s="395"/>
      <c r="D76" s="451"/>
      <c r="E76" s="295"/>
      <c r="F76" s="294"/>
      <c r="G76" s="529"/>
      <c r="H76" s="530"/>
      <c r="I76" s="431"/>
      <c r="J76" s="445"/>
      <c r="K76" s="504"/>
      <c r="L76" s="492"/>
      <c r="M76" s="285"/>
    </row>
    <row r="77" spans="1:13" ht="24.75" customHeight="1" x14ac:dyDescent="0.25">
      <c r="A77" s="145" t="s">
        <v>21</v>
      </c>
      <c r="B77" s="426" t="s">
        <v>156</v>
      </c>
      <c r="C77" s="426"/>
      <c r="D77" s="426"/>
      <c r="E77" s="426"/>
      <c r="F77" s="426"/>
      <c r="G77" s="426"/>
      <c r="H77" s="426"/>
      <c r="I77" s="426"/>
      <c r="J77" s="426"/>
      <c r="K77" s="426"/>
      <c r="L77" s="180"/>
      <c r="M77" s="178"/>
    </row>
    <row r="78" spans="1:13" x14ac:dyDescent="0.25">
      <c r="A78" s="65"/>
      <c r="B78" s="6" t="s">
        <v>1</v>
      </c>
      <c r="C78" s="6" t="s">
        <v>4</v>
      </c>
      <c r="D78" s="6" t="s">
        <v>13</v>
      </c>
      <c r="E78" s="129" t="s">
        <v>24</v>
      </c>
      <c r="F78" s="130"/>
      <c r="G78" s="131"/>
      <c r="H78" s="6" t="s">
        <v>14</v>
      </c>
      <c r="I78" s="7" t="s">
        <v>0</v>
      </c>
      <c r="J78" s="135" t="s">
        <v>231</v>
      </c>
      <c r="K78" s="135"/>
      <c r="L78" s="181"/>
      <c r="M78" s="179"/>
    </row>
    <row r="79" spans="1:13" x14ac:dyDescent="0.25">
      <c r="A79" s="65"/>
      <c r="B79" s="6"/>
      <c r="C79" s="6"/>
      <c r="D79" s="6"/>
      <c r="E79" s="6">
        <v>2018</v>
      </c>
      <c r="F79" s="6">
        <v>2019</v>
      </c>
      <c r="G79" s="6">
        <v>2020</v>
      </c>
      <c r="H79" s="6"/>
      <c r="I79" s="7"/>
      <c r="J79" s="8">
        <v>2019</v>
      </c>
      <c r="K79" s="9">
        <v>2020</v>
      </c>
      <c r="L79" s="380" t="s">
        <v>30</v>
      </c>
      <c r="M79" s="182" t="s">
        <v>37</v>
      </c>
    </row>
    <row r="80" spans="1:13" x14ac:dyDescent="0.25">
      <c r="A80" s="65"/>
      <c r="B80" s="17"/>
      <c r="C80" s="17"/>
      <c r="D80" s="17"/>
      <c r="E80" s="17"/>
      <c r="F80" s="17"/>
      <c r="G80" s="17"/>
      <c r="H80" s="17"/>
      <c r="I80" s="17"/>
      <c r="J80" s="61" t="s">
        <v>265</v>
      </c>
      <c r="K80" s="129" t="s">
        <v>266</v>
      </c>
      <c r="L80" s="381"/>
      <c r="M80" s="183"/>
    </row>
    <row r="81" spans="1:13" x14ac:dyDescent="0.25">
      <c r="A81" s="146" t="s">
        <v>60</v>
      </c>
      <c r="B81" s="450" t="s">
        <v>360</v>
      </c>
      <c r="C81" s="395" t="s">
        <v>232</v>
      </c>
      <c r="D81" s="475" t="s">
        <v>2</v>
      </c>
      <c r="E81" s="16"/>
      <c r="F81" s="16"/>
      <c r="G81" s="16"/>
      <c r="H81" s="532">
        <v>44166</v>
      </c>
      <c r="I81" s="429" t="s">
        <v>17</v>
      </c>
      <c r="J81" s="498">
        <v>0</v>
      </c>
      <c r="K81" s="498">
        <v>0</v>
      </c>
      <c r="L81" s="435" t="s">
        <v>361</v>
      </c>
      <c r="M81" s="383" t="s">
        <v>18</v>
      </c>
    </row>
    <row r="82" spans="1:13" x14ac:dyDescent="0.25">
      <c r="A82" s="147"/>
      <c r="B82" s="392"/>
      <c r="C82" s="395"/>
      <c r="D82" s="475"/>
      <c r="E82" s="11"/>
      <c r="F82" s="11"/>
      <c r="G82" s="398" t="s">
        <v>114</v>
      </c>
      <c r="H82" s="533"/>
      <c r="I82" s="430"/>
      <c r="J82" s="498"/>
      <c r="K82" s="498"/>
      <c r="L82" s="436"/>
      <c r="M82" s="383"/>
    </row>
    <row r="83" spans="1:13" x14ac:dyDescent="0.25">
      <c r="A83" s="147"/>
      <c r="B83" s="392"/>
      <c r="C83" s="395"/>
      <c r="D83" s="475"/>
      <c r="E83" s="11"/>
      <c r="F83" s="11"/>
      <c r="G83" s="398"/>
      <c r="H83" s="533"/>
      <c r="I83" s="430"/>
      <c r="J83" s="498"/>
      <c r="K83" s="498"/>
      <c r="L83" s="436"/>
      <c r="M83" s="383"/>
    </row>
    <row r="84" spans="1:13" ht="4.5" customHeight="1" x14ac:dyDescent="0.25">
      <c r="A84" s="147"/>
      <c r="B84" s="392"/>
      <c r="C84" s="395"/>
      <c r="D84" s="475"/>
      <c r="E84" s="11"/>
      <c r="F84" s="11"/>
      <c r="G84" s="11"/>
      <c r="H84" s="533"/>
      <c r="I84" s="430"/>
      <c r="J84" s="498"/>
      <c r="K84" s="498"/>
      <c r="L84" s="436"/>
      <c r="M84" s="383"/>
    </row>
    <row r="85" spans="1:13" ht="15" hidden="1" customHeight="1" x14ac:dyDescent="0.25">
      <c r="A85" s="148"/>
      <c r="B85" s="452"/>
      <c r="C85" s="395"/>
      <c r="D85" s="475"/>
      <c r="E85" s="110"/>
      <c r="F85" s="110"/>
      <c r="G85" s="110"/>
      <c r="H85" s="534"/>
      <c r="I85" s="431"/>
      <c r="J85" s="498"/>
      <c r="K85" s="498"/>
      <c r="L85" s="436"/>
      <c r="M85" s="453"/>
    </row>
    <row r="86" spans="1:13" ht="15" hidden="1" customHeight="1" x14ac:dyDescent="0.25">
      <c r="A86" s="147"/>
      <c r="B86" s="392"/>
      <c r="C86" s="395"/>
      <c r="D86" s="475"/>
      <c r="E86" s="11"/>
      <c r="F86" s="11"/>
      <c r="G86" s="11"/>
      <c r="H86" s="467"/>
      <c r="I86" s="430"/>
      <c r="J86" s="498"/>
      <c r="K86" s="498"/>
      <c r="L86" s="436"/>
      <c r="M86" s="383"/>
    </row>
    <row r="87" spans="1:13" ht="15" hidden="1" customHeight="1" x14ac:dyDescent="0.25">
      <c r="A87" s="148"/>
      <c r="B87" s="452"/>
      <c r="C87" s="395"/>
      <c r="D87" s="475"/>
      <c r="E87" s="110"/>
      <c r="F87" s="110"/>
      <c r="G87" s="110"/>
      <c r="H87" s="468"/>
      <c r="I87" s="431"/>
      <c r="J87" s="498"/>
      <c r="K87" s="498"/>
      <c r="L87" s="436"/>
      <c r="M87" s="453"/>
    </row>
    <row r="88" spans="1:13" ht="93" customHeight="1" x14ac:dyDescent="0.25">
      <c r="A88" s="136" t="s">
        <v>61</v>
      </c>
      <c r="B88" s="450" t="s">
        <v>358</v>
      </c>
      <c r="C88" s="395" t="s">
        <v>232</v>
      </c>
      <c r="D88" s="425" t="s">
        <v>8</v>
      </c>
      <c r="E88" s="112"/>
      <c r="F88" s="16"/>
      <c r="G88" s="447" t="s">
        <v>113</v>
      </c>
      <c r="H88" s="466">
        <v>2020</v>
      </c>
      <c r="I88" s="429" t="s">
        <v>17</v>
      </c>
      <c r="J88" s="445">
        <v>230000</v>
      </c>
      <c r="K88" s="513">
        <v>0</v>
      </c>
      <c r="L88" s="538" t="s">
        <v>274</v>
      </c>
      <c r="M88" s="149" t="s">
        <v>275</v>
      </c>
    </row>
    <row r="89" spans="1:13" ht="15" hidden="1" customHeight="1" x14ac:dyDescent="0.25">
      <c r="A89" s="137"/>
      <c r="B89" s="392"/>
      <c r="C89" s="395"/>
      <c r="D89" s="425"/>
      <c r="E89" s="11"/>
      <c r="F89" s="11"/>
      <c r="G89" s="448"/>
      <c r="H89" s="466"/>
      <c r="I89" s="430"/>
      <c r="J89" s="445"/>
      <c r="K89" s="513"/>
      <c r="L89" s="539"/>
      <c r="M89" s="111"/>
    </row>
    <row r="90" spans="1:13" ht="15" hidden="1" customHeight="1" x14ac:dyDescent="0.25">
      <c r="A90" s="137"/>
      <c r="B90" s="392"/>
      <c r="C90" s="395"/>
      <c r="D90" s="425"/>
      <c r="E90" s="11"/>
      <c r="F90" s="11"/>
      <c r="G90" s="448"/>
      <c r="H90" s="466"/>
      <c r="I90" s="430"/>
      <c r="J90" s="445"/>
      <c r="K90" s="513"/>
      <c r="L90" s="539"/>
      <c r="M90" s="111"/>
    </row>
    <row r="91" spans="1:13" ht="15" hidden="1" customHeight="1" x14ac:dyDescent="0.25">
      <c r="A91" s="137"/>
      <c r="B91" s="392"/>
      <c r="C91" s="395"/>
      <c r="D91" s="425"/>
      <c r="E91" s="11"/>
      <c r="F91" s="11"/>
      <c r="G91" s="448"/>
      <c r="H91" s="466"/>
      <c r="I91" s="430"/>
      <c r="J91" s="445"/>
      <c r="K91" s="513"/>
      <c r="L91" s="539"/>
      <c r="M91" s="111"/>
    </row>
    <row r="92" spans="1:13" ht="15" hidden="1" customHeight="1" x14ac:dyDescent="0.25">
      <c r="A92" s="148"/>
      <c r="B92" s="452"/>
      <c r="C92" s="395"/>
      <c r="D92" s="425"/>
      <c r="E92" s="110"/>
      <c r="F92" s="110"/>
      <c r="G92" s="449"/>
      <c r="H92" s="466"/>
      <c r="I92" s="431"/>
      <c r="J92" s="445"/>
      <c r="K92" s="513"/>
      <c r="L92" s="540"/>
      <c r="M92" s="150"/>
    </row>
    <row r="93" spans="1:13" ht="53.25" customHeight="1" x14ac:dyDescent="0.25">
      <c r="A93" s="4" t="s">
        <v>91</v>
      </c>
      <c r="B93" s="450" t="s">
        <v>10</v>
      </c>
      <c r="C93" s="395" t="s">
        <v>232</v>
      </c>
      <c r="D93" s="425" t="s">
        <v>8</v>
      </c>
      <c r="E93" s="16"/>
      <c r="F93" s="447" t="s">
        <v>113</v>
      </c>
      <c r="G93" s="112" t="s">
        <v>29</v>
      </c>
      <c r="H93" s="466">
        <v>2019</v>
      </c>
      <c r="I93" s="429" t="s">
        <v>17</v>
      </c>
      <c r="J93" s="498">
        <v>0</v>
      </c>
      <c r="K93" s="498">
        <v>0</v>
      </c>
      <c r="L93" s="436" t="s">
        <v>62</v>
      </c>
      <c r="M93" s="543" t="s">
        <v>80</v>
      </c>
    </row>
    <row r="94" spans="1:13" ht="15" customHeight="1" thickBot="1" x14ac:dyDescent="0.3">
      <c r="A94" s="4"/>
      <c r="B94" s="392"/>
      <c r="C94" s="395"/>
      <c r="D94" s="425"/>
      <c r="E94" s="110"/>
      <c r="F94" s="448"/>
      <c r="G94" s="110" t="s">
        <v>29</v>
      </c>
      <c r="H94" s="466"/>
      <c r="I94" s="430"/>
      <c r="J94" s="498"/>
      <c r="K94" s="498"/>
      <c r="L94" s="436"/>
      <c r="M94" s="536"/>
    </row>
    <row r="95" spans="1:13" ht="15.75" hidden="1" customHeight="1" thickBot="1" x14ac:dyDescent="0.3">
      <c r="A95" s="4"/>
      <c r="B95" s="392"/>
      <c r="C95" s="395"/>
      <c r="D95" s="425"/>
      <c r="E95" s="11"/>
      <c r="F95" s="448"/>
      <c r="G95" s="11" t="s">
        <v>29</v>
      </c>
      <c r="H95" s="466"/>
      <c r="I95" s="430"/>
      <c r="J95" s="498"/>
      <c r="K95" s="498"/>
      <c r="L95" s="436"/>
      <c r="M95" s="151"/>
    </row>
    <row r="96" spans="1:13" ht="15.75" hidden="1" customHeight="1" thickBot="1" x14ac:dyDescent="0.3">
      <c r="A96" s="4"/>
      <c r="B96" s="392"/>
      <c r="C96" s="395"/>
      <c r="D96" s="425"/>
      <c r="E96" s="11"/>
      <c r="F96" s="448"/>
      <c r="G96" s="11" t="s">
        <v>29</v>
      </c>
      <c r="H96" s="466"/>
      <c r="I96" s="430"/>
      <c r="J96" s="498"/>
      <c r="K96" s="498"/>
      <c r="L96" s="436"/>
      <c r="M96" s="151"/>
    </row>
    <row r="97" spans="1:13" ht="15.75" hidden="1" customHeight="1" thickBot="1" x14ac:dyDescent="0.3">
      <c r="A97" s="5"/>
      <c r="B97" s="452"/>
      <c r="C97" s="395"/>
      <c r="D97" s="425"/>
      <c r="E97" s="39"/>
      <c r="F97" s="449"/>
      <c r="G97" s="11" t="s">
        <v>29</v>
      </c>
      <c r="H97" s="466"/>
      <c r="I97" s="431"/>
      <c r="J97" s="498"/>
      <c r="K97" s="498"/>
      <c r="L97" s="436"/>
      <c r="M97" s="152"/>
    </row>
    <row r="98" spans="1:13" ht="20.25" customHeight="1" x14ac:dyDescent="0.25">
      <c r="A98" s="3" t="s">
        <v>92</v>
      </c>
      <c r="B98" s="450" t="s">
        <v>336</v>
      </c>
      <c r="C98" s="395" t="s">
        <v>11</v>
      </c>
      <c r="D98" s="425" t="s">
        <v>8</v>
      </c>
      <c r="E98" s="16"/>
      <c r="F98" s="447" t="s">
        <v>381</v>
      </c>
      <c r="G98" s="43"/>
      <c r="H98" s="466">
        <v>2019</v>
      </c>
      <c r="I98" s="429" t="s">
        <v>17</v>
      </c>
      <c r="J98" s="498">
        <v>0</v>
      </c>
      <c r="K98" s="498">
        <v>0</v>
      </c>
      <c r="L98" s="457" t="s">
        <v>371</v>
      </c>
      <c r="M98" s="535" t="s">
        <v>374</v>
      </c>
    </row>
    <row r="99" spans="1:13" ht="9" customHeight="1" x14ac:dyDescent="0.25">
      <c r="A99" s="4"/>
      <c r="B99" s="392"/>
      <c r="C99" s="395"/>
      <c r="D99" s="425"/>
      <c r="E99" s="11"/>
      <c r="F99" s="448"/>
      <c r="G99" s="11"/>
      <c r="H99" s="466"/>
      <c r="I99" s="430"/>
      <c r="J99" s="498"/>
      <c r="K99" s="498"/>
      <c r="L99" s="458"/>
      <c r="M99" s="536"/>
    </row>
    <row r="100" spans="1:13" x14ac:dyDescent="0.25">
      <c r="A100" s="4"/>
      <c r="B100" s="392"/>
      <c r="C100" s="395"/>
      <c r="D100" s="425"/>
      <c r="E100" s="11"/>
      <c r="F100" s="448"/>
      <c r="G100" s="11" t="s">
        <v>29</v>
      </c>
      <c r="H100" s="466"/>
      <c r="I100" s="430"/>
      <c r="J100" s="498"/>
      <c r="K100" s="498"/>
      <c r="L100" s="458"/>
      <c r="M100" s="536"/>
    </row>
    <row r="101" spans="1:13" x14ac:dyDescent="0.25">
      <c r="A101" s="4"/>
      <c r="B101" s="392"/>
      <c r="C101" s="395"/>
      <c r="D101" s="425"/>
      <c r="E101" s="11"/>
      <c r="F101" s="448"/>
      <c r="G101" s="11"/>
      <c r="H101" s="466"/>
      <c r="I101" s="430"/>
      <c r="J101" s="498"/>
      <c r="K101" s="498"/>
      <c r="L101" s="458"/>
      <c r="M101" s="536"/>
    </row>
    <row r="102" spans="1:13" ht="9.75" customHeight="1" thickBot="1" x14ac:dyDescent="0.3">
      <c r="A102" s="5"/>
      <c r="B102" s="393"/>
      <c r="C102" s="395"/>
      <c r="D102" s="425"/>
      <c r="E102" s="39"/>
      <c r="F102" s="449"/>
      <c r="G102" s="44"/>
      <c r="H102" s="466"/>
      <c r="I102" s="431"/>
      <c r="J102" s="498"/>
      <c r="K102" s="498"/>
      <c r="L102" s="459"/>
      <c r="M102" s="537"/>
    </row>
    <row r="103" spans="1:13" ht="28.5" customHeight="1" x14ac:dyDescent="0.25">
      <c r="A103" s="37" t="s">
        <v>93</v>
      </c>
      <c r="B103" s="391" t="s">
        <v>365</v>
      </c>
      <c r="C103" s="394" t="s">
        <v>52</v>
      </c>
      <c r="D103" s="425" t="s">
        <v>8</v>
      </c>
      <c r="E103" s="28"/>
      <c r="F103" s="28"/>
      <c r="G103" s="447" t="s">
        <v>112</v>
      </c>
      <c r="H103" s="117">
        <v>2020</v>
      </c>
      <c r="I103" s="121" t="s">
        <v>9</v>
      </c>
      <c r="J103" s="444">
        <f>100*3500</f>
        <v>350000</v>
      </c>
      <c r="K103" s="438">
        <f>150*3500</f>
        <v>525000</v>
      </c>
      <c r="L103" s="441" t="s">
        <v>366</v>
      </c>
      <c r="M103" s="503" t="s">
        <v>367</v>
      </c>
    </row>
    <row r="104" spans="1:13" x14ac:dyDescent="0.25">
      <c r="A104" s="35"/>
      <c r="B104" s="392"/>
      <c r="C104" s="395"/>
      <c r="D104" s="425"/>
      <c r="E104" s="11"/>
      <c r="F104" s="11"/>
      <c r="G104" s="448"/>
      <c r="H104" s="11"/>
      <c r="I104" s="122"/>
      <c r="J104" s="445"/>
      <c r="K104" s="438"/>
      <c r="L104" s="441"/>
      <c r="M104" s="414"/>
    </row>
    <row r="105" spans="1:13" x14ac:dyDescent="0.25">
      <c r="A105" s="35"/>
      <c r="B105" s="392"/>
      <c r="C105" s="395"/>
      <c r="D105" s="425"/>
      <c r="E105" s="11"/>
      <c r="F105" s="11" t="s">
        <v>29</v>
      </c>
      <c r="G105" s="448"/>
      <c r="H105" s="11"/>
      <c r="I105" s="122"/>
      <c r="J105" s="445"/>
      <c r="K105" s="438"/>
      <c r="L105" s="441"/>
      <c r="M105" s="414"/>
    </row>
    <row r="106" spans="1:13" x14ac:dyDescent="0.25">
      <c r="A106" s="35"/>
      <c r="B106" s="392"/>
      <c r="C106" s="395"/>
      <c r="D106" s="425"/>
      <c r="E106" s="11"/>
      <c r="F106" s="11"/>
      <c r="G106" s="448"/>
      <c r="H106" s="11"/>
      <c r="I106" s="122"/>
      <c r="J106" s="445"/>
      <c r="K106" s="438"/>
      <c r="L106" s="441"/>
      <c r="M106" s="414"/>
    </row>
    <row r="107" spans="1:13" ht="15.75" thickBot="1" x14ac:dyDescent="0.3">
      <c r="A107" s="36"/>
      <c r="B107" s="393"/>
      <c r="C107" s="395"/>
      <c r="D107" s="425"/>
      <c r="E107" s="24"/>
      <c r="F107" s="24"/>
      <c r="G107" s="449"/>
      <c r="H107" s="24"/>
      <c r="I107" s="123"/>
      <c r="J107" s="445"/>
      <c r="K107" s="439"/>
      <c r="L107" s="442"/>
      <c r="M107" s="415"/>
    </row>
    <row r="108" spans="1:13" ht="40.5" customHeight="1" x14ac:dyDescent="0.25">
      <c r="A108" s="37" t="s">
        <v>267</v>
      </c>
      <c r="B108" s="391" t="s">
        <v>55</v>
      </c>
      <c r="C108" s="395" t="s">
        <v>6</v>
      </c>
      <c r="D108" s="451" t="s">
        <v>79</v>
      </c>
      <c r="E108" s="43"/>
      <c r="F108" s="43"/>
      <c r="G108" s="447" t="s">
        <v>111</v>
      </c>
      <c r="H108" s="117">
        <v>2020</v>
      </c>
      <c r="I108" s="121" t="s">
        <v>9</v>
      </c>
      <c r="J108" s="444">
        <v>120000</v>
      </c>
      <c r="K108" s="437">
        <v>60000</v>
      </c>
      <c r="L108" s="382" t="s">
        <v>386</v>
      </c>
      <c r="M108" s="413" t="s">
        <v>69</v>
      </c>
    </row>
    <row r="109" spans="1:13" x14ac:dyDescent="0.25">
      <c r="A109" s="35"/>
      <c r="B109" s="392"/>
      <c r="C109" s="395"/>
      <c r="D109" s="451"/>
      <c r="E109" s="11"/>
      <c r="F109" s="11"/>
      <c r="G109" s="448"/>
      <c r="H109" s="11"/>
      <c r="I109" s="122"/>
      <c r="J109" s="445"/>
      <c r="K109" s="438"/>
      <c r="L109" s="383"/>
      <c r="M109" s="414"/>
    </row>
    <row r="110" spans="1:13" x14ac:dyDescent="0.25">
      <c r="A110" s="35"/>
      <c r="B110" s="392"/>
      <c r="C110" s="395"/>
      <c r="D110" s="451"/>
      <c r="E110" s="11"/>
      <c r="F110" s="11" t="s">
        <v>29</v>
      </c>
      <c r="G110" s="448"/>
      <c r="H110" s="11"/>
      <c r="I110" s="122"/>
      <c r="J110" s="445"/>
      <c r="K110" s="438"/>
      <c r="L110" s="383"/>
      <c r="M110" s="414"/>
    </row>
    <row r="111" spans="1:13" x14ac:dyDescent="0.25">
      <c r="A111" s="35"/>
      <c r="B111" s="392"/>
      <c r="C111" s="395"/>
      <c r="D111" s="451"/>
      <c r="E111" s="11"/>
      <c r="F111" s="11"/>
      <c r="G111" s="448"/>
      <c r="H111" s="11"/>
      <c r="I111" s="122"/>
      <c r="J111" s="445"/>
      <c r="K111" s="438"/>
      <c r="L111" s="383"/>
      <c r="M111" s="414"/>
    </row>
    <row r="112" spans="1:13" ht="15.75" thickBot="1" x14ac:dyDescent="0.3">
      <c r="A112" s="36"/>
      <c r="B112" s="393"/>
      <c r="C112" s="395"/>
      <c r="D112" s="451"/>
      <c r="E112" s="60"/>
      <c r="F112" s="60"/>
      <c r="G112" s="449"/>
      <c r="H112" s="60"/>
      <c r="I112" s="123"/>
      <c r="J112" s="445"/>
      <c r="K112" s="439"/>
      <c r="L112" s="453"/>
      <c r="M112" s="415"/>
    </row>
    <row r="113" spans="1:13" ht="30" x14ac:dyDescent="0.25">
      <c r="A113" s="145" t="s">
        <v>21</v>
      </c>
      <c r="B113" s="426" t="s">
        <v>53</v>
      </c>
      <c r="C113" s="426"/>
      <c r="D113" s="426"/>
      <c r="E113" s="426"/>
      <c r="F113" s="426"/>
      <c r="G113" s="426"/>
      <c r="H113" s="426"/>
      <c r="I113" s="426"/>
      <c r="J113" s="426"/>
      <c r="K113" s="426"/>
      <c r="L113" s="300"/>
      <c r="M113" s="299"/>
    </row>
    <row r="114" spans="1:13" x14ac:dyDescent="0.25">
      <c r="A114" s="65"/>
      <c r="B114" s="6" t="s">
        <v>1</v>
      </c>
      <c r="C114" s="6" t="s">
        <v>4</v>
      </c>
      <c r="D114" s="6" t="s">
        <v>13</v>
      </c>
      <c r="E114" s="129" t="s">
        <v>24</v>
      </c>
      <c r="F114" s="130"/>
      <c r="G114" s="131"/>
      <c r="H114" s="6" t="s">
        <v>14</v>
      </c>
      <c r="I114" s="7" t="s">
        <v>0</v>
      </c>
      <c r="J114" s="135" t="s">
        <v>231</v>
      </c>
      <c r="K114" s="135"/>
      <c r="L114" s="301"/>
      <c r="M114" s="154"/>
    </row>
    <row r="115" spans="1:13" x14ac:dyDescent="0.25">
      <c r="A115" s="65"/>
      <c r="B115" s="6"/>
      <c r="C115" s="6"/>
      <c r="D115" s="6"/>
      <c r="E115" s="6">
        <v>2018</v>
      </c>
      <c r="F115" s="6">
        <v>2019</v>
      </c>
      <c r="G115" s="6">
        <v>2020</v>
      </c>
      <c r="H115" s="6"/>
      <c r="I115" s="7"/>
      <c r="J115" s="8">
        <v>2019</v>
      </c>
      <c r="K115" s="9">
        <v>2020</v>
      </c>
      <c r="L115" s="302" t="s">
        <v>30</v>
      </c>
      <c r="M115" s="155" t="s">
        <v>37</v>
      </c>
    </row>
    <row r="116" spans="1:13" ht="15.75" thickBot="1" x14ac:dyDescent="0.3">
      <c r="A116" s="65"/>
      <c r="B116" s="17"/>
      <c r="C116" s="17"/>
      <c r="D116" s="17"/>
      <c r="E116" s="17"/>
      <c r="F116" s="17"/>
      <c r="G116" s="17"/>
      <c r="H116" s="17"/>
      <c r="I116" s="17"/>
      <c r="J116" s="61" t="s">
        <v>266</v>
      </c>
      <c r="K116" s="129" t="s">
        <v>265</v>
      </c>
      <c r="L116" s="303"/>
      <c r="M116" s="113"/>
    </row>
    <row r="117" spans="1:13" ht="35.25" customHeight="1" x14ac:dyDescent="0.25">
      <c r="A117" s="37" t="s">
        <v>94</v>
      </c>
      <c r="B117" s="391" t="s">
        <v>54</v>
      </c>
      <c r="C117" s="395" t="s">
        <v>6</v>
      </c>
      <c r="D117" s="451" t="s">
        <v>79</v>
      </c>
      <c r="E117" s="32"/>
      <c r="F117" s="32"/>
      <c r="G117" s="32"/>
      <c r="H117" s="16"/>
      <c r="I117" s="385" t="s">
        <v>48</v>
      </c>
      <c r="J117" s="444">
        <v>148000</v>
      </c>
      <c r="K117" s="444">
        <v>148000</v>
      </c>
      <c r="L117" s="441" t="s">
        <v>201</v>
      </c>
      <c r="M117" s="503" t="s">
        <v>276</v>
      </c>
    </row>
    <row r="118" spans="1:13" x14ac:dyDescent="0.25">
      <c r="A118" s="35"/>
      <c r="B118" s="392"/>
      <c r="C118" s="395"/>
      <c r="D118" s="451"/>
      <c r="E118" s="11"/>
      <c r="F118" s="11"/>
      <c r="G118" s="11"/>
      <c r="H118" s="386" t="s">
        <v>104</v>
      </c>
      <c r="I118" s="386"/>
      <c r="J118" s="445"/>
      <c r="K118" s="445"/>
      <c r="L118" s="441"/>
      <c r="M118" s="414"/>
    </row>
    <row r="119" spans="1:13" x14ac:dyDescent="0.25">
      <c r="A119" s="35"/>
      <c r="B119" s="392"/>
      <c r="C119" s="395"/>
      <c r="D119" s="451"/>
      <c r="E119" s="11"/>
      <c r="F119" s="11"/>
      <c r="G119" s="11"/>
      <c r="H119" s="386"/>
      <c r="I119" s="386"/>
      <c r="J119" s="445"/>
      <c r="K119" s="445"/>
      <c r="L119" s="441"/>
      <c r="M119" s="414"/>
    </row>
    <row r="120" spans="1:13" x14ac:dyDescent="0.25">
      <c r="A120" s="35"/>
      <c r="B120" s="392"/>
      <c r="C120" s="395"/>
      <c r="D120" s="451"/>
      <c r="E120" s="11"/>
      <c r="F120" s="11"/>
      <c r="G120" s="11"/>
      <c r="H120" s="11"/>
      <c r="I120" s="386"/>
      <c r="J120" s="445"/>
      <c r="K120" s="445"/>
      <c r="L120" s="441"/>
      <c r="M120" s="414"/>
    </row>
    <row r="121" spans="1:13" ht="15.75" thickBot="1" x14ac:dyDescent="0.3">
      <c r="A121" s="36"/>
      <c r="B121" s="393"/>
      <c r="C121" s="395"/>
      <c r="D121" s="451"/>
      <c r="E121" s="31"/>
      <c r="F121" s="31"/>
      <c r="G121" s="31"/>
      <c r="H121" s="31"/>
      <c r="I121" s="387"/>
      <c r="J121" s="494"/>
      <c r="K121" s="494"/>
      <c r="L121" s="441"/>
      <c r="M121" s="415"/>
    </row>
    <row r="122" spans="1:13" ht="153" customHeight="1" thickBot="1" x14ac:dyDescent="0.3">
      <c r="A122" s="37" t="s">
        <v>95</v>
      </c>
      <c r="B122" s="192" t="s">
        <v>241</v>
      </c>
      <c r="C122" s="394" t="s">
        <v>6</v>
      </c>
      <c r="D122" s="425" t="s">
        <v>8</v>
      </c>
      <c r="E122" s="32"/>
      <c r="F122" s="32"/>
      <c r="G122" s="32"/>
      <c r="H122" s="116">
        <v>2020</v>
      </c>
      <c r="I122" s="407" t="s">
        <v>9</v>
      </c>
      <c r="J122" s="400" t="s">
        <v>29</v>
      </c>
      <c r="K122" s="410" t="s">
        <v>29</v>
      </c>
      <c r="L122" s="436" t="s">
        <v>62</v>
      </c>
      <c r="M122" s="413" t="s">
        <v>277</v>
      </c>
    </row>
    <row r="123" spans="1:13" ht="12" hidden="1" customHeight="1" thickBot="1" x14ac:dyDescent="0.3">
      <c r="A123" s="35"/>
      <c r="C123" s="395"/>
      <c r="D123" s="425"/>
      <c r="E123" s="11"/>
      <c r="F123" s="11"/>
      <c r="G123" s="11"/>
      <c r="I123" s="408"/>
      <c r="J123" s="400"/>
      <c r="K123" s="410"/>
      <c r="L123" s="436"/>
      <c r="M123" s="414"/>
    </row>
    <row r="124" spans="1:13" ht="15.75" hidden="1" customHeight="1" thickBot="1" x14ac:dyDescent="0.3">
      <c r="A124" s="35"/>
      <c r="C124" s="395"/>
      <c r="D124" s="425"/>
      <c r="E124" s="11"/>
      <c r="F124" s="11"/>
      <c r="G124" s="11"/>
      <c r="H124" s="11"/>
      <c r="I124" s="408"/>
      <c r="J124" s="400"/>
      <c r="K124" s="410"/>
      <c r="L124" s="436"/>
      <c r="M124" s="414"/>
    </row>
    <row r="125" spans="1:13" ht="15.75" hidden="1" customHeight="1" thickBot="1" x14ac:dyDescent="0.3">
      <c r="A125" s="35"/>
      <c r="C125" s="395"/>
      <c r="D125" s="425"/>
      <c r="E125" s="11"/>
      <c r="F125" s="11"/>
      <c r="G125" s="11"/>
      <c r="H125" s="11"/>
      <c r="I125" s="408"/>
      <c r="J125" s="400"/>
      <c r="K125" s="410"/>
      <c r="L125" s="436"/>
      <c r="M125" s="414"/>
    </row>
    <row r="126" spans="1:13" ht="15.75" hidden="1" customHeight="1" thickBot="1" x14ac:dyDescent="0.3">
      <c r="A126" s="36"/>
      <c r="C126" s="395"/>
      <c r="D126" s="425"/>
      <c r="E126" s="31"/>
      <c r="F126" s="31"/>
      <c r="G126" s="31"/>
      <c r="H126" s="31"/>
      <c r="I126" s="409"/>
      <c r="J126" s="400"/>
      <c r="K126" s="410"/>
      <c r="L126" s="436"/>
      <c r="M126" s="415"/>
    </row>
    <row r="127" spans="1:13" ht="15.75" customHeight="1" x14ac:dyDescent="0.25">
      <c r="A127" s="1" t="s">
        <v>96</v>
      </c>
      <c r="B127" s="427" t="s">
        <v>242</v>
      </c>
      <c r="C127" s="395" t="s">
        <v>66</v>
      </c>
      <c r="D127" s="425" t="s">
        <v>8</v>
      </c>
      <c r="E127" s="43"/>
      <c r="F127" s="43"/>
      <c r="G127" s="43"/>
      <c r="H127" s="16"/>
      <c r="I127" s="407" t="s">
        <v>9</v>
      </c>
      <c r="J127" s="400" t="s">
        <v>29</v>
      </c>
      <c r="K127" s="400" t="s">
        <v>29</v>
      </c>
      <c r="L127" s="436" t="s">
        <v>62</v>
      </c>
      <c r="M127" s="413" t="s">
        <v>67</v>
      </c>
    </row>
    <row r="128" spans="1:13" x14ac:dyDescent="0.25">
      <c r="A128" s="2"/>
      <c r="B128" s="427"/>
      <c r="C128" s="395"/>
      <c r="D128" s="425"/>
      <c r="E128" s="11"/>
      <c r="F128" s="11"/>
      <c r="G128" s="11"/>
      <c r="H128" s="11">
        <v>2020</v>
      </c>
      <c r="I128" s="408"/>
      <c r="J128" s="400"/>
      <c r="K128" s="400"/>
      <c r="L128" s="436"/>
      <c r="M128" s="414"/>
    </row>
    <row r="129" spans="1:13" x14ac:dyDescent="0.25">
      <c r="A129" s="2"/>
      <c r="B129" s="427"/>
      <c r="C129" s="395"/>
      <c r="D129" s="425"/>
      <c r="E129" s="11"/>
      <c r="F129" s="11"/>
      <c r="G129" s="11"/>
      <c r="H129" s="11"/>
      <c r="I129" s="408"/>
      <c r="J129" s="400"/>
      <c r="K129" s="400"/>
      <c r="L129" s="436"/>
      <c r="M129" s="414"/>
    </row>
    <row r="130" spans="1:13" x14ac:dyDescent="0.25">
      <c r="A130" s="2"/>
      <c r="B130" s="427"/>
      <c r="C130" s="395"/>
      <c r="D130" s="425"/>
      <c r="E130" s="11"/>
      <c r="F130" s="11"/>
      <c r="G130" s="11"/>
      <c r="H130" s="11"/>
      <c r="I130" s="408"/>
      <c r="J130" s="400"/>
      <c r="K130" s="400"/>
      <c r="L130" s="436"/>
      <c r="M130" s="414"/>
    </row>
    <row r="131" spans="1:13" ht="3" customHeight="1" thickBot="1" x14ac:dyDescent="0.3">
      <c r="A131" s="267"/>
      <c r="B131" s="427"/>
      <c r="C131" s="395"/>
      <c r="D131" s="425"/>
      <c r="E131" s="39"/>
      <c r="F131" s="39"/>
      <c r="G131" s="39"/>
      <c r="H131" s="39"/>
      <c r="I131" s="409"/>
      <c r="J131" s="400"/>
      <c r="K131" s="400"/>
      <c r="L131" s="436"/>
      <c r="M131" s="415"/>
    </row>
    <row r="132" spans="1:13" ht="15.75" customHeight="1" x14ac:dyDescent="0.25">
      <c r="A132" s="37" t="s">
        <v>97</v>
      </c>
      <c r="B132" s="392" t="s">
        <v>382</v>
      </c>
      <c r="C132" s="394" t="s">
        <v>6</v>
      </c>
      <c r="D132" s="425" t="s">
        <v>8</v>
      </c>
      <c r="E132" s="43"/>
      <c r="F132" s="43"/>
      <c r="G132" s="43"/>
      <c r="H132" s="16"/>
      <c r="I132" s="407" t="s">
        <v>9</v>
      </c>
      <c r="J132" s="443" t="s">
        <v>29</v>
      </c>
      <c r="K132" s="443" t="s">
        <v>29</v>
      </c>
      <c r="L132" s="435" t="s">
        <v>279</v>
      </c>
      <c r="M132" s="413" t="s">
        <v>383</v>
      </c>
    </row>
    <row r="133" spans="1:13" x14ac:dyDescent="0.25">
      <c r="A133" s="35"/>
      <c r="B133" s="392"/>
      <c r="C133" s="395"/>
      <c r="D133" s="425"/>
      <c r="E133" s="11"/>
      <c r="F133" s="11"/>
      <c r="G133" s="11"/>
      <c r="H133" s="11">
        <v>2020</v>
      </c>
      <c r="I133" s="408"/>
      <c r="J133" s="400"/>
      <c r="K133" s="400"/>
      <c r="L133" s="436"/>
      <c r="M133" s="414"/>
    </row>
    <row r="134" spans="1:13" x14ac:dyDescent="0.25">
      <c r="A134" s="35"/>
      <c r="B134" s="392"/>
      <c r="C134" s="395"/>
      <c r="D134" s="425"/>
      <c r="E134" s="11"/>
      <c r="F134" s="11"/>
      <c r="G134" s="11"/>
      <c r="H134" s="11"/>
      <c r="I134" s="408"/>
      <c r="J134" s="400"/>
      <c r="K134" s="400"/>
      <c r="L134" s="436"/>
      <c r="M134" s="414"/>
    </row>
    <row r="135" spans="1:13" x14ac:dyDescent="0.25">
      <c r="A135" s="35"/>
      <c r="B135" s="392"/>
      <c r="C135" s="395"/>
      <c r="D135" s="425"/>
      <c r="E135" s="11"/>
      <c r="F135" s="11"/>
      <c r="G135" s="11"/>
      <c r="H135" s="11"/>
      <c r="I135" s="408"/>
      <c r="J135" s="400"/>
      <c r="K135" s="400"/>
      <c r="L135" s="436"/>
      <c r="M135" s="414"/>
    </row>
    <row r="136" spans="1:13" ht="15.75" thickBot="1" x14ac:dyDescent="0.3">
      <c r="A136" s="36"/>
      <c r="B136" s="393"/>
      <c r="C136" s="395"/>
      <c r="D136" s="425"/>
      <c r="E136" s="80"/>
      <c r="F136" s="80"/>
      <c r="G136" s="80"/>
      <c r="H136" s="80"/>
      <c r="I136" s="409"/>
      <c r="J136" s="400"/>
      <c r="K136" s="400"/>
      <c r="L136" s="436"/>
      <c r="M136" s="415"/>
    </row>
    <row r="137" spans="1:13" ht="31.5" customHeight="1" x14ac:dyDescent="0.25">
      <c r="A137" s="37" t="s">
        <v>98</v>
      </c>
      <c r="B137" s="391" t="s">
        <v>199</v>
      </c>
      <c r="C137" s="394" t="s">
        <v>202</v>
      </c>
      <c r="D137" s="396" t="s">
        <v>8</v>
      </c>
      <c r="E137" s="43"/>
      <c r="F137" s="43"/>
      <c r="G137" s="43"/>
      <c r="H137" s="16"/>
      <c r="I137" s="407" t="s">
        <v>9</v>
      </c>
      <c r="J137" s="444">
        <v>10000</v>
      </c>
      <c r="K137" s="444">
        <v>10000</v>
      </c>
      <c r="L137" s="432" t="s">
        <v>278</v>
      </c>
      <c r="M137" s="413" t="s">
        <v>280</v>
      </c>
    </row>
    <row r="138" spans="1:13" x14ac:dyDescent="0.25">
      <c r="A138" s="35"/>
      <c r="B138" s="392"/>
      <c r="C138" s="395"/>
      <c r="D138" s="396"/>
      <c r="E138" s="11"/>
      <c r="F138" s="11"/>
      <c r="G138" s="11"/>
      <c r="H138" s="11">
        <v>2020</v>
      </c>
      <c r="I138" s="408"/>
      <c r="J138" s="445"/>
      <c r="K138" s="445"/>
      <c r="L138" s="433"/>
      <c r="M138" s="414"/>
    </row>
    <row r="139" spans="1:13" x14ac:dyDescent="0.25">
      <c r="A139" s="35"/>
      <c r="B139" s="392"/>
      <c r="C139" s="395"/>
      <c r="D139" s="396"/>
      <c r="E139" s="11"/>
      <c r="F139" s="11"/>
      <c r="G139" s="11"/>
      <c r="H139" s="11"/>
      <c r="I139" s="408"/>
      <c r="J139" s="445"/>
      <c r="K139" s="445"/>
      <c r="L139" s="433"/>
      <c r="M139" s="414"/>
    </row>
    <row r="140" spans="1:13" x14ac:dyDescent="0.25">
      <c r="A140" s="35"/>
      <c r="B140" s="392"/>
      <c r="C140" s="395"/>
      <c r="D140" s="396"/>
      <c r="E140" s="11"/>
      <c r="F140" s="11"/>
      <c r="G140" s="11"/>
      <c r="H140" s="11"/>
      <c r="I140" s="408"/>
      <c r="J140" s="445"/>
      <c r="K140" s="445"/>
      <c r="L140" s="433"/>
      <c r="M140" s="414"/>
    </row>
    <row r="141" spans="1:13" ht="15.75" thickBot="1" x14ac:dyDescent="0.3">
      <c r="A141" s="36"/>
      <c r="B141" s="393"/>
      <c r="C141" s="395"/>
      <c r="D141" s="396"/>
      <c r="E141" s="80"/>
      <c r="F141" s="80"/>
      <c r="G141" s="80"/>
      <c r="H141" s="80"/>
      <c r="I141" s="409"/>
      <c r="J141" s="445"/>
      <c r="K141" s="445"/>
      <c r="L141" s="434"/>
      <c r="M141" s="491"/>
    </row>
    <row r="142" spans="1:13" ht="30" customHeight="1" x14ac:dyDescent="0.25">
      <c r="A142" s="1" t="s">
        <v>99</v>
      </c>
      <c r="B142" s="391" t="s">
        <v>81</v>
      </c>
      <c r="C142" s="395" t="s">
        <v>82</v>
      </c>
      <c r="D142" s="396" t="s">
        <v>8</v>
      </c>
      <c r="E142" s="45"/>
      <c r="F142" s="429">
        <v>0</v>
      </c>
      <c r="G142" s="446" t="s">
        <v>154</v>
      </c>
      <c r="H142" s="402">
        <v>2019</v>
      </c>
      <c r="I142" s="407" t="s">
        <v>9</v>
      </c>
      <c r="J142" s="445">
        <v>0</v>
      </c>
      <c r="K142" s="445">
        <f>15*60000*0.5</f>
        <v>450000</v>
      </c>
      <c r="L142" s="432" t="s">
        <v>281</v>
      </c>
      <c r="M142" s="541" t="s">
        <v>83</v>
      </c>
    </row>
    <row r="143" spans="1:13" ht="17.25" customHeight="1" x14ac:dyDescent="0.25">
      <c r="A143" s="2"/>
      <c r="B143" s="392"/>
      <c r="C143" s="395"/>
      <c r="D143" s="396"/>
      <c r="E143" s="11"/>
      <c r="F143" s="430"/>
      <c r="G143" s="446"/>
      <c r="H143" s="402"/>
      <c r="I143" s="408"/>
      <c r="J143" s="445"/>
      <c r="K143" s="445"/>
      <c r="L143" s="433"/>
      <c r="M143" s="542"/>
    </row>
    <row r="144" spans="1:13" x14ac:dyDescent="0.25">
      <c r="A144" s="4"/>
      <c r="B144" s="392"/>
      <c r="C144" s="395"/>
      <c r="D144" s="396"/>
      <c r="E144" s="11"/>
      <c r="F144" s="430"/>
      <c r="G144" s="446"/>
      <c r="H144" s="402"/>
      <c r="I144" s="408"/>
      <c r="J144" s="445"/>
      <c r="K144" s="445"/>
      <c r="L144" s="433"/>
      <c r="M144" s="542"/>
    </row>
    <row r="145" spans="1:13" x14ac:dyDescent="0.25">
      <c r="A145" s="4"/>
      <c r="B145" s="392"/>
      <c r="C145" s="395"/>
      <c r="D145" s="396"/>
      <c r="E145" s="11"/>
      <c r="F145" s="430"/>
      <c r="G145" s="446"/>
      <c r="H145" s="402"/>
      <c r="I145" s="408"/>
      <c r="J145" s="445"/>
      <c r="K145" s="445"/>
      <c r="L145" s="433"/>
      <c r="M145" s="542"/>
    </row>
    <row r="146" spans="1:13" ht="3" customHeight="1" thickBot="1" x14ac:dyDescent="0.3">
      <c r="A146" s="5"/>
      <c r="B146" s="393"/>
      <c r="C146" s="395"/>
      <c r="D146" s="396"/>
      <c r="E146" s="39"/>
      <c r="F146" s="431"/>
      <c r="G146" s="446"/>
      <c r="H146" s="402"/>
      <c r="I146" s="409"/>
      <c r="J146" s="445"/>
      <c r="K146" s="445"/>
      <c r="L146" s="434"/>
      <c r="M146" s="544"/>
    </row>
    <row r="147" spans="1:13" ht="45.75" customHeight="1" x14ac:dyDescent="0.25">
      <c r="A147" s="37" t="s">
        <v>100</v>
      </c>
      <c r="B147" s="391" t="s">
        <v>337</v>
      </c>
      <c r="C147" s="394" t="s">
        <v>50</v>
      </c>
      <c r="D147" s="428" t="s">
        <v>79</v>
      </c>
      <c r="E147" s="43"/>
      <c r="F147" s="43"/>
      <c r="G147" s="397" t="s">
        <v>49</v>
      </c>
      <c r="H147" s="193">
        <v>44896</v>
      </c>
      <c r="I147" s="194" t="s">
        <v>105</v>
      </c>
      <c r="J147" s="444">
        <v>200000</v>
      </c>
      <c r="K147" s="437">
        <v>400000</v>
      </c>
      <c r="L147" s="440" t="s">
        <v>338</v>
      </c>
      <c r="M147" s="503" t="s">
        <v>158</v>
      </c>
    </row>
    <row r="148" spans="1:13" x14ac:dyDescent="0.25">
      <c r="A148" s="35"/>
      <c r="B148" s="392"/>
      <c r="C148" s="395"/>
      <c r="D148" s="428"/>
      <c r="E148" s="11"/>
      <c r="F148" s="11"/>
      <c r="G148" s="398"/>
      <c r="H148" s="126"/>
      <c r="I148" s="122"/>
      <c r="J148" s="445"/>
      <c r="K148" s="438"/>
      <c r="L148" s="441"/>
      <c r="M148" s="414"/>
    </row>
    <row r="149" spans="1:13" x14ac:dyDescent="0.25">
      <c r="A149" s="35"/>
      <c r="B149" s="392"/>
      <c r="C149" s="395"/>
      <c r="D149" s="428"/>
      <c r="E149" s="11"/>
      <c r="F149" s="11"/>
      <c r="G149" s="398"/>
      <c r="H149" s="126"/>
      <c r="I149" s="122"/>
      <c r="J149" s="445"/>
      <c r="K149" s="438"/>
      <c r="L149" s="441"/>
      <c r="M149" s="414"/>
    </row>
    <row r="150" spans="1:13" x14ac:dyDescent="0.25">
      <c r="A150" s="35"/>
      <c r="B150" s="392"/>
      <c r="C150" s="395"/>
      <c r="D150" s="428"/>
      <c r="E150" s="11"/>
      <c r="F150" s="11"/>
      <c r="G150" s="398"/>
      <c r="H150" s="126"/>
      <c r="I150" s="122"/>
      <c r="J150" s="445"/>
      <c r="K150" s="438"/>
      <c r="L150" s="441"/>
      <c r="M150" s="414"/>
    </row>
    <row r="151" spans="1:13" ht="15.75" thickBot="1" x14ac:dyDescent="0.3">
      <c r="A151" s="36"/>
      <c r="B151" s="393"/>
      <c r="C151" s="395"/>
      <c r="D151" s="428"/>
      <c r="E151" s="60"/>
      <c r="F151" s="60"/>
      <c r="G151" s="399"/>
      <c r="H151" s="127"/>
      <c r="I151" s="123"/>
      <c r="J151" s="445"/>
      <c r="K151" s="439"/>
      <c r="L151" s="442"/>
      <c r="M151" s="415"/>
    </row>
    <row r="152" spans="1:13" x14ac:dyDescent="0.25">
      <c r="A152" s="37" t="s">
        <v>101</v>
      </c>
      <c r="B152" s="391" t="s">
        <v>368</v>
      </c>
      <c r="C152" s="394" t="s">
        <v>369</v>
      </c>
      <c r="D152" s="396" t="s">
        <v>8</v>
      </c>
      <c r="E152" s="133"/>
      <c r="F152" s="133"/>
      <c r="G152" s="397" t="s">
        <v>49</v>
      </c>
      <c r="H152" s="193">
        <v>44166</v>
      </c>
      <c r="I152" s="194" t="s">
        <v>385</v>
      </c>
      <c r="J152" s="400"/>
      <c r="K152" s="410"/>
      <c r="L152" s="440" t="s">
        <v>29</v>
      </c>
      <c r="M152" s="440" t="s">
        <v>384</v>
      </c>
    </row>
    <row r="153" spans="1:13" x14ac:dyDescent="0.25">
      <c r="A153" s="35"/>
      <c r="B153" s="392"/>
      <c r="C153" s="395"/>
      <c r="D153" s="396"/>
      <c r="E153" s="11"/>
      <c r="F153" s="11"/>
      <c r="G153" s="398"/>
      <c r="H153" s="363"/>
      <c r="I153" s="361"/>
      <c r="J153" s="400"/>
      <c r="K153" s="410"/>
      <c r="L153" s="441"/>
      <c r="M153" s="441"/>
    </row>
    <row r="154" spans="1:13" ht="9" customHeight="1" x14ac:dyDescent="0.25">
      <c r="A154" s="35"/>
      <c r="B154" s="392"/>
      <c r="C154" s="395"/>
      <c r="D154" s="396"/>
      <c r="E154" s="11"/>
      <c r="F154" s="11"/>
      <c r="G154" s="398"/>
      <c r="H154" s="363"/>
      <c r="I154" s="361"/>
      <c r="J154" s="400"/>
      <c r="K154" s="410"/>
      <c r="L154" s="441"/>
      <c r="M154" s="441"/>
    </row>
    <row r="155" spans="1:13" x14ac:dyDescent="0.25">
      <c r="A155" s="35"/>
      <c r="B155" s="392"/>
      <c r="C155" s="395"/>
      <c r="D155" s="396"/>
      <c r="E155" s="11"/>
      <c r="F155" s="11"/>
      <c r="G155" s="398"/>
      <c r="H155" s="363"/>
      <c r="I155" s="361"/>
      <c r="J155" s="400"/>
      <c r="K155" s="410"/>
      <c r="L155" s="441"/>
      <c r="M155" s="441"/>
    </row>
    <row r="156" spans="1:13" ht="10.5" customHeight="1" thickBot="1" x14ac:dyDescent="0.3">
      <c r="A156" s="36"/>
      <c r="B156" s="393"/>
      <c r="C156" s="395"/>
      <c r="D156" s="396"/>
      <c r="E156" s="365"/>
      <c r="F156" s="365"/>
      <c r="G156" s="399"/>
      <c r="H156" s="364"/>
      <c r="I156" s="362"/>
      <c r="J156" s="400"/>
      <c r="K156" s="410"/>
      <c r="L156" s="442"/>
      <c r="M156" s="442"/>
    </row>
    <row r="157" spans="1:13" ht="16.5" customHeight="1" x14ac:dyDescent="0.25">
      <c r="A157" s="145" t="s">
        <v>21</v>
      </c>
      <c r="B157" s="426" t="s">
        <v>164</v>
      </c>
      <c r="C157" s="426"/>
      <c r="D157" s="426"/>
      <c r="E157" s="426"/>
      <c r="F157" s="426"/>
      <c r="G157" s="426"/>
      <c r="H157" s="426"/>
      <c r="I157" s="426"/>
      <c r="J157" s="426"/>
      <c r="K157" s="426"/>
      <c r="L157" s="180"/>
      <c r="M157" s="178"/>
    </row>
    <row r="158" spans="1:13" x14ac:dyDescent="0.25">
      <c r="A158" s="65"/>
      <c r="B158" s="6" t="s">
        <v>1</v>
      </c>
      <c r="C158" s="6" t="s">
        <v>4</v>
      </c>
      <c r="D158" s="6" t="s">
        <v>13</v>
      </c>
      <c r="E158" s="129" t="s">
        <v>24</v>
      </c>
      <c r="F158" s="130"/>
      <c r="G158" s="131"/>
      <c r="H158" s="6" t="s">
        <v>14</v>
      </c>
      <c r="I158" s="7" t="s">
        <v>0</v>
      </c>
      <c r="J158" s="135" t="s">
        <v>231</v>
      </c>
      <c r="K158" s="135"/>
      <c r="L158" s="181"/>
      <c r="M158" s="179"/>
    </row>
    <row r="159" spans="1:13" x14ac:dyDescent="0.25">
      <c r="A159" s="65"/>
      <c r="B159" s="6"/>
      <c r="C159" s="6"/>
      <c r="D159" s="6"/>
      <c r="E159" s="6">
        <v>2018</v>
      </c>
      <c r="F159" s="6">
        <v>2019</v>
      </c>
      <c r="G159" s="6">
        <v>2020</v>
      </c>
      <c r="H159" s="6"/>
      <c r="I159" s="7"/>
      <c r="J159" s="8">
        <v>2019</v>
      </c>
      <c r="K159" s="9">
        <v>2020</v>
      </c>
      <c r="L159" s="380" t="s">
        <v>30</v>
      </c>
      <c r="M159" s="182" t="s">
        <v>37</v>
      </c>
    </row>
    <row r="160" spans="1:13" ht="2.25" customHeight="1" thickBot="1" x14ac:dyDescent="0.3">
      <c r="A160" s="65"/>
      <c r="B160" s="17"/>
      <c r="C160" s="17"/>
      <c r="D160" s="17"/>
      <c r="E160" s="17"/>
      <c r="F160" s="17"/>
      <c r="G160" s="17"/>
      <c r="H160" s="17"/>
      <c r="I160" s="17"/>
      <c r="J160" s="61" t="s">
        <v>265</v>
      </c>
      <c r="K160" s="129" t="s">
        <v>266</v>
      </c>
      <c r="L160" s="381"/>
      <c r="M160" s="183"/>
    </row>
    <row r="161" spans="1:13" ht="27.75" customHeight="1" x14ac:dyDescent="0.25">
      <c r="A161" s="37" t="s">
        <v>163</v>
      </c>
      <c r="B161" s="391" t="s">
        <v>240</v>
      </c>
      <c r="C161" s="395" t="s">
        <v>6</v>
      </c>
      <c r="D161" s="396" t="s">
        <v>8</v>
      </c>
      <c r="E161" s="43"/>
      <c r="F161" s="43"/>
      <c r="G161" s="43"/>
      <c r="H161" s="405" t="s">
        <v>103</v>
      </c>
      <c r="I161" s="407" t="s">
        <v>9</v>
      </c>
      <c r="J161" s="404">
        <f>20*1500</f>
        <v>30000</v>
      </c>
      <c r="K161" s="404">
        <f>25*1500</f>
        <v>37500</v>
      </c>
      <c r="L161" s="411" t="s">
        <v>166</v>
      </c>
      <c r="M161" s="413" t="s">
        <v>165</v>
      </c>
    </row>
    <row r="162" spans="1:13" ht="15" customHeight="1" x14ac:dyDescent="0.25">
      <c r="A162" s="35"/>
      <c r="B162" s="392"/>
      <c r="C162" s="395"/>
      <c r="D162" s="396"/>
      <c r="E162" s="398" t="s">
        <v>271</v>
      </c>
      <c r="F162" s="398" t="s">
        <v>271</v>
      </c>
      <c r="G162" s="418" t="s">
        <v>271</v>
      </c>
      <c r="H162" s="406"/>
      <c r="I162" s="408"/>
      <c r="J162" s="404"/>
      <c r="K162" s="404"/>
      <c r="L162" s="412"/>
      <c r="M162" s="414"/>
    </row>
    <row r="163" spans="1:13" ht="9" customHeight="1" x14ac:dyDescent="0.25">
      <c r="A163" s="35"/>
      <c r="B163" s="392"/>
      <c r="C163" s="395"/>
      <c r="D163" s="396"/>
      <c r="E163" s="398"/>
      <c r="F163" s="398"/>
      <c r="G163" s="418"/>
      <c r="H163" s="406"/>
      <c r="I163" s="408"/>
      <c r="J163" s="404"/>
      <c r="K163" s="404"/>
      <c r="L163" s="412"/>
      <c r="M163" s="414"/>
    </row>
    <row r="164" spans="1:13" x14ac:dyDescent="0.25">
      <c r="A164" s="35"/>
      <c r="B164" s="392"/>
      <c r="C164" s="395"/>
      <c r="D164" s="396"/>
      <c r="E164" s="11">
        <v>10</v>
      </c>
      <c r="F164" s="11">
        <v>20</v>
      </c>
      <c r="G164" s="11">
        <v>25</v>
      </c>
      <c r="H164" s="386"/>
      <c r="I164" s="408"/>
      <c r="J164" s="404"/>
      <c r="K164" s="404"/>
      <c r="L164" s="412"/>
      <c r="M164" s="414"/>
    </row>
    <row r="165" spans="1:13" ht="9.75" customHeight="1" thickBot="1" x14ac:dyDescent="0.3">
      <c r="A165" s="36"/>
      <c r="B165" s="393"/>
      <c r="C165" s="395"/>
      <c r="D165" s="396"/>
      <c r="E165" s="60"/>
      <c r="F165" s="60"/>
      <c r="G165" s="60"/>
      <c r="H165" s="387"/>
      <c r="I165" s="409"/>
      <c r="J165" s="404"/>
      <c r="K165" s="404"/>
      <c r="L165" s="412"/>
      <c r="M165" s="415"/>
    </row>
    <row r="166" spans="1:13" ht="24" customHeight="1" x14ac:dyDescent="0.25">
      <c r="A166" s="37" t="s">
        <v>170</v>
      </c>
      <c r="B166" s="391" t="s">
        <v>283</v>
      </c>
      <c r="C166" s="394" t="s">
        <v>6</v>
      </c>
      <c r="D166" s="396" t="s">
        <v>8</v>
      </c>
      <c r="E166" s="385" t="s">
        <v>167</v>
      </c>
      <c r="F166" s="385" t="s">
        <v>168</v>
      </c>
      <c r="G166" s="385" t="s">
        <v>169</v>
      </c>
      <c r="H166" s="401">
        <v>43525</v>
      </c>
      <c r="I166" s="385" t="s">
        <v>85</v>
      </c>
      <c r="J166" s="403">
        <f>SUM(40*1500)+(40*200)</f>
        <v>68000</v>
      </c>
      <c r="K166" s="403">
        <f>SUM(60*1500)+(60*200)</f>
        <v>102000</v>
      </c>
      <c r="L166" s="423" t="s">
        <v>282</v>
      </c>
      <c r="M166" s="413" t="s">
        <v>373</v>
      </c>
    </row>
    <row r="167" spans="1:13" x14ac:dyDescent="0.25">
      <c r="A167" s="35"/>
      <c r="B167" s="392"/>
      <c r="C167" s="395"/>
      <c r="D167" s="396"/>
      <c r="E167" s="386"/>
      <c r="F167" s="386"/>
      <c r="G167" s="386"/>
      <c r="H167" s="402"/>
      <c r="I167" s="386"/>
      <c r="J167" s="404"/>
      <c r="K167" s="404"/>
      <c r="L167" s="424"/>
      <c r="M167" s="414"/>
    </row>
    <row r="168" spans="1:13" x14ac:dyDescent="0.25">
      <c r="A168" s="35"/>
      <c r="B168" s="392"/>
      <c r="C168" s="395"/>
      <c r="D168" s="396"/>
      <c r="E168" s="386"/>
      <c r="F168" s="386"/>
      <c r="G168" s="386"/>
      <c r="H168" s="402"/>
      <c r="I168" s="386"/>
      <c r="J168" s="404"/>
      <c r="K168" s="404"/>
      <c r="L168" s="424"/>
      <c r="M168" s="414"/>
    </row>
    <row r="169" spans="1:13" x14ac:dyDescent="0.25">
      <c r="A169" s="35"/>
      <c r="B169" s="392"/>
      <c r="C169" s="395"/>
      <c r="D169" s="396"/>
      <c r="E169" s="386"/>
      <c r="F169" s="386"/>
      <c r="G169" s="386"/>
      <c r="H169" s="402"/>
      <c r="I169" s="386"/>
      <c r="J169" s="404"/>
      <c r="K169" s="404"/>
      <c r="L169" s="196"/>
      <c r="M169" s="414"/>
    </row>
    <row r="170" spans="1:13" ht="15.75" thickBot="1" x14ac:dyDescent="0.3">
      <c r="A170" s="36"/>
      <c r="B170" s="393"/>
      <c r="C170" s="395"/>
      <c r="D170" s="396"/>
      <c r="E170" s="387"/>
      <c r="F170" s="387"/>
      <c r="G170" s="387"/>
      <c r="H170" s="402"/>
      <c r="I170" s="387"/>
      <c r="J170" s="404"/>
      <c r="K170" s="404"/>
      <c r="L170" s="197"/>
      <c r="M170" s="415"/>
    </row>
    <row r="171" spans="1:13" x14ac:dyDescent="0.25">
      <c r="A171" s="37" t="s">
        <v>171</v>
      </c>
      <c r="B171" s="391" t="s">
        <v>211</v>
      </c>
      <c r="C171" s="394" t="s">
        <v>6</v>
      </c>
      <c r="D171" s="396" t="s">
        <v>8</v>
      </c>
      <c r="E171" s="385" t="s">
        <v>29</v>
      </c>
      <c r="F171" s="385" t="s">
        <v>29</v>
      </c>
      <c r="G171" s="385" t="s">
        <v>212</v>
      </c>
      <c r="H171" s="401">
        <v>43525</v>
      </c>
      <c r="I171" s="407" t="s">
        <v>9</v>
      </c>
      <c r="J171" s="403">
        <f t="shared" ref="J171" si="0">SUM(200*30000)+(20*80000)</f>
        <v>7600000</v>
      </c>
      <c r="K171" s="403">
        <f>SUM(300*30000)+(20*80000)</f>
        <v>10600000</v>
      </c>
      <c r="L171" s="423" t="s">
        <v>286</v>
      </c>
      <c r="M171" s="413" t="s">
        <v>287</v>
      </c>
    </row>
    <row r="172" spans="1:13" x14ac:dyDescent="0.25">
      <c r="A172" s="35"/>
      <c r="B172" s="392"/>
      <c r="C172" s="395"/>
      <c r="D172" s="396"/>
      <c r="E172" s="386"/>
      <c r="F172" s="386"/>
      <c r="G172" s="386"/>
      <c r="H172" s="402"/>
      <c r="I172" s="408"/>
      <c r="J172" s="404"/>
      <c r="K172" s="404"/>
      <c r="L172" s="424"/>
      <c r="M172" s="414"/>
    </row>
    <row r="173" spans="1:13" x14ac:dyDescent="0.25">
      <c r="A173" s="35"/>
      <c r="B173" s="392"/>
      <c r="C173" s="395"/>
      <c r="D173" s="396"/>
      <c r="E173" s="386"/>
      <c r="F173" s="386"/>
      <c r="G173" s="386"/>
      <c r="H173" s="402"/>
      <c r="I173" s="408"/>
      <c r="J173" s="404"/>
      <c r="K173" s="404"/>
      <c r="L173" s="424"/>
      <c r="M173" s="414"/>
    </row>
    <row r="174" spans="1:13" x14ac:dyDescent="0.25">
      <c r="A174" s="35"/>
      <c r="B174" s="392"/>
      <c r="C174" s="395"/>
      <c r="D174" s="396"/>
      <c r="E174" s="386"/>
      <c r="F174" s="386"/>
      <c r="G174" s="386"/>
      <c r="H174" s="402"/>
      <c r="I174" s="408"/>
      <c r="J174" s="404"/>
      <c r="K174" s="404"/>
      <c r="L174" s="196"/>
      <c r="M174" s="414"/>
    </row>
    <row r="175" spans="1:13" ht="15.75" thickBot="1" x14ac:dyDescent="0.3">
      <c r="A175" s="36"/>
      <c r="B175" s="393"/>
      <c r="C175" s="395"/>
      <c r="D175" s="396"/>
      <c r="E175" s="387"/>
      <c r="F175" s="387"/>
      <c r="G175" s="387"/>
      <c r="H175" s="402"/>
      <c r="I175" s="409"/>
      <c r="J175" s="404"/>
      <c r="K175" s="404"/>
      <c r="L175" s="197"/>
      <c r="M175" s="415"/>
    </row>
    <row r="176" spans="1:13" ht="30" x14ac:dyDescent="0.25">
      <c r="A176" s="145" t="s">
        <v>21</v>
      </c>
      <c r="B176" s="426" t="s">
        <v>63</v>
      </c>
      <c r="C176" s="426"/>
      <c r="D176" s="426"/>
      <c r="E176" s="426"/>
      <c r="F176" s="426"/>
      <c r="G176" s="426"/>
      <c r="H176" s="426"/>
      <c r="I176" s="426"/>
      <c r="J176" s="426"/>
      <c r="K176" s="426"/>
      <c r="L176" s="180"/>
      <c r="M176" s="178"/>
    </row>
    <row r="177" spans="1:13" x14ac:dyDescent="0.25">
      <c r="A177" s="65"/>
      <c r="B177" s="6" t="s">
        <v>1</v>
      </c>
      <c r="C177" s="6" t="s">
        <v>4</v>
      </c>
      <c r="D177" s="6" t="s">
        <v>13</v>
      </c>
      <c r="E177" s="129" t="s">
        <v>24</v>
      </c>
      <c r="F177" s="130"/>
      <c r="G177" s="131"/>
      <c r="H177" s="6" t="s">
        <v>14</v>
      </c>
      <c r="I177" s="7" t="s">
        <v>0</v>
      </c>
      <c r="J177" s="135" t="s">
        <v>231</v>
      </c>
      <c r="K177" s="135"/>
      <c r="L177" s="181"/>
      <c r="M177" s="179"/>
    </row>
    <row r="178" spans="1:13" x14ac:dyDescent="0.25">
      <c r="A178" s="65"/>
      <c r="B178" s="6"/>
      <c r="C178" s="6"/>
      <c r="D178" s="6"/>
      <c r="E178" s="6">
        <v>2018</v>
      </c>
      <c r="F178" s="6">
        <v>2019</v>
      </c>
      <c r="G178" s="6">
        <v>2020</v>
      </c>
      <c r="H178" s="6"/>
      <c r="I178" s="7"/>
      <c r="J178" s="8">
        <v>2019</v>
      </c>
      <c r="K178" s="9">
        <v>2020</v>
      </c>
      <c r="L178" s="380" t="s">
        <v>30</v>
      </c>
      <c r="M178" s="182" t="s">
        <v>37</v>
      </c>
    </row>
    <row r="179" spans="1:13" ht="15.75" thickBot="1" x14ac:dyDescent="0.3">
      <c r="A179" s="65"/>
      <c r="B179" s="17"/>
      <c r="C179" s="17"/>
      <c r="D179" s="17"/>
      <c r="E179" s="17"/>
      <c r="F179" s="17"/>
      <c r="G179" s="17"/>
      <c r="H179" s="17"/>
      <c r="I179" s="17"/>
      <c r="J179" s="61" t="s">
        <v>265</v>
      </c>
      <c r="K179" s="129" t="s">
        <v>266</v>
      </c>
      <c r="L179" s="381"/>
      <c r="M179" s="183"/>
    </row>
    <row r="180" spans="1:13" ht="45" customHeight="1" x14ac:dyDescent="0.25">
      <c r="A180" s="37" t="s">
        <v>102</v>
      </c>
      <c r="B180" s="391" t="s">
        <v>283</v>
      </c>
      <c r="C180" s="395" t="s">
        <v>20</v>
      </c>
      <c r="D180" s="396" t="s">
        <v>8</v>
      </c>
      <c r="E180" s="32"/>
      <c r="F180" s="32"/>
      <c r="G180" s="32"/>
      <c r="H180" s="405" t="s">
        <v>103</v>
      </c>
      <c r="I180" s="407" t="s">
        <v>9</v>
      </c>
      <c r="J180" s="404">
        <v>200000</v>
      </c>
      <c r="K180" s="404">
        <v>500000</v>
      </c>
      <c r="L180" s="411" t="s">
        <v>285</v>
      </c>
      <c r="M180" s="81" t="s">
        <v>172</v>
      </c>
    </row>
    <row r="181" spans="1:13" x14ac:dyDescent="0.25">
      <c r="A181" s="35"/>
      <c r="B181" s="392"/>
      <c r="C181" s="395"/>
      <c r="D181" s="396"/>
      <c r="E181" s="398" t="s">
        <v>271</v>
      </c>
      <c r="F181" s="398" t="s">
        <v>271</v>
      </c>
      <c r="G181" s="418" t="s">
        <v>271</v>
      </c>
      <c r="H181" s="406"/>
      <c r="I181" s="408"/>
      <c r="J181" s="404"/>
      <c r="K181" s="404"/>
      <c r="L181" s="412"/>
      <c r="M181" s="82"/>
    </row>
    <row r="182" spans="1:13" x14ac:dyDescent="0.25">
      <c r="A182" s="35"/>
      <c r="B182" s="392"/>
      <c r="C182" s="395"/>
      <c r="D182" s="396"/>
      <c r="E182" s="398"/>
      <c r="F182" s="398"/>
      <c r="G182" s="418"/>
      <c r="H182" s="406"/>
      <c r="I182" s="408"/>
      <c r="J182" s="404"/>
      <c r="K182" s="404"/>
      <c r="L182" s="412"/>
      <c r="M182" s="82"/>
    </row>
    <row r="183" spans="1:13" x14ac:dyDescent="0.25">
      <c r="A183" s="35"/>
      <c r="B183" s="392"/>
      <c r="C183" s="395"/>
      <c r="D183" s="396"/>
      <c r="E183" s="11">
        <v>50</v>
      </c>
      <c r="F183" s="11">
        <v>200</v>
      </c>
      <c r="G183" s="11">
        <v>500</v>
      </c>
      <c r="H183" s="386"/>
      <c r="I183" s="408"/>
      <c r="J183" s="404"/>
      <c r="K183" s="404"/>
      <c r="L183" s="412"/>
      <c r="M183" s="82"/>
    </row>
    <row r="184" spans="1:13" ht="15.75" thickBot="1" x14ac:dyDescent="0.3">
      <c r="A184" s="36"/>
      <c r="B184" s="393"/>
      <c r="C184" s="395"/>
      <c r="D184" s="396"/>
      <c r="E184" s="31"/>
      <c r="F184" s="31"/>
      <c r="G184" s="31"/>
      <c r="H184" s="387"/>
      <c r="I184" s="409"/>
      <c r="J184" s="404"/>
      <c r="K184" s="404"/>
      <c r="L184" s="412"/>
      <c r="M184" s="83"/>
    </row>
    <row r="185" spans="1:13" ht="15" customHeight="1" x14ac:dyDescent="0.25">
      <c r="A185" s="37" t="s">
        <v>198</v>
      </c>
      <c r="B185" s="382" t="s">
        <v>64</v>
      </c>
      <c r="C185" s="416" t="s">
        <v>20</v>
      </c>
      <c r="D185" s="388" t="s">
        <v>8</v>
      </c>
      <c r="E185" s="385" t="s">
        <v>86</v>
      </c>
      <c r="F185" s="385" t="s">
        <v>87</v>
      </c>
      <c r="G185" s="385" t="s">
        <v>88</v>
      </c>
      <c r="H185" s="421">
        <v>43525</v>
      </c>
      <c r="I185" s="385" t="s">
        <v>85</v>
      </c>
      <c r="J185" s="419">
        <f>SUM(2400*6*0.4*200)</f>
        <v>1152000</v>
      </c>
      <c r="K185" s="419">
        <f>SUM(2800*6*0.4*200)</f>
        <v>1344000</v>
      </c>
      <c r="L185" s="198" t="s">
        <v>84</v>
      </c>
      <c r="M185" s="413" t="s">
        <v>284</v>
      </c>
    </row>
    <row r="186" spans="1:13" x14ac:dyDescent="0.25">
      <c r="A186" s="35"/>
      <c r="B186" s="383"/>
      <c r="C186" s="417"/>
      <c r="D186" s="389"/>
      <c r="E186" s="386"/>
      <c r="F186" s="386"/>
      <c r="G186" s="386"/>
      <c r="H186" s="422"/>
      <c r="I186" s="386"/>
      <c r="J186" s="420"/>
      <c r="K186" s="420"/>
      <c r="L186" s="196"/>
      <c r="M186" s="414"/>
    </row>
    <row r="187" spans="1:13" x14ac:dyDescent="0.25">
      <c r="A187" s="35"/>
      <c r="B187" s="383"/>
      <c r="C187" s="417"/>
      <c r="D187" s="389"/>
      <c r="E187" s="386"/>
      <c r="F187" s="386"/>
      <c r="G187" s="386"/>
      <c r="H187" s="422"/>
      <c r="I187" s="386"/>
      <c r="J187" s="420"/>
      <c r="K187" s="420"/>
      <c r="L187" s="196"/>
      <c r="M187" s="414"/>
    </row>
    <row r="188" spans="1:13" x14ac:dyDescent="0.25">
      <c r="A188" s="35"/>
      <c r="B188" s="383"/>
      <c r="C188" s="417"/>
      <c r="D188" s="389"/>
      <c r="E188" s="386"/>
      <c r="F188" s="386"/>
      <c r="G188" s="386"/>
      <c r="H188" s="422"/>
      <c r="I188" s="386"/>
      <c r="J188" s="420"/>
      <c r="K188" s="420"/>
      <c r="L188" s="196"/>
      <c r="M188" s="414"/>
    </row>
    <row r="189" spans="1:13" ht="15.75" thickBot="1" x14ac:dyDescent="0.3">
      <c r="A189" s="36"/>
      <c r="B189" s="384"/>
      <c r="C189" s="394"/>
      <c r="D189" s="390"/>
      <c r="E189" s="387"/>
      <c r="F189" s="387"/>
      <c r="G189" s="387"/>
      <c r="H189" s="401"/>
      <c r="I189" s="387"/>
      <c r="J189" s="403"/>
      <c r="K189" s="403"/>
      <c r="L189" s="197"/>
      <c r="M189" s="415"/>
    </row>
    <row r="190" spans="1:13" x14ac:dyDescent="0.25">
      <c r="A190" s="37" t="s">
        <v>391</v>
      </c>
      <c r="B190" s="391" t="s">
        <v>362</v>
      </c>
      <c r="C190" s="395" t="s">
        <v>264</v>
      </c>
      <c r="D190" s="396" t="s">
        <v>8</v>
      </c>
      <c r="E190" s="133"/>
      <c r="F190" s="133"/>
      <c r="G190" s="133"/>
      <c r="H190" s="405">
        <v>44105</v>
      </c>
      <c r="I190" s="407" t="s">
        <v>9</v>
      </c>
      <c r="J190" s="400" t="s">
        <v>29</v>
      </c>
      <c r="K190" s="410" t="s">
        <v>29</v>
      </c>
      <c r="L190" s="411" t="s">
        <v>363</v>
      </c>
      <c r="M190" s="413" t="s">
        <v>364</v>
      </c>
    </row>
    <row r="191" spans="1:13" x14ac:dyDescent="0.25">
      <c r="A191" s="35"/>
      <c r="B191" s="392"/>
      <c r="C191" s="395"/>
      <c r="D191" s="396"/>
      <c r="E191" s="398" t="s">
        <v>29</v>
      </c>
      <c r="F191" s="398" t="s">
        <v>29</v>
      </c>
      <c r="G191" s="418" t="s">
        <v>29</v>
      </c>
      <c r="H191" s="406"/>
      <c r="I191" s="408"/>
      <c r="J191" s="400"/>
      <c r="K191" s="410"/>
      <c r="L191" s="412"/>
      <c r="M191" s="414"/>
    </row>
    <row r="192" spans="1:13" x14ac:dyDescent="0.25">
      <c r="A192" s="35"/>
      <c r="B192" s="392"/>
      <c r="C192" s="395"/>
      <c r="D192" s="396"/>
      <c r="E192" s="398"/>
      <c r="F192" s="398"/>
      <c r="G192" s="418"/>
      <c r="H192" s="406"/>
      <c r="I192" s="408"/>
      <c r="J192" s="400"/>
      <c r="K192" s="410"/>
      <c r="L192" s="412"/>
      <c r="M192" s="414"/>
    </row>
    <row r="193" spans="1:13" x14ac:dyDescent="0.25">
      <c r="A193" s="35"/>
      <c r="B193" s="392"/>
      <c r="C193" s="395"/>
      <c r="D193" s="396"/>
      <c r="E193" s="11"/>
      <c r="F193" s="11" t="s">
        <v>29</v>
      </c>
      <c r="G193" s="11" t="s">
        <v>29</v>
      </c>
      <c r="H193" s="386"/>
      <c r="I193" s="408"/>
      <c r="J193" s="400"/>
      <c r="K193" s="410"/>
      <c r="L193" s="412"/>
      <c r="M193" s="414"/>
    </row>
    <row r="194" spans="1:13" ht="15.75" thickBot="1" x14ac:dyDescent="0.3">
      <c r="A194" s="36"/>
      <c r="B194" s="393"/>
      <c r="C194" s="395"/>
      <c r="D194" s="396"/>
      <c r="E194" s="365"/>
      <c r="F194" s="365"/>
      <c r="G194" s="365"/>
      <c r="H194" s="387"/>
      <c r="I194" s="409"/>
      <c r="J194" s="400"/>
      <c r="K194" s="410"/>
      <c r="L194" s="412"/>
      <c r="M194" s="415"/>
    </row>
    <row r="195" spans="1:13" ht="15.75" thickBot="1" x14ac:dyDescent="0.3">
      <c r="A195" s="158"/>
      <c r="B195" s="15"/>
      <c r="C195" s="158"/>
      <c r="D195" s="158"/>
      <c r="E195" s="158"/>
      <c r="F195" s="158"/>
      <c r="G195" s="158"/>
      <c r="H195" s="158"/>
    </row>
    <row r="196" spans="1:13" ht="30" x14ac:dyDescent="0.25">
      <c r="A196" s="185"/>
      <c r="B196" s="185"/>
      <c r="C196" s="185"/>
      <c r="D196" s="185"/>
      <c r="E196" s="185"/>
      <c r="F196" s="185"/>
      <c r="G196" s="185"/>
      <c r="H196" s="185"/>
      <c r="I196" s="199" t="s">
        <v>196</v>
      </c>
      <c r="J196" s="288">
        <f>SUM(J180,J117,J108,J103,J88,J72,J64,J59,J40,J29,J19,J13,J6,J137)</f>
        <v>27170500</v>
      </c>
      <c r="K196" s="288">
        <f>SUM(K180,K117,K108,K103,K88,K72,K64,K59,K40,K29,K19,K13,K6,K137)</f>
        <v>35315500</v>
      </c>
      <c r="L196" s="200" t="s">
        <v>248</v>
      </c>
    </row>
    <row r="197" spans="1:13" x14ac:dyDescent="0.25">
      <c r="A197" s="185"/>
      <c r="B197" s="185"/>
      <c r="C197" s="185"/>
      <c r="D197" s="185"/>
      <c r="E197" s="185"/>
      <c r="F197" s="185"/>
      <c r="G197" s="185"/>
      <c r="H197" s="185"/>
      <c r="I197" s="201" t="s">
        <v>106</v>
      </c>
      <c r="J197" s="289">
        <f>J198-J196</f>
        <v>1974500</v>
      </c>
      <c r="K197" s="289">
        <f>K198-K196</f>
        <v>3939500</v>
      </c>
      <c r="L197" s="202" t="s">
        <v>107</v>
      </c>
    </row>
    <row r="198" spans="1:13" ht="15.75" thickBot="1" x14ac:dyDescent="0.3">
      <c r="A198" s="185"/>
      <c r="B198" s="185"/>
      <c r="C198" s="185"/>
      <c r="D198" s="185"/>
      <c r="E198" s="185"/>
      <c r="F198" s="185"/>
      <c r="G198" s="185"/>
      <c r="H198" s="185"/>
      <c r="I198" s="366" t="s">
        <v>109</v>
      </c>
      <c r="J198" s="367">
        <v>29145000</v>
      </c>
      <c r="K198" s="367">
        <v>39255000</v>
      </c>
      <c r="L198" s="203" t="s">
        <v>110</v>
      </c>
    </row>
    <row r="199" spans="1:13" x14ac:dyDescent="0.25">
      <c r="A199" s="158"/>
      <c r="B199" s="158"/>
      <c r="C199" s="158"/>
      <c r="D199" s="158"/>
      <c r="E199" s="158"/>
      <c r="F199" s="158"/>
      <c r="G199" s="158"/>
      <c r="H199" s="158"/>
    </row>
    <row r="200" spans="1:13" x14ac:dyDescent="0.25">
      <c r="A200" s="158"/>
      <c r="B200" s="158"/>
      <c r="C200" s="158"/>
      <c r="D200" s="158"/>
      <c r="E200" s="158"/>
      <c r="F200" s="158"/>
      <c r="G200" s="158"/>
      <c r="H200" s="158"/>
    </row>
    <row r="202" spans="1:13" x14ac:dyDescent="0.25">
      <c r="I202" s="87"/>
    </row>
  </sheetData>
  <mergeCells count="319">
    <mergeCell ref="M72:M73"/>
    <mergeCell ref="M93:M94"/>
    <mergeCell ref="M152:M156"/>
    <mergeCell ref="M108:M112"/>
    <mergeCell ref="M147:M151"/>
    <mergeCell ref="M166:M170"/>
    <mergeCell ref="M171:M175"/>
    <mergeCell ref="M161:M165"/>
    <mergeCell ref="M127:M131"/>
    <mergeCell ref="M132:M136"/>
    <mergeCell ref="M137:M141"/>
    <mergeCell ref="M142:M146"/>
    <mergeCell ref="K93:K97"/>
    <mergeCell ref="M98:M102"/>
    <mergeCell ref="M117:M121"/>
    <mergeCell ref="M122:M126"/>
    <mergeCell ref="K81:K85"/>
    <mergeCell ref="K86:K87"/>
    <mergeCell ref="H88:H92"/>
    <mergeCell ref="L86:L87"/>
    <mergeCell ref="L103:L107"/>
    <mergeCell ref="M86:M87"/>
    <mergeCell ref="J122:J126"/>
    <mergeCell ref="K122:K126"/>
    <mergeCell ref="L122:L126"/>
    <mergeCell ref="L88:L92"/>
    <mergeCell ref="B64:B68"/>
    <mergeCell ref="C64:C68"/>
    <mergeCell ref="D64:D68"/>
    <mergeCell ref="J64:J68"/>
    <mergeCell ref="J88:J92"/>
    <mergeCell ref="I88:I92"/>
    <mergeCell ref="I81:I85"/>
    <mergeCell ref="J86:J87"/>
    <mergeCell ref="B77:K77"/>
    <mergeCell ref="D72:D76"/>
    <mergeCell ref="G72:G76"/>
    <mergeCell ref="H72:H76"/>
    <mergeCell ref="K88:K92"/>
    <mergeCell ref="B86:B87"/>
    <mergeCell ref="D69:D71"/>
    <mergeCell ref="J69:J71"/>
    <mergeCell ref="K69:K71"/>
    <mergeCell ref="I72:I76"/>
    <mergeCell ref="H81:H85"/>
    <mergeCell ref="M6:M11"/>
    <mergeCell ref="M19:M23"/>
    <mergeCell ref="M24:M28"/>
    <mergeCell ref="B24:B28"/>
    <mergeCell ref="C24:C28"/>
    <mergeCell ref="D24:D28"/>
    <mergeCell ref="I24:I28"/>
    <mergeCell ref="L6:L11"/>
    <mergeCell ref="B19:B23"/>
    <mergeCell ref="C19:C23"/>
    <mergeCell ref="D19:D23"/>
    <mergeCell ref="I19:I23"/>
    <mergeCell ref="J19:J23"/>
    <mergeCell ref="K19:K23"/>
    <mergeCell ref="L19:L23"/>
    <mergeCell ref="B13:B18"/>
    <mergeCell ref="C13:C18"/>
    <mergeCell ref="J6:J11"/>
    <mergeCell ref="K6:K11"/>
    <mergeCell ref="J24:J28"/>
    <mergeCell ref="K24:K28"/>
    <mergeCell ref="J13:J18"/>
    <mergeCell ref="K13:K18"/>
    <mergeCell ref="B6:B12"/>
    <mergeCell ref="D13:D18"/>
    <mergeCell ref="I13:I18"/>
    <mergeCell ref="I6:I12"/>
    <mergeCell ref="B117:B121"/>
    <mergeCell ref="C117:C121"/>
    <mergeCell ref="D117:D121"/>
    <mergeCell ref="I117:I121"/>
    <mergeCell ref="J117:J121"/>
    <mergeCell ref="J108:J112"/>
    <mergeCell ref="H118:H119"/>
    <mergeCell ref="I45:I49"/>
    <mergeCell ref="B59:B63"/>
    <mergeCell ref="C59:C63"/>
    <mergeCell ref="D59:D63"/>
    <mergeCell ref="J59:J63"/>
    <mergeCell ref="I59:I63"/>
    <mergeCell ref="B40:B44"/>
    <mergeCell ref="C40:C44"/>
    <mergeCell ref="D40:D44"/>
    <mergeCell ref="J81:J85"/>
    <mergeCell ref="B88:B92"/>
    <mergeCell ref="C88:C92"/>
    <mergeCell ref="D88:D92"/>
    <mergeCell ref="C69:C71"/>
    <mergeCell ref="C45:C49"/>
    <mergeCell ref="D45:D49"/>
    <mergeCell ref="K64:K68"/>
    <mergeCell ref="B55:K55"/>
    <mergeCell ref="L34:L38"/>
    <mergeCell ref="K34:K38"/>
    <mergeCell ref="K59:K63"/>
    <mergeCell ref="M103:M107"/>
    <mergeCell ref="J72:J76"/>
    <mergeCell ref="G103:G107"/>
    <mergeCell ref="G82:G83"/>
    <mergeCell ref="K72:K76"/>
    <mergeCell ref="H93:H97"/>
    <mergeCell ref="J40:J44"/>
    <mergeCell ref="K50:K54"/>
    <mergeCell ref="M45:M49"/>
    <mergeCell ref="L59:L63"/>
    <mergeCell ref="L45:L49"/>
    <mergeCell ref="L50:L54"/>
    <mergeCell ref="L64:L68"/>
    <mergeCell ref="M64:M68"/>
    <mergeCell ref="J103:J107"/>
    <mergeCell ref="K103:K107"/>
    <mergeCell ref="I86:I87"/>
    <mergeCell ref="I40:I44"/>
    <mergeCell ref="J45:J49"/>
    <mergeCell ref="K45:K49"/>
    <mergeCell ref="G88:G92"/>
    <mergeCell ref="L180:L184"/>
    <mergeCell ref="E181:E182"/>
    <mergeCell ref="F181:F182"/>
    <mergeCell ref="G181:G182"/>
    <mergeCell ref="H180:H182"/>
    <mergeCell ref="K108:K112"/>
    <mergeCell ref="K117:K121"/>
    <mergeCell ref="K40:K44"/>
    <mergeCell ref="L40:L44"/>
    <mergeCell ref="L79:L80"/>
    <mergeCell ref="J98:J102"/>
    <mergeCell ref="K98:K102"/>
    <mergeCell ref="I93:I97"/>
    <mergeCell ref="L93:L97"/>
    <mergeCell ref="L69:L71"/>
    <mergeCell ref="J93:J97"/>
    <mergeCell ref="J137:J141"/>
    <mergeCell ref="K137:K141"/>
    <mergeCell ref="H142:H146"/>
    <mergeCell ref="I142:I146"/>
    <mergeCell ref="M13:M18"/>
    <mergeCell ref="B81:B85"/>
    <mergeCell ref="C81:C85"/>
    <mergeCell ref="D81:D85"/>
    <mergeCell ref="L81:L85"/>
    <mergeCell ref="M81:M85"/>
    <mergeCell ref="I29:I33"/>
    <mergeCell ref="J29:J33"/>
    <mergeCell ref="K29:K33"/>
    <mergeCell ref="L29:L33"/>
    <mergeCell ref="M29:M33"/>
    <mergeCell ref="B50:B54"/>
    <mergeCell ref="C50:C54"/>
    <mergeCell ref="D50:D54"/>
    <mergeCell ref="I50:I54"/>
    <mergeCell ref="J50:J54"/>
    <mergeCell ref="B72:B76"/>
    <mergeCell ref="C72:C76"/>
    <mergeCell ref="M50:M54"/>
    <mergeCell ref="M34:M38"/>
    <mergeCell ref="M40:M44"/>
    <mergeCell ref="M59:M63"/>
    <mergeCell ref="M69:M71"/>
    <mergeCell ref="L72:L76"/>
    <mergeCell ref="J180:J184"/>
    <mergeCell ref="K180:K184"/>
    <mergeCell ref="B171:B175"/>
    <mergeCell ref="B166:B170"/>
    <mergeCell ref="C180:C184"/>
    <mergeCell ref="D180:D184"/>
    <mergeCell ref="I180:I184"/>
    <mergeCell ref="H183:H184"/>
    <mergeCell ref="B180:B184"/>
    <mergeCell ref="B176:K176"/>
    <mergeCell ref="J171:J175"/>
    <mergeCell ref="K171:K175"/>
    <mergeCell ref="B2:K2"/>
    <mergeCell ref="L4:L5"/>
    <mergeCell ref="L98:L102"/>
    <mergeCell ref="E64:G64"/>
    <mergeCell ref="E29:G29"/>
    <mergeCell ref="I98:I102"/>
    <mergeCell ref="F98:F102"/>
    <mergeCell ref="H98:H102"/>
    <mergeCell ref="B29:B33"/>
    <mergeCell ref="C29:C33"/>
    <mergeCell ref="D29:D33"/>
    <mergeCell ref="H86:H87"/>
    <mergeCell ref="B34:B38"/>
    <mergeCell ref="C34:C38"/>
    <mergeCell ref="D34:D38"/>
    <mergeCell ref="I34:I38"/>
    <mergeCell ref="C86:C87"/>
    <mergeCell ref="D86:D87"/>
    <mergeCell ref="L24:L28"/>
    <mergeCell ref="B45:B49"/>
    <mergeCell ref="L57:L58"/>
    <mergeCell ref="L13:L18"/>
    <mergeCell ref="J34:J38"/>
    <mergeCell ref="B69:B71"/>
    <mergeCell ref="B157:K157"/>
    <mergeCell ref="L159:L160"/>
    <mergeCell ref="F93:F97"/>
    <mergeCell ref="D93:D97"/>
    <mergeCell ref="B98:B102"/>
    <mergeCell ref="C98:C102"/>
    <mergeCell ref="D98:D102"/>
    <mergeCell ref="C108:C112"/>
    <mergeCell ref="D108:D112"/>
    <mergeCell ref="G108:G112"/>
    <mergeCell ref="C103:C107"/>
    <mergeCell ref="D103:D107"/>
    <mergeCell ref="B103:B107"/>
    <mergeCell ref="B93:B97"/>
    <mergeCell ref="C93:C97"/>
    <mergeCell ref="J142:J146"/>
    <mergeCell ref="K142:K146"/>
    <mergeCell ref="L127:L131"/>
    <mergeCell ref="L117:L121"/>
    <mergeCell ref="C122:C126"/>
    <mergeCell ref="D122:D126"/>
    <mergeCell ref="I122:I126"/>
    <mergeCell ref="L108:L112"/>
    <mergeCell ref="B108:B112"/>
    <mergeCell ref="D137:D141"/>
    <mergeCell ref="I137:I141"/>
    <mergeCell ref="L132:L136"/>
    <mergeCell ref="K147:K151"/>
    <mergeCell ref="L147:L151"/>
    <mergeCell ref="K152:K156"/>
    <mergeCell ref="L152:L156"/>
    <mergeCell ref="C132:C136"/>
    <mergeCell ref="D132:D136"/>
    <mergeCell ref="I132:I136"/>
    <mergeCell ref="J132:J136"/>
    <mergeCell ref="K132:K136"/>
    <mergeCell ref="J147:J151"/>
    <mergeCell ref="G142:G146"/>
    <mergeCell ref="L142:L146"/>
    <mergeCell ref="J127:J131"/>
    <mergeCell ref="K127:K131"/>
    <mergeCell ref="C127:C131"/>
    <mergeCell ref="D127:D131"/>
    <mergeCell ref="I127:I131"/>
    <mergeCell ref="C137:C141"/>
    <mergeCell ref="B113:K113"/>
    <mergeCell ref="L161:L165"/>
    <mergeCell ref="E162:E163"/>
    <mergeCell ref="F162:F163"/>
    <mergeCell ref="G162:G163"/>
    <mergeCell ref="H164:H165"/>
    <mergeCell ref="B127:B131"/>
    <mergeCell ref="B147:B151"/>
    <mergeCell ref="C147:C151"/>
    <mergeCell ref="D147:D151"/>
    <mergeCell ref="G147:G151"/>
    <mergeCell ref="B137:B141"/>
    <mergeCell ref="B142:B146"/>
    <mergeCell ref="C142:C146"/>
    <mergeCell ref="D142:D146"/>
    <mergeCell ref="F142:F146"/>
    <mergeCell ref="L137:L141"/>
    <mergeCell ref="B132:B136"/>
    <mergeCell ref="L171:L173"/>
    <mergeCell ref="B161:B165"/>
    <mergeCell ref="C171:C175"/>
    <mergeCell ref="D171:D175"/>
    <mergeCell ref="E171:E175"/>
    <mergeCell ref="F171:F175"/>
    <mergeCell ref="G171:G175"/>
    <mergeCell ref="H171:H175"/>
    <mergeCell ref="I171:I175"/>
    <mergeCell ref="K166:K170"/>
    <mergeCell ref="L166:L168"/>
    <mergeCell ref="K161:K165"/>
    <mergeCell ref="C161:C165"/>
    <mergeCell ref="D161:D165"/>
    <mergeCell ref="H161:H163"/>
    <mergeCell ref="I161:I165"/>
    <mergeCell ref="K190:K194"/>
    <mergeCell ref="L190:L194"/>
    <mergeCell ref="M185:M189"/>
    <mergeCell ref="C185:C189"/>
    <mergeCell ref="F185:F189"/>
    <mergeCell ref="M190:M194"/>
    <mergeCell ref="E191:E192"/>
    <mergeCell ref="F191:F192"/>
    <mergeCell ref="G191:G192"/>
    <mergeCell ref="H193:H194"/>
    <mergeCell ref="K185:K189"/>
    <mergeCell ref="J185:J189"/>
    <mergeCell ref="I185:I189"/>
    <mergeCell ref="H185:H189"/>
    <mergeCell ref="G185:G189"/>
    <mergeCell ref="L178:L179"/>
    <mergeCell ref="B185:B189"/>
    <mergeCell ref="E185:E189"/>
    <mergeCell ref="D185:D189"/>
    <mergeCell ref="B190:B194"/>
    <mergeCell ref="B152:B156"/>
    <mergeCell ref="C152:C156"/>
    <mergeCell ref="D152:D156"/>
    <mergeCell ref="G152:G156"/>
    <mergeCell ref="J152:J156"/>
    <mergeCell ref="C166:C170"/>
    <mergeCell ref="D166:D170"/>
    <mergeCell ref="E166:E170"/>
    <mergeCell ref="F166:F170"/>
    <mergeCell ref="G166:G170"/>
    <mergeCell ref="H166:H170"/>
    <mergeCell ref="I166:I170"/>
    <mergeCell ref="J166:J170"/>
    <mergeCell ref="J161:J165"/>
    <mergeCell ref="C190:C194"/>
    <mergeCell ref="D190:D194"/>
    <mergeCell ref="H190:H192"/>
    <mergeCell ref="I190:I194"/>
    <mergeCell ref="J190:J194"/>
  </mergeCells>
  <pageMargins left="0.70866141732283472" right="0.70866141732283472" top="0.74803149606299213" bottom="0.74803149606299213" header="0.31496062992125984" footer="0.31496062992125984"/>
  <pageSetup paperSize="8" scale="63" fitToHeight="0" orientation="landscape" r:id="rId1"/>
  <headerFooter>
    <oddHeader>&amp;RStran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5"/>
  <sheetViews>
    <sheetView topLeftCell="A91" zoomScale="70" zoomScaleNormal="70" workbookViewId="0">
      <selection activeCell="N16" sqref="N16"/>
    </sheetView>
  </sheetViews>
  <sheetFormatPr defaultRowHeight="15" x14ac:dyDescent="0.25"/>
  <cols>
    <col min="2" max="2" width="26.140625" customWidth="1"/>
    <col min="3" max="3" width="10.140625" customWidth="1"/>
    <col min="5" max="5" width="10.42578125" customWidth="1"/>
    <col min="6" max="6" width="12.28515625" bestFit="1" customWidth="1"/>
    <col min="7" max="7" width="13.42578125" bestFit="1" customWidth="1"/>
    <col min="9" max="9" width="16.7109375" customWidth="1"/>
    <col min="10" max="10" width="19.85546875" customWidth="1"/>
    <col min="11" max="11" width="18.42578125" customWidth="1"/>
    <col min="12" max="12" width="26.42578125" customWidth="1"/>
    <col min="13" max="13" width="113.85546875" customWidth="1"/>
  </cols>
  <sheetData>
    <row r="1" spans="1:13" ht="21.75" thickBot="1" x14ac:dyDescent="0.4">
      <c r="B1" s="186"/>
      <c r="C1" s="184"/>
      <c r="D1" s="184"/>
      <c r="E1" s="187"/>
      <c r="F1" s="187"/>
      <c r="G1" s="187"/>
      <c r="H1" s="188"/>
      <c r="I1" s="189" t="s">
        <v>229</v>
      </c>
      <c r="J1" s="190"/>
      <c r="K1" s="190"/>
      <c r="L1" s="190"/>
      <c r="M1" s="191"/>
    </row>
    <row r="2" spans="1:13" ht="30" x14ac:dyDescent="0.25">
      <c r="A2" s="145" t="s">
        <v>21</v>
      </c>
      <c r="B2" s="454" t="s">
        <v>288</v>
      </c>
      <c r="C2" s="455"/>
      <c r="D2" s="455"/>
      <c r="E2" s="455"/>
      <c r="F2" s="455"/>
      <c r="G2" s="455"/>
      <c r="H2" s="455"/>
      <c r="I2" s="455"/>
      <c r="J2" s="455"/>
      <c r="K2" s="456"/>
      <c r="L2" s="181"/>
      <c r="M2" s="179"/>
    </row>
    <row r="3" spans="1:13" x14ac:dyDescent="0.25">
      <c r="A3" s="65"/>
      <c r="B3" s="6" t="s">
        <v>1</v>
      </c>
      <c r="C3" s="6" t="s">
        <v>4</v>
      </c>
      <c r="D3" s="6" t="s">
        <v>13</v>
      </c>
      <c r="E3" s="129" t="s">
        <v>24</v>
      </c>
      <c r="F3" s="130"/>
      <c r="G3" s="131"/>
      <c r="H3" s="6" t="s">
        <v>14</v>
      </c>
      <c r="I3" s="7" t="s">
        <v>0</v>
      </c>
      <c r="J3" s="256" t="s">
        <v>231</v>
      </c>
      <c r="K3" s="256"/>
      <c r="L3" s="181"/>
      <c r="M3" s="179"/>
    </row>
    <row r="4" spans="1:13" x14ac:dyDescent="0.25">
      <c r="A4" s="65"/>
      <c r="B4" s="6"/>
      <c r="C4" s="6"/>
      <c r="D4" s="6"/>
      <c r="E4" s="6">
        <v>2018</v>
      </c>
      <c r="F4" s="6">
        <v>2019</v>
      </c>
      <c r="G4" s="6">
        <v>2020</v>
      </c>
      <c r="H4" s="6"/>
      <c r="I4" s="7"/>
      <c r="J4" s="8">
        <v>2019</v>
      </c>
      <c r="K4" s="9">
        <v>2020</v>
      </c>
      <c r="L4" s="545" t="s">
        <v>30</v>
      </c>
      <c r="M4" s="182" t="s">
        <v>37</v>
      </c>
    </row>
    <row r="5" spans="1:13" ht="15.75" thickBot="1" x14ac:dyDescent="0.3">
      <c r="A5" s="65"/>
      <c r="B5" s="17" t="s">
        <v>15</v>
      </c>
      <c r="C5" s="17"/>
      <c r="D5" s="17"/>
      <c r="E5" s="17"/>
      <c r="F5" s="17"/>
      <c r="G5" s="17"/>
      <c r="H5" s="17"/>
      <c r="I5" s="17"/>
      <c r="J5" s="61" t="s">
        <v>266</v>
      </c>
      <c r="K5" s="309" t="s">
        <v>266</v>
      </c>
      <c r="L5" s="546"/>
      <c r="M5" s="183"/>
    </row>
    <row r="6" spans="1:13" x14ac:dyDescent="0.25">
      <c r="A6" s="34" t="s">
        <v>115</v>
      </c>
      <c r="B6" s="391" t="s">
        <v>289</v>
      </c>
      <c r="C6" s="562" t="s">
        <v>27</v>
      </c>
      <c r="D6" s="469" t="s">
        <v>8</v>
      </c>
      <c r="E6" s="49"/>
      <c r="F6" s="49"/>
      <c r="G6" s="49"/>
      <c r="H6" s="16"/>
      <c r="I6" s="469"/>
      <c r="J6" s="306"/>
      <c r="K6" s="296"/>
      <c r="L6" s="629"/>
      <c r="M6" s="413" t="s">
        <v>332</v>
      </c>
    </row>
    <row r="7" spans="1:13" x14ac:dyDescent="0.25">
      <c r="A7" s="35"/>
      <c r="B7" s="392"/>
      <c r="C7" s="562"/>
      <c r="D7" s="470"/>
      <c r="E7" s="49"/>
      <c r="F7" s="49"/>
      <c r="G7" s="49"/>
      <c r="H7" s="11"/>
      <c r="I7" s="470"/>
      <c r="J7" s="307"/>
      <c r="K7" s="297"/>
      <c r="L7" s="629"/>
      <c r="M7" s="414"/>
    </row>
    <row r="8" spans="1:13" x14ac:dyDescent="0.25">
      <c r="A8" s="35"/>
      <c r="B8" s="392"/>
      <c r="C8" s="562"/>
      <c r="D8" s="470"/>
      <c r="E8" s="30"/>
      <c r="F8" s="30"/>
      <c r="G8" s="30"/>
      <c r="H8" s="11"/>
      <c r="I8" s="470"/>
      <c r="J8" s="307"/>
      <c r="K8" s="297"/>
      <c r="L8" s="629"/>
      <c r="M8" s="414"/>
    </row>
    <row r="9" spans="1:13" x14ac:dyDescent="0.25">
      <c r="A9" s="35"/>
      <c r="B9" s="392"/>
      <c r="C9" s="562"/>
      <c r="D9" s="470"/>
      <c r="E9" s="49" t="s">
        <v>29</v>
      </c>
      <c r="F9" s="49" t="s">
        <v>29</v>
      </c>
      <c r="G9" s="49" t="s">
        <v>29</v>
      </c>
      <c r="H9" s="11"/>
      <c r="I9" s="470"/>
      <c r="J9" s="307"/>
      <c r="K9" s="297"/>
      <c r="L9" s="629"/>
      <c r="M9" s="414"/>
    </row>
    <row r="10" spans="1:13" ht="36" customHeight="1" thickBot="1" x14ac:dyDescent="0.3">
      <c r="A10" s="36"/>
      <c r="B10" s="393"/>
      <c r="C10" s="562"/>
      <c r="D10" s="471"/>
      <c r="E10" s="49">
        <v>200</v>
      </c>
      <c r="F10" s="49">
        <v>2000</v>
      </c>
      <c r="G10" s="49">
        <v>4000</v>
      </c>
      <c r="H10" s="62">
        <v>43374</v>
      </c>
      <c r="I10" s="471"/>
      <c r="J10" s="308"/>
      <c r="K10" s="298"/>
      <c r="L10" s="630"/>
      <c r="M10" s="415"/>
    </row>
    <row r="11" spans="1:13" x14ac:dyDescent="0.25">
      <c r="A11" s="37" t="s">
        <v>116</v>
      </c>
      <c r="B11" s="391" t="s">
        <v>117</v>
      </c>
      <c r="C11" s="561" t="s">
        <v>12</v>
      </c>
      <c r="D11" s="483" t="s">
        <v>79</v>
      </c>
      <c r="E11" s="634" t="s">
        <v>132</v>
      </c>
      <c r="F11" s="635"/>
      <c r="G11" s="636"/>
      <c r="H11" s="18">
        <v>43525</v>
      </c>
      <c r="I11" s="554" t="s">
        <v>45</v>
      </c>
      <c r="J11" s="444">
        <f>60*30000</f>
        <v>1800000</v>
      </c>
      <c r="K11" s="444">
        <f>80*30000</f>
        <v>2400000</v>
      </c>
      <c r="L11" s="495" t="s">
        <v>326</v>
      </c>
      <c r="M11" s="485" t="s">
        <v>44</v>
      </c>
    </row>
    <row r="12" spans="1:13" x14ac:dyDescent="0.25">
      <c r="A12" s="35"/>
      <c r="B12" s="392"/>
      <c r="C12" s="562"/>
      <c r="D12" s="484"/>
      <c r="E12" s="637"/>
      <c r="F12" s="638"/>
      <c r="G12" s="639"/>
      <c r="H12" s="11"/>
      <c r="I12" s="555"/>
      <c r="J12" s="445"/>
      <c r="K12" s="445"/>
      <c r="L12" s="496"/>
      <c r="M12" s="486"/>
    </row>
    <row r="13" spans="1:13" x14ac:dyDescent="0.25">
      <c r="A13" s="35"/>
      <c r="B13" s="392"/>
      <c r="C13" s="562"/>
      <c r="D13" s="484"/>
      <c r="E13" s="38">
        <v>0.2</v>
      </c>
      <c r="F13" s="38">
        <v>0.3</v>
      </c>
      <c r="G13" s="38">
        <v>0.4</v>
      </c>
      <c r="H13" s="11"/>
      <c r="I13" s="555"/>
      <c r="J13" s="445"/>
      <c r="K13" s="445"/>
      <c r="L13" s="496"/>
      <c r="M13" s="486"/>
    </row>
    <row r="14" spans="1:13" x14ac:dyDescent="0.25">
      <c r="A14" s="35"/>
      <c r="B14" s="392"/>
      <c r="C14" s="562"/>
      <c r="D14" s="484"/>
      <c r="E14" s="640" t="s">
        <v>131</v>
      </c>
      <c r="F14" s="641"/>
      <c r="G14" s="642"/>
      <c r="H14" s="11"/>
      <c r="I14" s="555"/>
      <c r="J14" s="445"/>
      <c r="K14" s="445"/>
      <c r="L14" s="496"/>
      <c r="M14" s="486"/>
    </row>
    <row r="15" spans="1:13" ht="61.5" customHeight="1" thickBot="1" x14ac:dyDescent="0.3">
      <c r="A15" s="36"/>
      <c r="B15" s="393"/>
      <c r="C15" s="562"/>
      <c r="D15" s="512"/>
      <c r="E15" s="321" t="s">
        <v>70</v>
      </c>
      <c r="F15" s="321" t="s">
        <v>73</v>
      </c>
      <c r="G15" s="321" t="s">
        <v>72</v>
      </c>
      <c r="H15" s="53"/>
      <c r="I15" s="556"/>
      <c r="J15" s="445"/>
      <c r="K15" s="445"/>
      <c r="L15" s="553"/>
      <c r="M15" s="487"/>
    </row>
    <row r="16" spans="1:13" ht="15" customHeight="1" x14ac:dyDescent="0.25">
      <c r="A16" s="37" t="s">
        <v>121</v>
      </c>
      <c r="B16" s="391" t="s">
        <v>122</v>
      </c>
      <c r="C16" s="563" t="s">
        <v>7</v>
      </c>
      <c r="D16" s="499" t="s">
        <v>8</v>
      </c>
      <c r="E16" s="460" t="s">
        <v>176</v>
      </c>
      <c r="F16" s="461"/>
      <c r="G16" s="462"/>
      <c r="H16" s="567" t="s">
        <v>29</v>
      </c>
      <c r="I16" s="469" t="s">
        <v>177</v>
      </c>
      <c r="J16" s="403">
        <f>+F18*(2.5+92/2)</f>
        <v>1697500</v>
      </c>
      <c r="K16" s="403">
        <f>+G18*(2.5+92/2)</f>
        <v>2425000</v>
      </c>
      <c r="L16" s="631" t="s">
        <v>406</v>
      </c>
      <c r="M16" s="488" t="s">
        <v>405</v>
      </c>
    </row>
    <row r="17" spans="1:13" x14ac:dyDescent="0.25">
      <c r="A17" s="35"/>
      <c r="B17" s="392"/>
      <c r="C17" s="564"/>
      <c r="D17" s="500"/>
      <c r="E17" s="586"/>
      <c r="F17" s="587"/>
      <c r="G17" s="588"/>
      <c r="H17" s="568"/>
      <c r="I17" s="470"/>
      <c r="J17" s="404"/>
      <c r="K17" s="404"/>
      <c r="L17" s="632"/>
      <c r="M17" s="489"/>
    </row>
    <row r="18" spans="1:13" x14ac:dyDescent="0.25">
      <c r="A18" s="35"/>
      <c r="B18" s="392"/>
      <c r="C18" s="564"/>
      <c r="D18" s="470"/>
      <c r="E18" s="317"/>
      <c r="F18" s="312">
        <v>35000</v>
      </c>
      <c r="G18" s="63">
        <v>50000</v>
      </c>
      <c r="H18" s="12">
        <v>43739</v>
      </c>
      <c r="I18" s="470"/>
      <c r="J18" s="404"/>
      <c r="K18" s="404"/>
      <c r="L18" s="632"/>
      <c r="M18" s="489"/>
    </row>
    <row r="19" spans="1:13" x14ac:dyDescent="0.25">
      <c r="A19" s="35"/>
      <c r="B19" s="392"/>
      <c r="C19" s="564"/>
      <c r="D19" s="470"/>
      <c r="E19" s="57"/>
      <c r="F19" s="57"/>
      <c r="G19" s="57"/>
      <c r="H19" s="11"/>
      <c r="I19" s="470"/>
      <c r="J19" s="404"/>
      <c r="K19" s="404"/>
      <c r="L19" s="632"/>
      <c r="M19" s="489"/>
    </row>
    <row r="20" spans="1:13" ht="30.75" customHeight="1" thickBot="1" x14ac:dyDescent="0.3">
      <c r="A20" s="36"/>
      <c r="B20" s="393"/>
      <c r="C20" s="564"/>
      <c r="D20" s="471"/>
      <c r="E20" s="57"/>
      <c r="F20" s="57"/>
      <c r="G20" s="58"/>
      <c r="H20" s="60"/>
      <c r="I20" s="471"/>
      <c r="J20" s="404"/>
      <c r="K20" s="404"/>
      <c r="L20" s="633"/>
      <c r="M20" s="490"/>
    </row>
    <row r="21" spans="1:13" ht="37.9" customHeight="1" x14ac:dyDescent="0.25">
      <c r="A21" s="37" t="s">
        <v>124</v>
      </c>
      <c r="B21" s="391" t="s">
        <v>295</v>
      </c>
      <c r="C21" s="563" t="s">
        <v>52</v>
      </c>
      <c r="D21" s="499" t="s">
        <v>8</v>
      </c>
      <c r="E21" s="460" t="s">
        <v>333</v>
      </c>
      <c r="F21" s="461"/>
      <c r="G21" s="462"/>
      <c r="H21" s="18">
        <v>43374</v>
      </c>
      <c r="I21" s="469" t="s">
        <v>177</v>
      </c>
      <c r="J21" s="403">
        <f>120*9500</f>
        <v>1140000</v>
      </c>
      <c r="K21" s="403">
        <f>220*9500</f>
        <v>2090000</v>
      </c>
      <c r="L21" s="495" t="s">
        <v>292</v>
      </c>
      <c r="M21" s="413" t="s">
        <v>291</v>
      </c>
    </row>
    <row r="22" spans="1:13" x14ac:dyDescent="0.25">
      <c r="A22" s="35"/>
      <c r="B22" s="392"/>
      <c r="C22" s="564"/>
      <c r="D22" s="500"/>
      <c r="E22" s="586"/>
      <c r="F22" s="587"/>
      <c r="G22" s="588"/>
      <c r="H22" s="11"/>
      <c r="I22" s="470"/>
      <c r="J22" s="404"/>
      <c r="K22" s="404"/>
      <c r="L22" s="496"/>
      <c r="M22" s="414"/>
    </row>
    <row r="23" spans="1:13" x14ac:dyDescent="0.25">
      <c r="A23" s="35"/>
      <c r="B23" s="392"/>
      <c r="C23" s="564"/>
      <c r="D23" s="470"/>
      <c r="E23" s="311"/>
      <c r="F23" s="312">
        <v>35000</v>
      </c>
      <c r="G23" s="63">
        <v>50000</v>
      </c>
      <c r="H23" s="11"/>
      <c r="I23" s="470"/>
      <c r="J23" s="404"/>
      <c r="K23" s="404"/>
      <c r="L23" s="496"/>
      <c r="M23" s="414"/>
    </row>
    <row r="24" spans="1:13" x14ac:dyDescent="0.25">
      <c r="A24" s="35"/>
      <c r="B24" s="392"/>
      <c r="C24" s="564"/>
      <c r="D24" s="470"/>
      <c r="E24" s="57"/>
      <c r="F24" s="57"/>
      <c r="G24" s="57"/>
      <c r="H24" s="11"/>
      <c r="I24" s="470"/>
      <c r="J24" s="404"/>
      <c r="K24" s="404"/>
      <c r="L24" s="496"/>
      <c r="M24" s="414"/>
    </row>
    <row r="25" spans="1:13" ht="15.75" thickBot="1" x14ac:dyDescent="0.3">
      <c r="A25" s="36"/>
      <c r="B25" s="393"/>
      <c r="C25" s="564"/>
      <c r="D25" s="471"/>
      <c r="E25" s="58"/>
      <c r="F25" s="58"/>
      <c r="G25" s="58"/>
      <c r="H25" s="58"/>
      <c r="I25" s="471"/>
      <c r="J25" s="404"/>
      <c r="K25" s="404"/>
      <c r="L25" s="553"/>
      <c r="M25" s="415"/>
    </row>
    <row r="26" spans="1:13" ht="15" customHeight="1" x14ac:dyDescent="0.25">
      <c r="A26" s="37" t="s">
        <v>127</v>
      </c>
      <c r="B26" s="382" t="s">
        <v>293</v>
      </c>
      <c r="C26" s="565" t="s">
        <v>6</v>
      </c>
      <c r="D26" s="483" t="s">
        <v>359</v>
      </c>
      <c r="E26" s="460" t="s">
        <v>178</v>
      </c>
      <c r="F26" s="461"/>
      <c r="G26" s="462"/>
      <c r="H26" s="567" t="s">
        <v>29</v>
      </c>
      <c r="I26" s="469" t="s">
        <v>177</v>
      </c>
      <c r="J26" s="419"/>
      <c r="K26" s="624">
        <f>G28*20</f>
        <v>480000</v>
      </c>
      <c r="L26" s="495" t="s">
        <v>126</v>
      </c>
      <c r="M26" s="485" t="s">
        <v>179</v>
      </c>
    </row>
    <row r="27" spans="1:13" ht="24" customHeight="1" x14ac:dyDescent="0.25">
      <c r="A27" s="35"/>
      <c r="B27" s="383"/>
      <c r="C27" s="566"/>
      <c r="D27" s="484"/>
      <c r="E27" s="586"/>
      <c r="F27" s="587"/>
      <c r="G27" s="588"/>
      <c r="H27" s="568"/>
      <c r="I27" s="470"/>
      <c r="J27" s="420"/>
      <c r="K27" s="625"/>
      <c r="L27" s="496"/>
      <c r="M27" s="486"/>
    </row>
    <row r="28" spans="1:13" x14ac:dyDescent="0.25">
      <c r="A28" s="35"/>
      <c r="B28" s="383"/>
      <c r="C28" s="566"/>
      <c r="D28" s="484"/>
      <c r="E28" s="73"/>
      <c r="F28" s="63"/>
      <c r="G28" s="73">
        <v>24000</v>
      </c>
      <c r="H28" s="12">
        <v>43739</v>
      </c>
      <c r="I28" s="470"/>
      <c r="J28" s="420"/>
      <c r="K28" s="625"/>
      <c r="L28" s="496"/>
      <c r="M28" s="486"/>
    </row>
    <row r="29" spans="1:13" x14ac:dyDescent="0.25">
      <c r="A29" s="35"/>
      <c r="B29" s="383"/>
      <c r="C29" s="566"/>
      <c r="D29" s="484"/>
      <c r="E29" s="57"/>
      <c r="F29" s="57"/>
      <c r="G29" s="57"/>
      <c r="H29" s="11"/>
      <c r="I29" s="470"/>
      <c r="J29" s="420"/>
      <c r="K29" s="625"/>
      <c r="L29" s="496"/>
      <c r="M29" s="486"/>
    </row>
    <row r="30" spans="1:13" ht="24" customHeight="1" thickBot="1" x14ac:dyDescent="0.3">
      <c r="A30" s="36"/>
      <c r="B30" s="453"/>
      <c r="C30" s="561"/>
      <c r="D30" s="512"/>
      <c r="E30" s="57"/>
      <c r="F30" s="57"/>
      <c r="G30" s="57"/>
      <c r="H30" s="11"/>
      <c r="I30" s="471"/>
      <c r="J30" s="403"/>
      <c r="K30" s="626"/>
      <c r="L30" s="553"/>
      <c r="M30" s="487"/>
    </row>
    <row r="31" spans="1:13" ht="15.75" customHeight="1" thickBot="1" x14ac:dyDescent="0.3">
      <c r="B31" s="619" t="s">
        <v>290</v>
      </c>
      <c r="C31" s="620"/>
      <c r="D31" s="620"/>
      <c r="E31" s="620"/>
      <c r="F31" s="216"/>
      <c r="G31" s="216"/>
      <c r="H31" s="216"/>
      <c r="I31" s="217"/>
      <c r="J31" s="325"/>
      <c r="K31" s="325"/>
      <c r="L31" s="325"/>
      <c r="M31" s="326"/>
    </row>
    <row r="32" spans="1:13" ht="30" customHeight="1" x14ac:dyDescent="0.25">
      <c r="A32" s="37" t="s">
        <v>135</v>
      </c>
      <c r="B32" s="392" t="s">
        <v>123</v>
      </c>
      <c r="C32" s="561"/>
      <c r="D32" s="470" t="s">
        <v>133</v>
      </c>
      <c r="E32" s="11"/>
      <c r="F32" s="11"/>
      <c r="G32" s="11"/>
      <c r="H32" s="12"/>
      <c r="I32" s="257" t="s">
        <v>29</v>
      </c>
      <c r="J32" s="322" t="s">
        <v>29</v>
      </c>
      <c r="K32" s="322" t="s">
        <v>29</v>
      </c>
      <c r="L32" s="627" t="s">
        <v>335</v>
      </c>
      <c r="M32" s="621" t="s">
        <v>334</v>
      </c>
    </row>
    <row r="33" spans="1:13" ht="13.5" customHeight="1" x14ac:dyDescent="0.25">
      <c r="A33" s="35"/>
      <c r="B33" s="392"/>
      <c r="C33" s="562"/>
      <c r="D33" s="470"/>
      <c r="E33" s="11"/>
      <c r="F33" s="11"/>
      <c r="G33" s="11"/>
      <c r="H33" s="11"/>
      <c r="I33" s="257"/>
      <c r="J33" s="323"/>
      <c r="K33" s="323"/>
      <c r="L33" s="628"/>
      <c r="M33" s="622"/>
    </row>
    <row r="34" spans="1:13" x14ac:dyDescent="0.25">
      <c r="A34" s="35"/>
      <c r="B34" s="392"/>
      <c r="C34" s="562"/>
      <c r="D34" s="470"/>
      <c r="E34" s="11"/>
      <c r="F34" s="11" t="s">
        <v>29</v>
      </c>
      <c r="G34" s="11" t="s">
        <v>29</v>
      </c>
      <c r="H34" s="11" t="s">
        <v>29</v>
      </c>
      <c r="I34" s="257"/>
      <c r="J34" s="323"/>
      <c r="K34" s="323"/>
      <c r="L34" s="323"/>
      <c r="M34" s="622"/>
    </row>
    <row r="35" spans="1:13" x14ac:dyDescent="0.25">
      <c r="A35" s="35"/>
      <c r="B35" s="392"/>
      <c r="C35" s="562"/>
      <c r="D35" s="470"/>
      <c r="E35" s="11"/>
      <c r="F35" s="11"/>
      <c r="G35" s="11"/>
      <c r="H35" s="11"/>
      <c r="I35" s="257"/>
      <c r="J35" s="323"/>
      <c r="K35" s="323"/>
      <c r="L35" s="323"/>
      <c r="M35" s="622"/>
    </row>
    <row r="36" spans="1:13" ht="15.75" thickBot="1" x14ac:dyDescent="0.3">
      <c r="A36" s="36"/>
      <c r="B36" s="393"/>
      <c r="C36" s="562"/>
      <c r="D36" s="471"/>
      <c r="E36" s="53"/>
      <c r="F36" s="53"/>
      <c r="G36" s="53"/>
      <c r="H36" s="53"/>
      <c r="I36" s="127"/>
      <c r="J36" s="324"/>
      <c r="K36" s="324"/>
      <c r="L36" s="324"/>
      <c r="M36" s="623"/>
    </row>
    <row r="37" spans="1:13" ht="15.75" thickBot="1" x14ac:dyDescent="0.3">
      <c r="B37" s="88" t="s">
        <v>134</v>
      </c>
      <c r="C37" s="89"/>
      <c r="D37" s="89"/>
      <c r="E37" s="89"/>
      <c r="F37" s="89"/>
      <c r="G37" s="89"/>
      <c r="H37" s="89"/>
      <c r="I37" s="89"/>
      <c r="J37" s="327"/>
      <c r="K37" s="328"/>
      <c r="L37" s="279"/>
      <c r="M37" s="326"/>
    </row>
    <row r="38" spans="1:13" s="101" customFormat="1" x14ac:dyDescent="0.25">
      <c r="A38" s="37" t="s">
        <v>175</v>
      </c>
      <c r="B38" s="391" t="s">
        <v>54</v>
      </c>
      <c r="C38" s="561" t="s">
        <v>6</v>
      </c>
      <c r="D38" s="428" t="s">
        <v>79</v>
      </c>
      <c r="E38" s="43"/>
      <c r="F38" s="43"/>
      <c r="G38" s="43"/>
      <c r="H38" s="16"/>
      <c r="I38" s="643" t="s">
        <v>28</v>
      </c>
      <c r="J38" s="444">
        <v>0</v>
      </c>
      <c r="K38" s="444">
        <v>0</v>
      </c>
      <c r="L38" s="615" t="s">
        <v>294</v>
      </c>
      <c r="M38" s="413" t="s">
        <v>128</v>
      </c>
    </row>
    <row r="39" spans="1:13" ht="14.45" customHeight="1" x14ac:dyDescent="0.25">
      <c r="A39" s="35"/>
      <c r="B39" s="392"/>
      <c r="C39" s="562"/>
      <c r="D39" s="428"/>
      <c r="E39" s="11"/>
      <c r="F39" s="11"/>
      <c r="G39" s="11"/>
      <c r="H39" s="386" t="s">
        <v>104</v>
      </c>
      <c r="I39" s="644"/>
      <c r="J39" s="445"/>
      <c r="K39" s="445"/>
      <c r="L39" s="616"/>
      <c r="M39" s="414"/>
    </row>
    <row r="40" spans="1:13" x14ac:dyDescent="0.25">
      <c r="A40" s="35"/>
      <c r="B40" s="392"/>
      <c r="C40" s="562"/>
      <c r="D40" s="428"/>
      <c r="E40" s="11"/>
      <c r="F40" s="11"/>
      <c r="G40" s="11"/>
      <c r="H40" s="386"/>
      <c r="I40" s="644"/>
      <c r="J40" s="445"/>
      <c r="K40" s="445"/>
      <c r="L40" s="616"/>
      <c r="M40" s="414"/>
    </row>
    <row r="41" spans="1:13" x14ac:dyDescent="0.25">
      <c r="A41" s="35"/>
      <c r="B41" s="392"/>
      <c r="C41" s="562"/>
      <c r="D41" s="428"/>
      <c r="E41" s="11"/>
      <c r="F41" s="11"/>
      <c r="G41" s="11"/>
      <c r="H41" s="11"/>
      <c r="I41" s="644"/>
      <c r="J41" s="445"/>
      <c r="K41" s="445"/>
      <c r="L41" s="616"/>
      <c r="M41" s="414"/>
    </row>
    <row r="42" spans="1:13" ht="15.75" thickBot="1" x14ac:dyDescent="0.3">
      <c r="A42" s="36"/>
      <c r="B42" s="393"/>
      <c r="C42" s="562"/>
      <c r="D42" s="428"/>
      <c r="E42" s="53"/>
      <c r="F42" s="53"/>
      <c r="G42" s="53"/>
      <c r="H42" s="53"/>
      <c r="I42" s="645"/>
      <c r="J42" s="445"/>
      <c r="K42" s="445"/>
      <c r="L42" s="617"/>
      <c r="M42" s="415"/>
    </row>
    <row r="43" spans="1:13" ht="16.5" customHeight="1" thickBot="1" x14ac:dyDescent="0.3">
      <c r="A43" s="101"/>
      <c r="B43" s="103" t="s">
        <v>63</v>
      </c>
      <c r="C43" s="104"/>
      <c r="D43" s="104"/>
      <c r="E43" s="104"/>
      <c r="F43" s="104"/>
      <c r="G43" s="104"/>
      <c r="H43" s="104"/>
      <c r="I43" s="105"/>
      <c r="J43" s="329"/>
      <c r="K43" s="330"/>
      <c r="L43" s="331"/>
      <c r="M43" s="332"/>
    </row>
    <row r="44" spans="1:13" x14ac:dyDescent="0.25">
      <c r="A44" s="37" t="s">
        <v>253</v>
      </c>
      <c r="B44" s="392" t="s">
        <v>173</v>
      </c>
      <c r="C44" s="561" t="s">
        <v>20</v>
      </c>
      <c r="D44" s="390" t="s">
        <v>8</v>
      </c>
      <c r="E44" s="386"/>
      <c r="F44" s="386"/>
      <c r="G44" s="386"/>
      <c r="H44" s="618">
        <v>43525</v>
      </c>
      <c r="I44" s="600" t="s">
        <v>17</v>
      </c>
      <c r="J44" s="70">
        <v>0</v>
      </c>
      <c r="K44" s="70">
        <v>0</v>
      </c>
      <c r="L44" s="457" t="s">
        <v>36</v>
      </c>
      <c r="M44" s="413" t="s">
        <v>174</v>
      </c>
    </row>
    <row r="45" spans="1:13" x14ac:dyDescent="0.25">
      <c r="A45" s="35"/>
      <c r="B45" s="392"/>
      <c r="C45" s="562"/>
      <c r="D45" s="396"/>
      <c r="E45" s="386"/>
      <c r="F45" s="386"/>
      <c r="G45" s="386"/>
      <c r="H45" s="598"/>
      <c r="I45" s="600"/>
      <c r="J45" s="71"/>
      <c r="K45" s="71"/>
      <c r="L45" s="458"/>
      <c r="M45" s="414"/>
    </row>
    <row r="46" spans="1:13" x14ac:dyDescent="0.25">
      <c r="A46" s="35"/>
      <c r="B46" s="392"/>
      <c r="C46" s="562"/>
      <c r="D46" s="396"/>
      <c r="E46" s="386"/>
      <c r="F46" s="386"/>
      <c r="G46" s="386"/>
      <c r="H46" s="598"/>
      <c r="I46" s="600"/>
      <c r="J46" s="71"/>
      <c r="K46" s="71"/>
      <c r="L46" s="458"/>
      <c r="M46" s="414"/>
    </row>
    <row r="47" spans="1:13" x14ac:dyDescent="0.25">
      <c r="A47" s="35"/>
      <c r="B47" s="392"/>
      <c r="C47" s="562"/>
      <c r="D47" s="396"/>
      <c r="E47" s="386"/>
      <c r="F47" s="386"/>
      <c r="G47" s="386"/>
      <c r="H47" s="598"/>
      <c r="I47" s="600"/>
      <c r="J47" s="71"/>
      <c r="K47" s="71"/>
      <c r="L47" s="458"/>
      <c r="M47" s="414"/>
    </row>
    <row r="48" spans="1:13" ht="15.75" thickBot="1" x14ac:dyDescent="0.3">
      <c r="A48" s="36"/>
      <c r="B48" s="393"/>
      <c r="C48" s="562"/>
      <c r="D48" s="396"/>
      <c r="E48" s="387"/>
      <c r="F48" s="387"/>
      <c r="G48" s="387"/>
      <c r="H48" s="598"/>
      <c r="I48" s="601"/>
      <c r="J48" s="72"/>
      <c r="K48" s="72"/>
      <c r="L48" s="459"/>
      <c r="M48" s="415"/>
    </row>
    <row r="49" spans="1:14" ht="15.75" customHeight="1" x14ac:dyDescent="0.25">
      <c r="A49" s="185"/>
      <c r="B49" s="15"/>
      <c r="C49" s="14"/>
      <c r="D49" s="13"/>
      <c r="E49" s="102"/>
      <c r="F49" s="102"/>
      <c r="G49" s="102"/>
      <c r="H49" s="221"/>
      <c r="I49" s="66" t="s">
        <v>210</v>
      </c>
      <c r="J49" s="67">
        <f>SUM(J11,J32,J38)</f>
        <v>1800000</v>
      </c>
      <c r="K49" s="67">
        <f>SUM(K11,K32,K38)</f>
        <v>2400000</v>
      </c>
      <c r="L49" s="547" t="s">
        <v>248</v>
      </c>
      <c r="M49" s="548"/>
      <c r="N49" s="158"/>
    </row>
    <row r="50" spans="1:14" ht="15.75" customHeight="1" x14ac:dyDescent="0.25">
      <c r="A50" s="158"/>
      <c r="B50" s="158"/>
      <c r="C50" s="158"/>
      <c r="D50" s="158"/>
      <c r="E50" s="158"/>
      <c r="F50" s="158"/>
      <c r="G50" s="158"/>
      <c r="H50" s="158"/>
      <c r="I50" s="68" t="s">
        <v>210</v>
      </c>
      <c r="J50" s="69">
        <f>SUM(J16,J21,J26)</f>
        <v>2837500</v>
      </c>
      <c r="K50" s="69">
        <f>SUM(K16,K21,K26)</f>
        <v>4995000</v>
      </c>
      <c r="L50" s="128" t="s">
        <v>107</v>
      </c>
      <c r="M50" s="128"/>
    </row>
    <row r="51" spans="1:14" ht="15.75" thickBot="1" x14ac:dyDescent="0.3">
      <c r="A51" s="158"/>
      <c r="B51" s="158"/>
      <c r="C51" s="158"/>
      <c r="D51" s="158"/>
      <c r="E51" s="158"/>
      <c r="F51" s="158"/>
      <c r="G51" s="158"/>
      <c r="H51" s="158"/>
      <c r="I51" s="77" t="s">
        <v>197</v>
      </c>
      <c r="J51" s="78">
        <f>SUM(J49:J50)</f>
        <v>4637500</v>
      </c>
      <c r="K51" s="78">
        <f>SUM(K49:K50)</f>
        <v>7395000</v>
      </c>
      <c r="L51" s="549" t="s">
        <v>110</v>
      </c>
      <c r="M51" s="549"/>
    </row>
    <row r="52" spans="1:14" ht="15.75" hidden="1" thickBot="1" x14ac:dyDescent="0.3">
      <c r="A52" s="158"/>
      <c r="B52" s="158"/>
      <c r="C52" s="158"/>
      <c r="D52" s="158"/>
      <c r="E52" s="158"/>
      <c r="F52" s="158"/>
      <c r="G52" s="158"/>
      <c r="H52" s="158"/>
    </row>
    <row r="53" spans="1:14" ht="30.75" hidden="1" thickBot="1" x14ac:dyDescent="0.3">
      <c r="A53" s="145" t="s">
        <v>21</v>
      </c>
      <c r="B53" s="426" t="s">
        <v>129</v>
      </c>
      <c r="C53" s="426"/>
      <c r="D53" s="426"/>
      <c r="E53" s="426"/>
      <c r="F53" s="426"/>
      <c r="G53" s="426"/>
      <c r="H53" s="426"/>
      <c r="I53" s="426"/>
      <c r="J53" s="426"/>
      <c r="K53" s="426"/>
      <c r="L53" s="180"/>
      <c r="M53" s="178"/>
    </row>
    <row r="54" spans="1:14" ht="15.75" hidden="1" thickBot="1" x14ac:dyDescent="0.3">
      <c r="A54" s="65"/>
      <c r="B54" s="6" t="s">
        <v>1</v>
      </c>
      <c r="C54" s="6" t="s">
        <v>4</v>
      </c>
      <c r="D54" s="6" t="s">
        <v>13</v>
      </c>
      <c r="E54" s="129" t="s">
        <v>24</v>
      </c>
      <c r="F54" s="130"/>
      <c r="G54" s="131"/>
      <c r="H54" s="6" t="s">
        <v>14</v>
      </c>
      <c r="I54" s="7" t="s">
        <v>0</v>
      </c>
      <c r="J54" s="135" t="s">
        <v>231</v>
      </c>
      <c r="K54" s="135"/>
      <c r="L54" s="181"/>
      <c r="M54" s="179"/>
    </row>
    <row r="55" spans="1:14" ht="30" x14ac:dyDescent="0.25">
      <c r="A55" s="145" t="s">
        <v>21</v>
      </c>
      <c r="B55" s="454" t="s">
        <v>315</v>
      </c>
      <c r="C55" s="455"/>
      <c r="D55" s="455"/>
      <c r="E55" s="455"/>
      <c r="F55" s="455"/>
      <c r="G55" s="455"/>
      <c r="H55" s="455"/>
      <c r="I55" s="455"/>
      <c r="J55" s="455"/>
      <c r="K55" s="456"/>
      <c r="L55" s="181"/>
      <c r="M55" s="179"/>
    </row>
    <row r="56" spans="1:14" x14ac:dyDescent="0.25">
      <c r="A56" s="65"/>
      <c r="B56" s="6" t="s">
        <v>1</v>
      </c>
      <c r="C56" s="6" t="s">
        <v>4</v>
      </c>
      <c r="D56" s="6" t="s">
        <v>13</v>
      </c>
      <c r="E56" s="129" t="s">
        <v>24</v>
      </c>
      <c r="F56" s="130"/>
      <c r="G56" s="131"/>
      <c r="H56" s="6" t="s">
        <v>14</v>
      </c>
      <c r="I56" s="7" t="s">
        <v>0</v>
      </c>
      <c r="J56" s="266" t="s">
        <v>231</v>
      </c>
      <c r="K56" s="266"/>
      <c r="L56" s="181"/>
      <c r="M56" s="179"/>
    </row>
    <row r="57" spans="1:14" x14ac:dyDescent="0.25">
      <c r="A57" s="65"/>
      <c r="B57" s="6"/>
      <c r="C57" s="6"/>
      <c r="D57" s="6"/>
      <c r="E57" s="6">
        <v>2018</v>
      </c>
      <c r="F57" s="6">
        <v>2019</v>
      </c>
      <c r="G57" s="6">
        <v>2020</v>
      </c>
      <c r="H57" s="6"/>
      <c r="I57" s="7"/>
      <c r="J57" s="8">
        <v>2019</v>
      </c>
      <c r="K57" s="9">
        <v>2020</v>
      </c>
      <c r="L57" s="380" t="s">
        <v>30</v>
      </c>
      <c r="M57" s="182" t="s">
        <v>37</v>
      </c>
    </row>
    <row r="58" spans="1:14" ht="15.75" thickBot="1" x14ac:dyDescent="0.3">
      <c r="A58" s="65"/>
      <c r="B58" s="17"/>
      <c r="C58" s="17"/>
      <c r="D58" s="17"/>
      <c r="E58" s="17"/>
      <c r="F58" s="17"/>
      <c r="G58" s="17"/>
      <c r="H58" s="17"/>
      <c r="I58" s="17"/>
      <c r="J58" s="61" t="s">
        <v>265</v>
      </c>
      <c r="K58" s="129" t="s">
        <v>266</v>
      </c>
      <c r="L58" s="381"/>
      <c r="M58" s="183"/>
    </row>
    <row r="59" spans="1:14" x14ac:dyDescent="0.25">
      <c r="A59" s="1" t="s">
        <v>22</v>
      </c>
      <c r="B59" s="392" t="s">
        <v>81</v>
      </c>
      <c r="C59" s="561" t="s">
        <v>82</v>
      </c>
      <c r="D59" s="390" t="s">
        <v>8</v>
      </c>
      <c r="E59" s="204">
        <v>0</v>
      </c>
      <c r="F59" s="469" t="s">
        <v>120</v>
      </c>
      <c r="G59" s="529" t="s">
        <v>71</v>
      </c>
      <c r="H59" s="598">
        <v>2019</v>
      </c>
      <c r="I59" s="599" t="s">
        <v>9</v>
      </c>
      <c r="J59" s="445">
        <f>20*60000*0.2</f>
        <v>240000</v>
      </c>
      <c r="K59" s="445">
        <f>100*60000*0.2</f>
        <v>1200000</v>
      </c>
      <c r="L59" s="432" t="s">
        <v>316</v>
      </c>
      <c r="M59" s="383" t="s">
        <v>302</v>
      </c>
    </row>
    <row r="60" spans="1:14" x14ac:dyDescent="0.25">
      <c r="A60" s="2"/>
      <c r="B60" s="392"/>
      <c r="C60" s="562"/>
      <c r="D60" s="396"/>
      <c r="E60" s="11"/>
      <c r="F60" s="470"/>
      <c r="G60" s="529"/>
      <c r="H60" s="598"/>
      <c r="I60" s="600"/>
      <c r="J60" s="445"/>
      <c r="K60" s="445"/>
      <c r="L60" s="433"/>
      <c r="M60" s="383"/>
    </row>
    <row r="61" spans="1:14" x14ac:dyDescent="0.25">
      <c r="A61" s="4"/>
      <c r="B61" s="392"/>
      <c r="C61" s="562"/>
      <c r="D61" s="396"/>
      <c r="E61" s="11"/>
      <c r="F61" s="470"/>
      <c r="G61" s="529"/>
      <c r="H61" s="598"/>
      <c r="I61" s="600"/>
      <c r="J61" s="445"/>
      <c r="K61" s="445"/>
      <c r="L61" s="433"/>
      <c r="M61" s="383"/>
    </row>
    <row r="62" spans="1:14" x14ac:dyDescent="0.25">
      <c r="A62" s="4"/>
      <c r="B62" s="392"/>
      <c r="C62" s="562"/>
      <c r="D62" s="396"/>
      <c r="E62" s="11"/>
      <c r="F62" s="470"/>
      <c r="G62" s="529"/>
      <c r="H62" s="598"/>
      <c r="I62" s="600"/>
      <c r="J62" s="445"/>
      <c r="K62" s="445"/>
      <c r="L62" s="433"/>
      <c r="M62" s="383"/>
    </row>
    <row r="63" spans="1:14" ht="35.25" customHeight="1" thickBot="1" x14ac:dyDescent="0.3">
      <c r="A63" s="5"/>
      <c r="B63" s="393"/>
      <c r="C63" s="562"/>
      <c r="D63" s="396"/>
      <c r="E63" s="265"/>
      <c r="F63" s="471"/>
      <c r="G63" s="529"/>
      <c r="H63" s="598"/>
      <c r="I63" s="601"/>
      <c r="J63" s="445"/>
      <c r="K63" s="445"/>
      <c r="L63" s="434"/>
      <c r="M63" s="384"/>
    </row>
    <row r="64" spans="1:14" x14ac:dyDescent="0.25">
      <c r="A64" s="34" t="s">
        <v>23</v>
      </c>
      <c r="B64" s="391" t="s">
        <v>138</v>
      </c>
      <c r="C64" s="562" t="s">
        <v>5</v>
      </c>
      <c r="D64" s="428" t="s">
        <v>79</v>
      </c>
      <c r="E64" s="49"/>
      <c r="F64" s="49"/>
      <c r="G64" s="49"/>
      <c r="H64" s="16"/>
      <c r="I64" s="429" t="s">
        <v>139</v>
      </c>
      <c r="J64" s="445">
        <f>SUM(10*400000)</f>
        <v>4000000</v>
      </c>
      <c r="K64" s="437">
        <f>SUM(10*400000)</f>
        <v>4000000</v>
      </c>
      <c r="L64" s="589" t="s">
        <v>317</v>
      </c>
      <c r="M64" s="427" t="s">
        <v>296</v>
      </c>
    </row>
    <row r="65" spans="1:13" x14ac:dyDescent="0.25">
      <c r="A65" s="35"/>
      <c r="B65" s="392"/>
      <c r="C65" s="562"/>
      <c r="D65" s="428"/>
      <c r="E65" s="49"/>
      <c r="F65" s="49"/>
      <c r="G65" s="49"/>
      <c r="H65" s="11"/>
      <c r="I65" s="430"/>
      <c r="J65" s="445"/>
      <c r="K65" s="438"/>
      <c r="L65" s="589"/>
      <c r="M65" s="427"/>
    </row>
    <row r="66" spans="1:13" x14ac:dyDescent="0.25">
      <c r="A66" s="35"/>
      <c r="B66" s="392"/>
      <c r="C66" s="562"/>
      <c r="D66" s="428"/>
      <c r="E66" s="30"/>
      <c r="F66" s="30" t="s">
        <v>29</v>
      </c>
      <c r="G66" s="30" t="s">
        <v>29</v>
      </c>
      <c r="H66" s="11"/>
      <c r="I66" s="430"/>
      <c r="J66" s="445"/>
      <c r="K66" s="438"/>
      <c r="L66" s="589"/>
      <c r="M66" s="427"/>
    </row>
    <row r="67" spans="1:13" x14ac:dyDescent="0.25">
      <c r="A67" s="35"/>
      <c r="B67" s="392"/>
      <c r="C67" s="562"/>
      <c r="D67" s="428"/>
      <c r="E67" s="49">
        <v>10</v>
      </c>
      <c r="F67" s="49">
        <v>10</v>
      </c>
      <c r="G67" s="49">
        <v>10</v>
      </c>
      <c r="H67" s="11"/>
      <c r="I67" s="430"/>
      <c r="J67" s="445"/>
      <c r="K67" s="438"/>
      <c r="L67" s="589"/>
      <c r="M67" s="427"/>
    </row>
    <row r="68" spans="1:13" ht="18.75" customHeight="1" thickBot="1" x14ac:dyDescent="0.3">
      <c r="A68" s="36"/>
      <c r="B68" s="393"/>
      <c r="C68" s="562"/>
      <c r="D68" s="428"/>
      <c r="E68" s="49" t="s">
        <v>29</v>
      </c>
      <c r="F68" s="49" t="s">
        <v>29</v>
      </c>
      <c r="G68" s="49" t="s">
        <v>29</v>
      </c>
      <c r="H68" s="29" t="s">
        <v>28</v>
      </c>
      <c r="I68" s="431"/>
      <c r="J68" s="445"/>
      <c r="K68" s="439"/>
      <c r="L68" s="590"/>
      <c r="M68" s="427"/>
    </row>
    <row r="69" spans="1:13" x14ac:dyDescent="0.25">
      <c r="A69" s="37" t="s">
        <v>136</v>
      </c>
      <c r="B69" s="391" t="s">
        <v>137</v>
      </c>
      <c r="C69" s="561" t="s">
        <v>12</v>
      </c>
      <c r="D69" s="483" t="s">
        <v>79</v>
      </c>
      <c r="E69" s="51"/>
      <c r="F69" s="51"/>
      <c r="G69" s="51"/>
      <c r="H69" s="18">
        <v>43525</v>
      </c>
      <c r="I69" s="554" t="s">
        <v>9</v>
      </c>
      <c r="J69" s="444">
        <f>16*20000</f>
        <v>320000</v>
      </c>
      <c r="K69" s="444">
        <f>20*20000</f>
        <v>400000</v>
      </c>
      <c r="L69" s="495" t="s">
        <v>74</v>
      </c>
      <c r="M69" s="413" t="s">
        <v>392</v>
      </c>
    </row>
    <row r="70" spans="1:13" ht="19.5" customHeight="1" x14ac:dyDescent="0.25">
      <c r="A70" s="35"/>
      <c r="B70" s="392"/>
      <c r="C70" s="562"/>
      <c r="D70" s="484"/>
      <c r="E70" s="51"/>
      <c r="F70" s="51"/>
      <c r="G70" s="51"/>
      <c r="H70" s="11"/>
      <c r="I70" s="555"/>
      <c r="J70" s="445"/>
      <c r="K70" s="445"/>
      <c r="L70" s="496"/>
      <c r="M70" s="414"/>
    </row>
    <row r="71" spans="1:13" x14ac:dyDescent="0.25">
      <c r="A71" s="35"/>
      <c r="B71" s="392"/>
      <c r="C71" s="562"/>
      <c r="D71" s="484"/>
      <c r="E71" s="38"/>
      <c r="F71" s="38"/>
      <c r="G71" s="38"/>
      <c r="H71" s="11"/>
      <c r="I71" s="555"/>
      <c r="J71" s="445"/>
      <c r="K71" s="445"/>
      <c r="L71" s="496"/>
      <c r="M71" s="414"/>
    </row>
    <row r="72" spans="1:13" ht="15" customHeight="1" x14ac:dyDescent="0.25">
      <c r="A72" s="35"/>
      <c r="B72" s="392"/>
      <c r="C72" s="562"/>
      <c r="D72" s="484"/>
      <c r="E72" s="51" t="s">
        <v>140</v>
      </c>
      <c r="F72" s="51" t="s">
        <v>141</v>
      </c>
      <c r="G72" s="51" t="s">
        <v>120</v>
      </c>
      <c r="H72" s="11"/>
      <c r="I72" s="555"/>
      <c r="J72" s="445"/>
      <c r="K72" s="445"/>
      <c r="L72" s="496"/>
      <c r="M72" s="414"/>
    </row>
    <row r="73" spans="1:13" ht="9.75" customHeight="1" thickBot="1" x14ac:dyDescent="0.3">
      <c r="A73" s="36"/>
      <c r="B73" s="393"/>
      <c r="C73" s="562"/>
      <c r="D73" s="512"/>
      <c r="E73" s="52"/>
      <c r="F73" s="52"/>
      <c r="G73" s="52"/>
      <c r="H73" s="53"/>
      <c r="I73" s="556"/>
      <c r="J73" s="445"/>
      <c r="K73" s="445"/>
      <c r="L73" s="553"/>
      <c r="M73" s="415"/>
    </row>
    <row r="74" spans="1:13" ht="15" customHeight="1" x14ac:dyDescent="0.25">
      <c r="A74" s="37" t="s">
        <v>255</v>
      </c>
      <c r="B74" s="391" t="s">
        <v>203</v>
      </c>
      <c r="C74" s="561" t="s">
        <v>7</v>
      </c>
      <c r="D74" s="469" t="s">
        <v>8</v>
      </c>
      <c r="E74" s="51"/>
      <c r="F74" s="51"/>
      <c r="G74" s="51"/>
      <c r="H74" s="18">
        <v>43739</v>
      </c>
      <c r="I74" s="472" t="s">
        <v>256</v>
      </c>
      <c r="J74" s="557">
        <v>0</v>
      </c>
      <c r="K74" s="557">
        <v>0</v>
      </c>
      <c r="L74" s="495" t="s">
        <v>142</v>
      </c>
      <c r="M74" s="558" t="s">
        <v>407</v>
      </c>
    </row>
    <row r="75" spans="1:13" x14ac:dyDescent="0.25">
      <c r="A75" s="35"/>
      <c r="B75" s="392"/>
      <c r="C75" s="562"/>
      <c r="D75" s="470"/>
      <c r="E75" s="51"/>
      <c r="F75" s="51"/>
      <c r="G75" s="51"/>
      <c r="H75" s="11"/>
      <c r="I75" s="473"/>
      <c r="J75" s="493"/>
      <c r="K75" s="493"/>
      <c r="L75" s="496"/>
      <c r="M75" s="559"/>
    </row>
    <row r="76" spans="1:13" x14ac:dyDescent="0.25">
      <c r="A76" s="35"/>
      <c r="B76" s="392"/>
      <c r="C76" s="562"/>
      <c r="D76" s="470"/>
      <c r="E76" s="38"/>
      <c r="F76" s="38"/>
      <c r="G76" s="38"/>
      <c r="H76" s="11"/>
      <c r="I76" s="473"/>
      <c r="J76" s="493"/>
      <c r="K76" s="493"/>
      <c r="L76" s="496"/>
      <c r="M76" s="559"/>
    </row>
    <row r="77" spans="1:13" x14ac:dyDescent="0.25">
      <c r="A77" s="35"/>
      <c r="B77" s="392"/>
      <c r="C77" s="562"/>
      <c r="D77" s="470"/>
      <c r="E77" s="51"/>
      <c r="F77" s="51"/>
      <c r="G77" s="51"/>
      <c r="H77" s="11"/>
      <c r="I77" s="473"/>
      <c r="J77" s="493"/>
      <c r="K77" s="493"/>
      <c r="L77" s="496"/>
      <c r="M77" s="559"/>
    </row>
    <row r="78" spans="1:13" ht="15.75" thickBot="1" x14ac:dyDescent="0.3">
      <c r="A78" s="36"/>
      <c r="B78" s="393"/>
      <c r="C78" s="562"/>
      <c r="D78" s="471"/>
      <c r="E78" s="52"/>
      <c r="F78" s="52"/>
      <c r="G78" s="52"/>
      <c r="H78" s="53"/>
      <c r="I78" s="474"/>
      <c r="J78" s="493"/>
      <c r="K78" s="493"/>
      <c r="L78" s="553"/>
      <c r="M78" s="560"/>
    </row>
    <row r="79" spans="1:13" ht="18" customHeight="1" x14ac:dyDescent="0.25">
      <c r="A79" s="37" t="s">
        <v>143</v>
      </c>
      <c r="B79" s="391" t="s">
        <v>205</v>
      </c>
      <c r="C79" s="563" t="s">
        <v>52</v>
      </c>
      <c r="D79" s="469" t="s">
        <v>8</v>
      </c>
      <c r="E79" s="57" t="s">
        <v>38</v>
      </c>
      <c r="F79" s="57"/>
      <c r="G79" s="57"/>
      <c r="H79" s="18">
        <v>43739</v>
      </c>
      <c r="I79" s="469" t="s">
        <v>256</v>
      </c>
      <c r="J79" s="403">
        <f>120*9500</f>
        <v>1140000</v>
      </c>
      <c r="K79" s="403">
        <f>220*9500</f>
        <v>2090000</v>
      </c>
      <c r="L79" s="495" t="s">
        <v>297</v>
      </c>
      <c r="M79" s="558" t="s">
        <v>407</v>
      </c>
    </row>
    <row r="80" spans="1:13" x14ac:dyDescent="0.25">
      <c r="A80" s="35"/>
      <c r="B80" s="392"/>
      <c r="C80" s="564"/>
      <c r="D80" s="470"/>
      <c r="E80" s="57"/>
      <c r="F80" s="57"/>
      <c r="G80" s="57"/>
      <c r="H80" s="11"/>
      <c r="I80" s="470"/>
      <c r="J80" s="404"/>
      <c r="K80" s="404"/>
      <c r="L80" s="496"/>
      <c r="M80" s="559"/>
    </row>
    <row r="81" spans="1:13" x14ac:dyDescent="0.25">
      <c r="A81" s="35"/>
      <c r="B81" s="392"/>
      <c r="C81" s="564"/>
      <c r="D81" s="470"/>
      <c r="E81" s="79"/>
      <c r="F81" s="79">
        <v>120</v>
      </c>
      <c r="G81" s="79">
        <v>220</v>
      </c>
      <c r="H81" s="11"/>
      <c r="I81" s="470"/>
      <c r="J81" s="404"/>
      <c r="K81" s="404"/>
      <c r="L81" s="496"/>
      <c r="M81" s="559"/>
    </row>
    <row r="82" spans="1:13" x14ac:dyDescent="0.25">
      <c r="A82" s="35"/>
      <c r="B82" s="392"/>
      <c r="C82" s="564"/>
      <c r="D82" s="470"/>
      <c r="E82" s="57"/>
      <c r="F82" s="57"/>
      <c r="G82" s="57"/>
      <c r="H82" s="11"/>
      <c r="I82" s="470"/>
      <c r="J82" s="404"/>
      <c r="K82" s="404"/>
      <c r="L82" s="496"/>
      <c r="M82" s="559"/>
    </row>
    <row r="83" spans="1:13" ht="18.75" customHeight="1" thickBot="1" x14ac:dyDescent="0.3">
      <c r="A83" s="36"/>
      <c r="B83" s="393"/>
      <c r="C83" s="564"/>
      <c r="D83" s="471"/>
      <c r="E83" s="58"/>
      <c r="F83" s="58"/>
      <c r="G83" s="58"/>
      <c r="H83" s="58"/>
      <c r="I83" s="471"/>
      <c r="J83" s="404"/>
      <c r="K83" s="404"/>
      <c r="L83" s="553"/>
      <c r="M83" s="560"/>
    </row>
    <row r="84" spans="1:13" ht="15" customHeight="1" x14ac:dyDescent="0.25">
      <c r="A84" s="37" t="s">
        <v>153</v>
      </c>
      <c r="B84" s="391" t="s">
        <v>125</v>
      </c>
      <c r="C84" s="561" t="s">
        <v>6</v>
      </c>
      <c r="D84" s="469" t="s">
        <v>8</v>
      </c>
      <c r="E84" s="51"/>
      <c r="F84" s="51"/>
      <c r="G84" s="51" t="s">
        <v>303</v>
      </c>
      <c r="H84" s="567" t="s">
        <v>29</v>
      </c>
      <c r="I84" s="469" t="s">
        <v>318</v>
      </c>
      <c r="J84" s="591" t="s">
        <v>29</v>
      </c>
      <c r="K84" s="403">
        <f>96*3000</f>
        <v>288000</v>
      </c>
      <c r="L84" s="495" t="s">
        <v>149</v>
      </c>
      <c r="M84" s="413" t="s">
        <v>298</v>
      </c>
    </row>
    <row r="85" spans="1:13" ht="24" customHeight="1" x14ac:dyDescent="0.25">
      <c r="A85" s="35"/>
      <c r="B85" s="392"/>
      <c r="C85" s="562"/>
      <c r="D85" s="470"/>
      <c r="E85" s="51" t="s">
        <v>29</v>
      </c>
      <c r="F85" s="51" t="s">
        <v>29</v>
      </c>
      <c r="G85" s="51" t="s">
        <v>29</v>
      </c>
      <c r="H85" s="568"/>
      <c r="I85" s="470"/>
      <c r="J85" s="592"/>
      <c r="K85" s="404"/>
      <c r="L85" s="496"/>
      <c r="M85" s="414"/>
    </row>
    <row r="86" spans="1:13" x14ac:dyDescent="0.25">
      <c r="A86" s="35"/>
      <c r="B86" s="392"/>
      <c r="C86" s="562"/>
      <c r="D86" s="470"/>
      <c r="E86" s="33" t="s">
        <v>29</v>
      </c>
      <c r="F86" s="33" t="s">
        <v>29</v>
      </c>
      <c r="G86" s="63">
        <v>3000</v>
      </c>
      <c r="H86" s="12">
        <v>43739</v>
      </c>
      <c r="I86" s="470"/>
      <c r="J86" s="592"/>
      <c r="K86" s="404"/>
      <c r="L86" s="496"/>
      <c r="M86" s="414"/>
    </row>
    <row r="87" spans="1:13" x14ac:dyDescent="0.25">
      <c r="A87" s="35"/>
      <c r="B87" s="392"/>
      <c r="C87" s="562"/>
      <c r="D87" s="470"/>
      <c r="E87" s="51"/>
      <c r="F87" s="51"/>
      <c r="G87" s="51"/>
      <c r="H87" s="11"/>
      <c r="I87" s="470"/>
      <c r="J87" s="592"/>
      <c r="K87" s="404"/>
      <c r="L87" s="496"/>
      <c r="M87" s="414"/>
    </row>
    <row r="88" spans="1:13" ht="24" customHeight="1" thickBot="1" x14ac:dyDescent="0.3">
      <c r="A88" s="36"/>
      <c r="B88" s="393"/>
      <c r="C88" s="562"/>
      <c r="D88" s="471"/>
      <c r="E88" s="52"/>
      <c r="F88" s="52"/>
      <c r="G88" s="52"/>
      <c r="H88" s="53"/>
      <c r="I88" s="471"/>
      <c r="J88" s="592"/>
      <c r="K88" s="404"/>
      <c r="L88" s="553"/>
      <c r="M88" s="415"/>
    </row>
    <row r="89" spans="1:13" x14ac:dyDescent="0.25">
      <c r="A89" s="37" t="s">
        <v>180</v>
      </c>
      <c r="B89" s="382" t="s">
        <v>249</v>
      </c>
      <c r="C89" s="565" t="s">
        <v>6</v>
      </c>
      <c r="D89" s="499" t="s">
        <v>8</v>
      </c>
      <c r="E89" s="76"/>
      <c r="F89" s="74"/>
      <c r="G89" s="74"/>
      <c r="H89" s="567" t="s">
        <v>29</v>
      </c>
      <c r="I89" s="554" t="s">
        <v>9</v>
      </c>
      <c r="J89" s="419">
        <f>F92*0.20594/10</f>
        <v>148276.79999999999</v>
      </c>
      <c r="K89" s="419">
        <f>G92*0.20594/10</f>
        <v>308910</v>
      </c>
      <c r="L89" s="495" t="s">
        <v>301</v>
      </c>
      <c r="M89" s="485" t="s">
        <v>299</v>
      </c>
    </row>
    <row r="90" spans="1:13" ht="21" customHeight="1" x14ac:dyDescent="0.25">
      <c r="A90" s="35"/>
      <c r="B90" s="383"/>
      <c r="C90" s="566"/>
      <c r="D90" s="500"/>
      <c r="E90" s="76"/>
      <c r="F90" s="75" t="s">
        <v>29</v>
      </c>
      <c r="G90" s="75" t="s">
        <v>29</v>
      </c>
      <c r="H90" s="568"/>
      <c r="I90" s="555"/>
      <c r="J90" s="420"/>
      <c r="K90" s="420"/>
      <c r="L90" s="496"/>
      <c r="M90" s="486"/>
    </row>
    <row r="91" spans="1:13" x14ac:dyDescent="0.25">
      <c r="A91" s="35"/>
      <c r="B91" s="383"/>
      <c r="C91" s="566"/>
      <c r="D91" s="500"/>
      <c r="E91" s="74" t="s">
        <v>178</v>
      </c>
      <c r="F91" s="63">
        <v>120</v>
      </c>
      <c r="G91" s="73">
        <v>250</v>
      </c>
      <c r="H91" s="12">
        <v>43739</v>
      </c>
      <c r="I91" s="555"/>
      <c r="J91" s="420"/>
      <c r="K91" s="420"/>
      <c r="L91" s="496"/>
      <c r="M91" s="486"/>
    </row>
    <row r="92" spans="1:13" x14ac:dyDescent="0.25">
      <c r="A92" s="35"/>
      <c r="B92" s="383"/>
      <c r="C92" s="566"/>
      <c r="D92" s="500"/>
      <c r="E92" s="58" t="s">
        <v>250</v>
      </c>
      <c r="F92" s="58">
        <f>120*60000</f>
        <v>7200000</v>
      </c>
      <c r="G92" s="58">
        <f>G91*60000</f>
        <v>15000000</v>
      </c>
      <c r="H92" s="11"/>
      <c r="I92" s="555"/>
      <c r="J92" s="420"/>
      <c r="K92" s="420"/>
      <c r="L92" s="496"/>
      <c r="M92" s="486"/>
    </row>
    <row r="93" spans="1:13" ht="15.75" thickBot="1" x14ac:dyDescent="0.3">
      <c r="A93" s="36"/>
      <c r="B93" s="453"/>
      <c r="C93" s="561"/>
      <c r="D93" s="500"/>
      <c r="E93" s="57"/>
      <c r="F93" s="57"/>
      <c r="G93" s="57"/>
      <c r="H93" s="11"/>
      <c r="I93" s="556"/>
      <c r="J93" s="403"/>
      <c r="K93" s="403"/>
      <c r="L93" s="553"/>
      <c r="M93" s="487"/>
    </row>
    <row r="94" spans="1:13" ht="12.75" customHeight="1" x14ac:dyDescent="0.25">
      <c r="A94" s="37" t="s">
        <v>251</v>
      </c>
      <c r="B94" s="391" t="s">
        <v>151</v>
      </c>
      <c r="C94" s="561" t="s">
        <v>6</v>
      </c>
      <c r="D94" s="499" t="s">
        <v>8</v>
      </c>
      <c r="E94" s="282"/>
      <c r="F94" s="282"/>
      <c r="G94" s="282"/>
      <c r="H94" s="613" t="s">
        <v>29</v>
      </c>
      <c r="I94" s="554" t="s">
        <v>9</v>
      </c>
      <c r="J94" s="557" t="s">
        <v>29</v>
      </c>
      <c r="K94" s="557"/>
      <c r="L94" s="495" t="s">
        <v>152</v>
      </c>
      <c r="M94" s="413" t="s">
        <v>300</v>
      </c>
    </row>
    <row r="95" spans="1:13" ht="15" hidden="1" customHeight="1" x14ac:dyDescent="0.25">
      <c r="A95" s="35"/>
      <c r="B95" s="392"/>
      <c r="C95" s="562"/>
      <c r="D95" s="500"/>
      <c r="E95" s="57" t="s">
        <v>29</v>
      </c>
      <c r="F95" s="57" t="s">
        <v>29</v>
      </c>
      <c r="G95" s="57" t="s">
        <v>29</v>
      </c>
      <c r="H95" s="614"/>
      <c r="I95" s="555"/>
      <c r="J95" s="493"/>
      <c r="K95" s="493"/>
      <c r="L95" s="496"/>
      <c r="M95" s="414"/>
    </row>
    <row r="96" spans="1:13" x14ac:dyDescent="0.25">
      <c r="A96" s="35"/>
      <c r="B96" s="392"/>
      <c r="C96" s="562"/>
      <c r="D96" s="500"/>
      <c r="E96" s="57" t="s">
        <v>29</v>
      </c>
      <c r="F96" s="57" t="s">
        <v>29</v>
      </c>
      <c r="G96" s="284"/>
      <c r="H96" s="283">
        <v>43739</v>
      </c>
      <c r="I96" s="555"/>
      <c r="J96" s="493"/>
      <c r="K96" s="493"/>
      <c r="L96" s="496"/>
      <c r="M96" s="414"/>
    </row>
    <row r="97" spans="1:14" x14ac:dyDescent="0.25">
      <c r="A97" s="35"/>
      <c r="B97" s="392"/>
      <c r="C97" s="562"/>
      <c r="D97" s="500"/>
      <c r="E97" s="57"/>
      <c r="F97" s="57"/>
      <c r="G97" s="57"/>
      <c r="H97" s="173"/>
      <c r="I97" s="555"/>
      <c r="J97" s="493"/>
      <c r="K97" s="493"/>
      <c r="L97" s="496"/>
      <c r="M97" s="414"/>
    </row>
    <row r="98" spans="1:14" ht="21" customHeight="1" thickBot="1" x14ac:dyDescent="0.3">
      <c r="A98" s="36"/>
      <c r="B98" s="392"/>
      <c r="C98" s="565"/>
      <c r="D98" s="500"/>
      <c r="E98" s="58"/>
      <c r="F98" s="58"/>
      <c r="G98" s="58"/>
      <c r="H98" s="173"/>
      <c r="I98" s="556"/>
      <c r="J98" s="493"/>
      <c r="K98" s="493"/>
      <c r="L98" s="553"/>
      <c r="M98" s="415"/>
    </row>
    <row r="99" spans="1:14" ht="19.5" customHeight="1" thickBot="1" x14ac:dyDescent="0.3">
      <c r="B99" s="608"/>
      <c r="C99" s="609"/>
      <c r="D99" s="610"/>
      <c r="E99" s="605" t="s">
        <v>147</v>
      </c>
      <c r="F99" s="606"/>
      <c r="G99" s="607"/>
      <c r="H99" s="275"/>
      <c r="I99" s="276"/>
      <c r="J99" s="277"/>
      <c r="K99" s="278"/>
      <c r="L99" s="279"/>
      <c r="M99" s="280"/>
    </row>
    <row r="100" spans="1:14" x14ac:dyDescent="0.25">
      <c r="A100" s="37" t="s">
        <v>252</v>
      </c>
      <c r="B100" s="603" t="s">
        <v>144</v>
      </c>
      <c r="C100" s="264"/>
      <c r="D100" s="265"/>
      <c r="E100" s="11"/>
      <c r="F100" s="11"/>
      <c r="G100" s="11"/>
      <c r="H100" s="12"/>
      <c r="I100" s="572" t="s">
        <v>146</v>
      </c>
      <c r="J100" s="50"/>
      <c r="K100" s="214"/>
      <c r="L100" s="432" t="s">
        <v>181</v>
      </c>
      <c r="M100" s="525" t="s">
        <v>148</v>
      </c>
    </row>
    <row r="101" spans="1:14" ht="17.25" customHeight="1" thickBot="1" x14ac:dyDescent="0.3">
      <c r="A101" s="35"/>
      <c r="B101" s="603"/>
      <c r="C101" s="259"/>
      <c r="D101" s="258"/>
      <c r="E101" s="11"/>
      <c r="F101" s="11"/>
      <c r="G101" s="11"/>
      <c r="H101" s="11"/>
      <c r="I101" s="573"/>
      <c r="J101" s="50"/>
      <c r="K101" s="215"/>
      <c r="L101" s="433"/>
      <c r="M101" s="526"/>
      <c r="N101" s="87"/>
    </row>
    <row r="102" spans="1:14" x14ac:dyDescent="0.25">
      <c r="A102" s="35"/>
      <c r="B102" s="603"/>
      <c r="C102" s="561" t="s">
        <v>145</v>
      </c>
      <c r="D102" s="396" t="s">
        <v>8</v>
      </c>
      <c r="E102" s="53">
        <v>0</v>
      </c>
      <c r="F102" s="53">
        <v>7</v>
      </c>
      <c r="G102" s="53">
        <v>6</v>
      </c>
      <c r="H102" s="11" t="s">
        <v>29</v>
      </c>
      <c r="I102" s="573"/>
      <c r="J102" s="595">
        <f>7*280000</f>
        <v>1960000</v>
      </c>
      <c r="K102" s="593">
        <f>6*280000</f>
        <v>1680000</v>
      </c>
      <c r="L102" s="433"/>
      <c r="M102" s="526"/>
      <c r="N102" s="213"/>
    </row>
    <row r="103" spans="1:14" ht="32.25" customHeight="1" x14ac:dyDescent="0.25">
      <c r="A103" s="35"/>
      <c r="B103" s="603"/>
      <c r="C103" s="562"/>
      <c r="D103" s="396"/>
      <c r="E103" s="133"/>
      <c r="F103" s="133"/>
      <c r="G103" s="133"/>
      <c r="H103" s="11"/>
      <c r="I103" s="573"/>
      <c r="J103" s="596"/>
      <c r="K103" s="594"/>
      <c r="L103" s="433"/>
      <c r="M103" s="526"/>
    </row>
    <row r="104" spans="1:14" ht="0.75" customHeight="1" thickBot="1" x14ac:dyDescent="0.3">
      <c r="A104" s="36"/>
      <c r="B104" s="604"/>
      <c r="C104" s="611"/>
      <c r="D104" s="612"/>
      <c r="E104" s="281"/>
      <c r="F104" s="281"/>
      <c r="G104" s="281"/>
      <c r="H104" s="11"/>
      <c r="I104" s="602"/>
      <c r="J104" s="596"/>
      <c r="K104" s="595"/>
      <c r="L104" s="434"/>
      <c r="M104" s="527"/>
    </row>
    <row r="105" spans="1:14" x14ac:dyDescent="0.25">
      <c r="A105" s="48"/>
      <c r="B105" s="48"/>
      <c r="C105" s="48"/>
      <c r="D105" s="48"/>
      <c r="E105" s="48"/>
      <c r="F105" s="48"/>
      <c r="G105" s="48"/>
      <c r="H105" s="48"/>
      <c r="I105" s="66" t="s">
        <v>209</v>
      </c>
      <c r="J105" s="67">
        <f t="shared" ref="J105:K105" si="0">SUM(J59,J64,J69)</f>
        <v>4560000</v>
      </c>
      <c r="K105" s="67">
        <f t="shared" si="0"/>
        <v>5600000</v>
      </c>
      <c r="L105" s="550" t="s">
        <v>248</v>
      </c>
      <c r="M105" s="550"/>
    </row>
    <row r="106" spans="1:14" x14ac:dyDescent="0.25">
      <c r="A106" s="47"/>
      <c r="B106" s="47"/>
      <c r="C106" s="47"/>
      <c r="D106" s="47"/>
      <c r="E106" s="47"/>
      <c r="F106" s="47"/>
      <c r="G106" s="47"/>
      <c r="H106" s="47"/>
      <c r="I106" s="68" t="s">
        <v>209</v>
      </c>
      <c r="J106" s="69">
        <f>SUM(J89,J79,J84)</f>
        <v>1288276.8</v>
      </c>
      <c r="K106" s="69">
        <f>SUM(K89,K79,K84)</f>
        <v>2686910</v>
      </c>
      <c r="L106" s="551" t="s">
        <v>107</v>
      </c>
      <c r="M106" s="551"/>
    </row>
    <row r="107" spans="1:14" x14ac:dyDescent="0.25">
      <c r="A107" s="46"/>
      <c r="B107" s="46"/>
      <c r="C107" s="46"/>
      <c r="D107" s="46"/>
      <c r="E107" s="46"/>
      <c r="F107" s="46"/>
      <c r="G107" s="46"/>
      <c r="H107" s="46"/>
      <c r="I107" s="77" t="s">
        <v>208</v>
      </c>
      <c r="J107" s="78">
        <f>SUM(J105:J106)</f>
        <v>5848276.7999999998</v>
      </c>
      <c r="K107" s="78">
        <f>SUM(K105:K106)</f>
        <v>8286910</v>
      </c>
      <c r="L107" s="549" t="s">
        <v>110</v>
      </c>
      <c r="M107" s="549"/>
    </row>
    <row r="108" spans="1:14" x14ac:dyDescent="0.25">
      <c r="A108" s="158"/>
      <c r="B108" s="158"/>
      <c r="C108" s="158"/>
      <c r="D108" s="158"/>
      <c r="E108" s="158"/>
      <c r="F108" s="158"/>
      <c r="G108" s="158"/>
      <c r="H108" s="158"/>
      <c r="I108" s="209"/>
      <c r="J108" s="210"/>
      <c r="K108" s="210"/>
      <c r="L108" s="211"/>
      <c r="M108" s="212"/>
    </row>
    <row r="109" spans="1:14" ht="19.5" customHeight="1" x14ac:dyDescent="0.25">
      <c r="A109" s="145" t="s">
        <v>21</v>
      </c>
      <c r="B109" s="426" t="s">
        <v>182</v>
      </c>
      <c r="C109" s="426"/>
      <c r="D109" s="426"/>
      <c r="E109" s="426"/>
      <c r="F109" s="426"/>
      <c r="G109" s="426"/>
      <c r="H109" s="426"/>
      <c r="I109" s="426"/>
      <c r="J109" s="426"/>
      <c r="K109" s="426"/>
      <c r="L109" s="180"/>
      <c r="M109" s="178"/>
    </row>
    <row r="110" spans="1:14" x14ac:dyDescent="0.25">
      <c r="A110" s="65"/>
      <c r="B110" s="6" t="s">
        <v>1</v>
      </c>
      <c r="C110" s="6" t="s">
        <v>4</v>
      </c>
      <c r="D110" s="6" t="s">
        <v>13</v>
      </c>
      <c r="E110" s="129" t="s">
        <v>24</v>
      </c>
      <c r="F110" s="130"/>
      <c r="G110" s="131"/>
      <c r="H110" s="6" t="s">
        <v>14</v>
      </c>
      <c r="I110" s="7" t="s">
        <v>0</v>
      </c>
      <c r="J110" s="135" t="s">
        <v>231</v>
      </c>
      <c r="K110" s="135"/>
      <c r="L110" s="181"/>
      <c r="M110" s="179"/>
    </row>
    <row r="111" spans="1:14" x14ac:dyDescent="0.25">
      <c r="A111" s="65"/>
      <c r="B111" s="6"/>
      <c r="C111" s="6"/>
      <c r="D111" s="6"/>
      <c r="E111" s="6">
        <v>2018</v>
      </c>
      <c r="F111" s="6">
        <v>2019</v>
      </c>
      <c r="G111" s="6">
        <v>2020</v>
      </c>
      <c r="H111" s="6"/>
      <c r="I111" s="7"/>
      <c r="J111" s="8">
        <v>2019</v>
      </c>
      <c r="K111" s="9">
        <v>2020</v>
      </c>
      <c r="L111" s="380" t="s">
        <v>30</v>
      </c>
      <c r="M111" s="182" t="s">
        <v>37</v>
      </c>
    </row>
    <row r="112" spans="1:14" ht="15.75" thickBot="1" x14ac:dyDescent="0.3">
      <c r="A112" s="65"/>
      <c r="B112" s="17"/>
      <c r="C112" s="17"/>
      <c r="D112" s="17"/>
      <c r="E112" s="17"/>
      <c r="F112" s="17"/>
      <c r="G112" s="17"/>
      <c r="H112" s="17"/>
      <c r="I112" s="17"/>
      <c r="J112" s="61" t="s">
        <v>266</v>
      </c>
      <c r="K112" s="129" t="s">
        <v>266</v>
      </c>
      <c r="L112" s="381"/>
      <c r="M112" s="183"/>
    </row>
    <row r="113" spans="1:13" x14ac:dyDescent="0.25">
      <c r="A113" s="34" t="s">
        <v>185</v>
      </c>
      <c r="B113" s="391" t="s">
        <v>183</v>
      </c>
      <c r="C113" s="562" t="s">
        <v>27</v>
      </c>
      <c r="D113" s="577" t="s">
        <v>8</v>
      </c>
      <c r="E113" s="56"/>
      <c r="F113" s="56"/>
      <c r="G113" s="56"/>
      <c r="H113" s="16"/>
      <c r="I113" s="429" t="s">
        <v>130</v>
      </c>
      <c r="J113" s="445">
        <f>30*20000</f>
        <v>600000</v>
      </c>
      <c r="K113" s="445">
        <f>50*20000</f>
        <v>1000000</v>
      </c>
      <c r="L113" s="589" t="s">
        <v>184</v>
      </c>
      <c r="M113" s="427" t="s">
        <v>304</v>
      </c>
    </row>
    <row r="114" spans="1:13" ht="60.75" customHeight="1" x14ac:dyDescent="0.25">
      <c r="A114" s="35"/>
      <c r="B114" s="392"/>
      <c r="C114" s="562"/>
      <c r="D114" s="577"/>
      <c r="E114" s="56"/>
      <c r="F114" s="56">
        <v>30</v>
      </c>
      <c r="G114" s="56">
        <v>50</v>
      </c>
      <c r="H114" s="11"/>
      <c r="I114" s="430"/>
      <c r="J114" s="445"/>
      <c r="K114" s="445"/>
      <c r="L114" s="589"/>
      <c r="M114" s="427"/>
    </row>
    <row r="115" spans="1:13" x14ac:dyDescent="0.25">
      <c r="A115" s="35"/>
      <c r="B115" s="392"/>
      <c r="C115" s="562"/>
      <c r="D115" s="577"/>
      <c r="E115" s="460" t="s">
        <v>29</v>
      </c>
      <c r="F115" s="461"/>
      <c r="G115" s="462"/>
      <c r="H115" s="11"/>
      <c r="I115" s="430"/>
      <c r="J115" s="445"/>
      <c r="K115" s="445"/>
      <c r="L115" s="589"/>
      <c r="M115" s="427"/>
    </row>
    <row r="116" spans="1:13" x14ac:dyDescent="0.25">
      <c r="A116" s="646"/>
      <c r="B116" s="392"/>
      <c r="C116" s="562"/>
      <c r="D116" s="577"/>
      <c r="E116" s="583"/>
      <c r="F116" s="584"/>
      <c r="G116" s="585"/>
      <c r="H116" s="11"/>
      <c r="I116" s="430"/>
      <c r="J116" s="445"/>
      <c r="K116" s="445"/>
      <c r="L116" s="589"/>
      <c r="M116" s="427"/>
    </row>
    <row r="117" spans="1:13" ht="3.75" customHeight="1" thickBot="1" x14ac:dyDescent="0.3">
      <c r="A117" s="647"/>
      <c r="B117" s="393"/>
      <c r="C117" s="565"/>
      <c r="D117" s="578"/>
      <c r="E117" s="586"/>
      <c r="F117" s="587"/>
      <c r="G117" s="588"/>
      <c r="H117" s="29" t="s">
        <v>28</v>
      </c>
      <c r="I117" s="431"/>
      <c r="J117" s="445"/>
      <c r="K117" s="445"/>
      <c r="L117" s="590"/>
      <c r="M117" s="427"/>
    </row>
    <row r="118" spans="1:13" ht="23.25" customHeight="1" x14ac:dyDescent="0.25">
      <c r="A118" s="34" t="s">
        <v>188</v>
      </c>
      <c r="B118" s="391" t="s">
        <v>254</v>
      </c>
      <c r="C118" s="562" t="s">
        <v>27</v>
      </c>
      <c r="D118" s="577" t="s">
        <v>8</v>
      </c>
      <c r="E118" s="258"/>
      <c r="F118" s="258"/>
      <c r="G118" s="258"/>
      <c r="H118" s="16"/>
      <c r="I118" s="469" t="s">
        <v>130</v>
      </c>
      <c r="J118" s="445">
        <f>SUM(250*6000)</f>
        <v>1500000</v>
      </c>
      <c r="K118" s="445">
        <f>SUM(250*6000)</f>
        <v>1500000</v>
      </c>
      <c r="L118" s="423" t="s">
        <v>375</v>
      </c>
      <c r="M118" s="427" t="s">
        <v>305</v>
      </c>
    </row>
    <row r="119" spans="1:13" s="85" customFormat="1" x14ac:dyDescent="0.25">
      <c r="A119" s="35"/>
      <c r="B119" s="392"/>
      <c r="C119" s="562"/>
      <c r="D119" s="577"/>
      <c r="E119" s="258"/>
      <c r="F119" s="258" t="s">
        <v>39</v>
      </c>
      <c r="G119" s="258"/>
      <c r="H119" s="11"/>
      <c r="I119" s="470"/>
      <c r="J119" s="445"/>
      <c r="K119" s="445"/>
      <c r="L119" s="424"/>
      <c r="M119" s="427"/>
    </row>
    <row r="120" spans="1:13" x14ac:dyDescent="0.25">
      <c r="A120" s="35"/>
      <c r="B120" s="392"/>
      <c r="C120" s="562"/>
      <c r="D120" s="577"/>
      <c r="E120" s="30" t="s">
        <v>29</v>
      </c>
      <c r="F120" s="30">
        <v>250</v>
      </c>
      <c r="G120" s="30">
        <v>250</v>
      </c>
      <c r="H120" s="11"/>
      <c r="I120" s="470"/>
      <c r="J120" s="445"/>
      <c r="K120" s="445"/>
      <c r="L120" s="424"/>
      <c r="M120" s="427"/>
    </row>
    <row r="121" spans="1:13" x14ac:dyDescent="0.25">
      <c r="A121" s="35"/>
      <c r="B121" s="392"/>
      <c r="C121" s="562"/>
      <c r="D121" s="577"/>
      <c r="E121" s="258" t="s">
        <v>29</v>
      </c>
      <c r="F121" s="258" t="s">
        <v>29</v>
      </c>
      <c r="G121" s="258" t="s">
        <v>29</v>
      </c>
      <c r="H121" s="11"/>
      <c r="I121" s="470"/>
      <c r="J121" s="445"/>
      <c r="K121" s="445"/>
      <c r="L121" s="424"/>
      <c r="M121" s="427"/>
    </row>
    <row r="122" spans="1:13" ht="15.75" thickBot="1" x14ac:dyDescent="0.3">
      <c r="A122" s="36"/>
      <c r="B122" s="393"/>
      <c r="C122" s="562"/>
      <c r="D122" s="578"/>
      <c r="E122" s="258" t="s">
        <v>29</v>
      </c>
      <c r="F122" s="258" t="s">
        <v>29</v>
      </c>
      <c r="G122" s="258">
        <v>350</v>
      </c>
      <c r="H122" s="29" t="s">
        <v>28</v>
      </c>
      <c r="I122" s="471"/>
      <c r="J122" s="445"/>
      <c r="K122" s="445"/>
      <c r="L122" s="597"/>
      <c r="M122" s="427"/>
    </row>
    <row r="123" spans="1:13" x14ac:dyDescent="0.25">
      <c r="A123" s="37" t="s">
        <v>189</v>
      </c>
      <c r="B123" s="574" t="s">
        <v>186</v>
      </c>
      <c r="C123" s="219"/>
      <c r="D123" s="100"/>
      <c r="E123" s="143"/>
      <c r="F123" s="133" t="s">
        <v>147</v>
      </c>
      <c r="G123" s="43"/>
      <c r="H123" s="16"/>
      <c r="I123" s="572"/>
      <c r="J123" s="445">
        <v>0</v>
      </c>
      <c r="K123" s="445">
        <v>0</v>
      </c>
      <c r="L123" s="411" t="s">
        <v>187</v>
      </c>
      <c r="M123" s="525" t="s">
        <v>306</v>
      </c>
    </row>
    <row r="124" spans="1:13" x14ac:dyDescent="0.25">
      <c r="A124" s="35"/>
      <c r="B124" s="575"/>
      <c r="C124" s="140"/>
      <c r="D124" s="10"/>
      <c r="E124" s="173"/>
      <c r="F124" s="11"/>
      <c r="G124" s="11"/>
      <c r="H124" s="11"/>
      <c r="I124" s="573"/>
      <c r="J124" s="445"/>
      <c r="K124" s="445"/>
      <c r="L124" s="412"/>
      <c r="M124" s="526"/>
    </row>
    <row r="125" spans="1:13" x14ac:dyDescent="0.25">
      <c r="A125" s="35"/>
      <c r="B125" s="575"/>
      <c r="C125" s="579" t="s">
        <v>192</v>
      </c>
      <c r="D125" s="581" t="s">
        <v>79</v>
      </c>
      <c r="E125" s="220">
        <v>1</v>
      </c>
      <c r="F125" s="60">
        <v>1</v>
      </c>
      <c r="G125" s="60"/>
      <c r="H125" s="11" t="s">
        <v>29</v>
      </c>
      <c r="I125" s="573"/>
      <c r="J125" s="445"/>
      <c r="K125" s="445"/>
      <c r="L125" s="412"/>
      <c r="M125" s="526"/>
    </row>
    <row r="126" spans="1:13" x14ac:dyDescent="0.25">
      <c r="A126" s="35"/>
      <c r="B126" s="575"/>
      <c r="C126" s="579"/>
      <c r="D126" s="581"/>
      <c r="E126" s="143"/>
      <c r="F126" s="133"/>
      <c r="G126" s="173"/>
      <c r="H126" s="11">
        <v>2020</v>
      </c>
      <c r="I126" s="573"/>
      <c r="J126" s="445"/>
      <c r="K126" s="445"/>
      <c r="L126" s="412"/>
      <c r="M126" s="526"/>
    </row>
    <row r="127" spans="1:13" ht="15.75" thickBot="1" x14ac:dyDescent="0.3">
      <c r="A127" s="36"/>
      <c r="B127" s="576"/>
      <c r="C127" s="580"/>
      <c r="D127" s="582"/>
      <c r="E127" s="218"/>
      <c r="F127" s="207"/>
      <c r="G127" s="218"/>
      <c r="H127" s="60"/>
      <c r="I127" s="573"/>
      <c r="J127" s="445"/>
      <c r="K127" s="445"/>
      <c r="L127" s="552"/>
      <c r="M127" s="527"/>
    </row>
    <row r="128" spans="1:13" x14ac:dyDescent="0.25">
      <c r="A128" s="37" t="s">
        <v>190</v>
      </c>
      <c r="B128" s="569" t="s">
        <v>191</v>
      </c>
      <c r="C128" s="118"/>
      <c r="D128" s="54"/>
      <c r="E128" s="43"/>
      <c r="F128" s="43"/>
      <c r="G128" s="43"/>
      <c r="H128" s="16"/>
      <c r="I128" s="572"/>
      <c r="J128" s="445">
        <v>0</v>
      </c>
      <c r="K128" s="445">
        <v>0</v>
      </c>
      <c r="L128" s="411" t="s">
        <v>308</v>
      </c>
      <c r="M128" s="525" t="s">
        <v>307</v>
      </c>
    </row>
    <row r="129" spans="1:13" x14ac:dyDescent="0.25">
      <c r="A129" s="35"/>
      <c r="B129" s="570"/>
      <c r="C129" s="55"/>
      <c r="D129" s="120"/>
      <c r="E129" s="11"/>
      <c r="F129" s="11"/>
      <c r="G129" s="11"/>
      <c r="H129" s="11"/>
      <c r="I129" s="573"/>
      <c r="J129" s="445"/>
      <c r="K129" s="445"/>
      <c r="L129" s="412"/>
      <c r="M129" s="526"/>
    </row>
    <row r="130" spans="1:13" x14ac:dyDescent="0.25">
      <c r="A130" s="35"/>
      <c r="B130" s="570"/>
      <c r="C130" s="561" t="s">
        <v>193</v>
      </c>
      <c r="D130" s="428" t="s">
        <v>79</v>
      </c>
      <c r="E130" s="60">
        <v>1</v>
      </c>
      <c r="F130" s="60">
        <v>1</v>
      </c>
      <c r="G130" s="60"/>
      <c r="H130" s="11" t="s">
        <v>29</v>
      </c>
      <c r="I130" s="573"/>
      <c r="J130" s="445"/>
      <c r="K130" s="445"/>
      <c r="L130" s="412"/>
      <c r="M130" s="526"/>
    </row>
    <row r="131" spans="1:13" x14ac:dyDescent="0.25">
      <c r="A131" s="35"/>
      <c r="B131" s="570"/>
      <c r="C131" s="562"/>
      <c r="D131" s="428"/>
      <c r="E131" s="133"/>
      <c r="F131" s="133"/>
      <c r="G131" s="133"/>
      <c r="H131" s="11">
        <v>2020</v>
      </c>
      <c r="I131" s="573"/>
      <c r="J131" s="445"/>
      <c r="K131" s="445"/>
      <c r="L131" s="412"/>
      <c r="M131" s="526"/>
    </row>
    <row r="132" spans="1:13" ht="15.75" thickBot="1" x14ac:dyDescent="0.3">
      <c r="A132" s="36"/>
      <c r="B132" s="571"/>
      <c r="C132" s="562"/>
      <c r="D132" s="428"/>
      <c r="E132" s="207"/>
      <c r="F132" s="207"/>
      <c r="G132" s="207"/>
      <c r="H132" s="60"/>
      <c r="I132" s="573"/>
      <c r="J132" s="445"/>
      <c r="K132" s="445"/>
      <c r="L132" s="552"/>
      <c r="M132" s="527"/>
    </row>
    <row r="133" spans="1:13" x14ac:dyDescent="0.25">
      <c r="A133" s="37" t="s">
        <v>204</v>
      </c>
      <c r="B133" s="391" t="s">
        <v>257</v>
      </c>
      <c r="C133" s="561" t="s">
        <v>12</v>
      </c>
      <c r="D133" s="483" t="s">
        <v>79</v>
      </c>
      <c r="E133" s="57"/>
      <c r="F133" s="57"/>
      <c r="G133" s="57"/>
      <c r="H133" s="18">
        <v>43525</v>
      </c>
      <c r="I133" s="554" t="s">
        <v>9</v>
      </c>
      <c r="J133" s="444">
        <f>5*20000</f>
        <v>100000</v>
      </c>
      <c r="K133" s="444">
        <f>5*20000</f>
        <v>100000</v>
      </c>
      <c r="L133" s="495" t="s">
        <v>74</v>
      </c>
      <c r="M133" s="413" t="s">
        <v>258</v>
      </c>
    </row>
    <row r="134" spans="1:13" x14ac:dyDescent="0.25">
      <c r="A134" s="35"/>
      <c r="B134" s="392"/>
      <c r="C134" s="562"/>
      <c r="D134" s="484"/>
      <c r="E134" s="57"/>
      <c r="F134" s="57"/>
      <c r="G134" s="57"/>
      <c r="H134" s="11"/>
      <c r="I134" s="555"/>
      <c r="J134" s="445"/>
      <c r="K134" s="445"/>
      <c r="L134" s="496"/>
      <c r="M134" s="414"/>
    </row>
    <row r="135" spans="1:13" x14ac:dyDescent="0.25">
      <c r="A135" s="35"/>
      <c r="B135" s="392"/>
      <c r="C135" s="562"/>
      <c r="D135" s="484"/>
      <c r="E135" s="38"/>
      <c r="F135" s="38"/>
      <c r="G135" s="38"/>
      <c r="H135" s="11"/>
      <c r="I135" s="555"/>
      <c r="J135" s="445"/>
      <c r="K135" s="445"/>
      <c r="L135" s="496"/>
      <c r="M135" s="414"/>
    </row>
    <row r="136" spans="1:13" x14ac:dyDescent="0.25">
      <c r="A136" s="35"/>
      <c r="B136" s="392"/>
      <c r="C136" s="562"/>
      <c r="D136" s="484"/>
      <c r="E136" s="57"/>
      <c r="F136" s="57" t="s">
        <v>154</v>
      </c>
      <c r="G136" s="57" t="s">
        <v>154</v>
      </c>
      <c r="H136" s="11"/>
      <c r="I136" s="555"/>
      <c r="J136" s="445"/>
      <c r="K136" s="445"/>
      <c r="L136" s="496"/>
      <c r="M136" s="414"/>
    </row>
    <row r="137" spans="1:13" ht="49.5" customHeight="1" thickBot="1" x14ac:dyDescent="0.3">
      <c r="A137" s="36"/>
      <c r="B137" s="393"/>
      <c r="C137" s="562"/>
      <c r="D137" s="512"/>
      <c r="E137" s="58"/>
      <c r="F137" s="58"/>
      <c r="G137" s="58"/>
      <c r="H137" s="260"/>
      <c r="I137" s="556"/>
      <c r="J137" s="445"/>
      <c r="K137" s="445"/>
      <c r="L137" s="553"/>
      <c r="M137" s="415"/>
    </row>
    <row r="138" spans="1:13" x14ac:dyDescent="0.25">
      <c r="A138" s="37" t="s">
        <v>259</v>
      </c>
      <c r="B138" s="391" t="s">
        <v>194</v>
      </c>
      <c r="C138" s="561" t="s">
        <v>7</v>
      </c>
      <c r="D138" s="469" t="s">
        <v>8</v>
      </c>
      <c r="E138" s="57"/>
      <c r="F138" s="57"/>
      <c r="G138" s="57"/>
      <c r="H138" s="18">
        <v>43739</v>
      </c>
      <c r="I138" s="472" t="s">
        <v>195</v>
      </c>
      <c r="J138" s="403">
        <f>(F141/100)*(30*130.03/1000)</f>
        <v>468108</v>
      </c>
      <c r="K138" s="403">
        <f>(G141/100)*(30*130.03/1000)</f>
        <v>936216</v>
      </c>
      <c r="L138" s="495" t="s">
        <v>142</v>
      </c>
      <c r="M138" s="558" t="s">
        <v>407</v>
      </c>
    </row>
    <row r="139" spans="1:13" x14ac:dyDescent="0.25">
      <c r="A139" s="35"/>
      <c r="B139" s="392"/>
      <c r="C139" s="562"/>
      <c r="D139" s="470"/>
      <c r="E139" s="57"/>
      <c r="F139" s="57"/>
      <c r="G139" s="57"/>
      <c r="H139" s="11"/>
      <c r="I139" s="473"/>
      <c r="J139" s="404"/>
      <c r="K139" s="404"/>
      <c r="L139" s="496"/>
      <c r="M139" s="559"/>
    </row>
    <row r="140" spans="1:13" x14ac:dyDescent="0.25">
      <c r="A140" s="35"/>
      <c r="B140" s="392"/>
      <c r="C140" s="562"/>
      <c r="D140" s="470"/>
      <c r="E140" s="38" t="s">
        <v>39</v>
      </c>
      <c r="F140" s="262">
        <v>100</v>
      </c>
      <c r="G140" s="262">
        <v>200</v>
      </c>
      <c r="H140" s="11"/>
      <c r="I140" s="473"/>
      <c r="J140" s="404"/>
      <c r="K140" s="404"/>
      <c r="L140" s="496"/>
      <c r="M140" s="559"/>
    </row>
    <row r="141" spans="1:13" x14ac:dyDescent="0.25">
      <c r="A141" s="35"/>
      <c r="B141" s="392"/>
      <c r="C141" s="562"/>
      <c r="D141" s="470"/>
      <c r="E141" s="58" t="s">
        <v>250</v>
      </c>
      <c r="F141" s="58">
        <f>F140*120000</f>
        <v>12000000</v>
      </c>
      <c r="G141" s="58">
        <f>G140*120000</f>
        <v>24000000</v>
      </c>
      <c r="H141" s="11"/>
      <c r="I141" s="473"/>
      <c r="J141" s="404"/>
      <c r="K141" s="404"/>
      <c r="L141" s="496"/>
      <c r="M141" s="559"/>
    </row>
    <row r="142" spans="1:13" ht="63.75" customHeight="1" thickBot="1" x14ac:dyDescent="0.3">
      <c r="A142" s="36"/>
      <c r="B142" s="393"/>
      <c r="C142" s="562"/>
      <c r="D142" s="471"/>
      <c r="E142" s="58"/>
      <c r="F142" s="58"/>
      <c r="G142" s="58"/>
      <c r="H142" s="260"/>
      <c r="I142" s="474"/>
      <c r="J142" s="404"/>
      <c r="K142" s="404"/>
      <c r="L142" s="553"/>
      <c r="M142" s="560"/>
    </row>
    <row r="143" spans="1:13" x14ac:dyDescent="0.25">
      <c r="A143" s="37" t="s">
        <v>260</v>
      </c>
      <c r="B143" s="391" t="s">
        <v>205</v>
      </c>
      <c r="C143" s="561" t="s">
        <v>52</v>
      </c>
      <c r="D143" s="469" t="s">
        <v>8</v>
      </c>
      <c r="F143" s="57"/>
      <c r="G143" s="57"/>
      <c r="H143" s="18">
        <v>43739</v>
      </c>
      <c r="I143" s="469" t="s">
        <v>195</v>
      </c>
      <c r="J143" s="419">
        <f>(F146/100)*(30*40.27/1000)</f>
        <v>144972.00000000003</v>
      </c>
      <c r="K143" s="624">
        <f>(G146/100)*(30*40.27/1000)</f>
        <v>289944.00000000006</v>
      </c>
      <c r="L143" s="495" t="s">
        <v>309</v>
      </c>
      <c r="M143" s="558" t="s">
        <v>407</v>
      </c>
    </row>
    <row r="144" spans="1:13" x14ac:dyDescent="0.25">
      <c r="A144" s="35"/>
      <c r="B144" s="392"/>
      <c r="C144" s="562"/>
      <c r="D144" s="470"/>
      <c r="E144" s="57"/>
      <c r="F144" s="57"/>
      <c r="G144" s="57"/>
      <c r="H144" s="11"/>
      <c r="I144" s="470"/>
      <c r="J144" s="420"/>
      <c r="K144" s="625"/>
      <c r="L144" s="496"/>
      <c r="M144" s="559"/>
    </row>
    <row r="145" spans="1:13" x14ac:dyDescent="0.25">
      <c r="A145" s="35"/>
      <c r="B145" s="392"/>
      <c r="C145" s="562"/>
      <c r="D145" s="470"/>
      <c r="E145" s="57" t="s">
        <v>38</v>
      </c>
      <c r="F145" s="79">
        <v>100</v>
      </c>
      <c r="G145" s="79">
        <v>200</v>
      </c>
      <c r="H145" s="11"/>
      <c r="I145" s="470"/>
      <c r="J145" s="420"/>
      <c r="K145" s="625"/>
      <c r="L145" s="496"/>
      <c r="M145" s="559"/>
    </row>
    <row r="146" spans="1:13" x14ac:dyDescent="0.25">
      <c r="A146" s="35"/>
      <c r="B146" s="392"/>
      <c r="C146" s="562"/>
      <c r="D146" s="470"/>
      <c r="E146" s="57" t="s">
        <v>250</v>
      </c>
      <c r="F146" s="33">
        <f>F145*120000</f>
        <v>12000000</v>
      </c>
      <c r="G146" s="33">
        <f>G145*120000</f>
        <v>24000000</v>
      </c>
      <c r="H146" s="11"/>
      <c r="I146" s="470"/>
      <c r="J146" s="420"/>
      <c r="K146" s="625"/>
      <c r="L146" s="496"/>
      <c r="M146" s="559"/>
    </row>
    <row r="147" spans="1:13" ht="15.75" thickBot="1" x14ac:dyDescent="0.3">
      <c r="A147" s="36"/>
      <c r="B147" s="393"/>
      <c r="C147" s="562"/>
      <c r="D147" s="471"/>
      <c r="E147" s="58"/>
      <c r="F147" s="58"/>
      <c r="G147" s="58"/>
      <c r="H147" s="58"/>
      <c r="I147" s="471"/>
      <c r="J147" s="403"/>
      <c r="K147" s="626"/>
      <c r="L147" s="553"/>
      <c r="M147" s="560"/>
    </row>
    <row r="148" spans="1:13" x14ac:dyDescent="0.25">
      <c r="A148" s="37" t="s">
        <v>261</v>
      </c>
      <c r="B148" s="391" t="s">
        <v>125</v>
      </c>
      <c r="C148" s="561" t="s">
        <v>6</v>
      </c>
      <c r="D148" s="469" t="s">
        <v>8</v>
      </c>
      <c r="E148" s="57"/>
      <c r="F148" s="57"/>
      <c r="G148" s="57" t="s">
        <v>150</v>
      </c>
      <c r="H148" s="567" t="s">
        <v>29</v>
      </c>
      <c r="I148" s="469" t="s">
        <v>262</v>
      </c>
      <c r="J148" s="403" t="s">
        <v>29</v>
      </c>
      <c r="K148" s="403">
        <f>200*200</f>
        <v>40000</v>
      </c>
      <c r="L148" s="495" t="s">
        <v>310</v>
      </c>
      <c r="M148" s="413" t="s">
        <v>298</v>
      </c>
    </row>
    <row r="149" spans="1:13" x14ac:dyDescent="0.25">
      <c r="A149" s="35"/>
      <c r="B149" s="392"/>
      <c r="C149" s="562"/>
      <c r="D149" s="470"/>
      <c r="E149" s="57" t="s">
        <v>29</v>
      </c>
      <c r="F149" s="57" t="s">
        <v>29</v>
      </c>
      <c r="G149" s="57" t="s">
        <v>29</v>
      </c>
      <c r="H149" s="568"/>
      <c r="I149" s="470"/>
      <c r="J149" s="404"/>
      <c r="K149" s="404"/>
      <c r="L149" s="496"/>
      <c r="M149" s="414"/>
    </row>
    <row r="150" spans="1:13" x14ac:dyDescent="0.25">
      <c r="A150" s="35"/>
      <c r="B150" s="392"/>
      <c r="C150" s="562"/>
      <c r="D150" s="470"/>
      <c r="E150" s="33" t="s">
        <v>29</v>
      </c>
      <c r="F150" s="33" t="s">
        <v>29</v>
      </c>
      <c r="G150" s="63">
        <v>200</v>
      </c>
      <c r="H150" s="12">
        <v>43739</v>
      </c>
      <c r="I150" s="470"/>
      <c r="J150" s="404"/>
      <c r="K150" s="404"/>
      <c r="L150" s="496"/>
      <c r="M150" s="414"/>
    </row>
    <row r="151" spans="1:13" x14ac:dyDescent="0.25">
      <c r="A151" s="35"/>
      <c r="B151" s="392"/>
      <c r="C151" s="562"/>
      <c r="D151" s="470"/>
      <c r="E151" s="57"/>
      <c r="F151" s="57"/>
      <c r="G151" s="57"/>
      <c r="H151" s="11"/>
      <c r="I151" s="470"/>
      <c r="J151" s="404"/>
      <c r="K151" s="404"/>
      <c r="L151" s="496"/>
      <c r="M151" s="414"/>
    </row>
    <row r="152" spans="1:13" ht="15.75" thickBot="1" x14ac:dyDescent="0.3">
      <c r="A152" s="36"/>
      <c r="B152" s="393"/>
      <c r="C152" s="562"/>
      <c r="D152" s="471"/>
      <c r="E152" s="58"/>
      <c r="F152" s="58"/>
      <c r="G152" s="58"/>
      <c r="H152" s="260"/>
      <c r="I152" s="471"/>
      <c r="J152" s="404"/>
      <c r="K152" s="404"/>
      <c r="L152" s="553"/>
      <c r="M152" s="415"/>
    </row>
    <row r="153" spans="1:13" ht="15" customHeight="1" x14ac:dyDescent="0.25">
      <c r="A153" s="37" t="s">
        <v>263</v>
      </c>
      <c r="B153" s="382" t="s">
        <v>311</v>
      </c>
      <c r="C153" s="565" t="s">
        <v>6</v>
      </c>
      <c r="D153" s="469" t="s">
        <v>8</v>
      </c>
      <c r="F153" s="74"/>
      <c r="G153" s="74"/>
      <c r="H153" s="567" t="s">
        <v>29</v>
      </c>
      <c r="I153" s="554" t="s">
        <v>9</v>
      </c>
      <c r="J153" s="419">
        <f>F156*0.428356/5</f>
        <v>514027.2</v>
      </c>
      <c r="K153" s="419">
        <f>G156*0.428356/5</f>
        <v>1028054.4</v>
      </c>
      <c r="L153" s="495" t="s">
        <v>301</v>
      </c>
      <c r="M153" s="485" t="s">
        <v>312</v>
      </c>
    </row>
    <row r="154" spans="1:13" x14ac:dyDescent="0.25">
      <c r="A154" s="35"/>
      <c r="B154" s="383"/>
      <c r="C154" s="566"/>
      <c r="D154" s="470"/>
      <c r="E154" s="76"/>
      <c r="F154" s="75" t="s">
        <v>29</v>
      </c>
      <c r="G154" s="75" t="s">
        <v>29</v>
      </c>
      <c r="H154" s="568"/>
      <c r="I154" s="555"/>
      <c r="J154" s="420"/>
      <c r="K154" s="420"/>
      <c r="L154" s="496"/>
      <c r="M154" s="486"/>
    </row>
    <row r="155" spans="1:13" x14ac:dyDescent="0.25">
      <c r="A155" s="35"/>
      <c r="B155" s="383"/>
      <c r="C155" s="566"/>
      <c r="D155" s="470"/>
      <c r="E155" s="74" t="s">
        <v>178</v>
      </c>
      <c r="F155" s="63">
        <v>100</v>
      </c>
      <c r="G155" s="73">
        <v>200</v>
      </c>
      <c r="H155" s="12">
        <v>43739</v>
      </c>
      <c r="I155" s="555"/>
      <c r="J155" s="420"/>
      <c r="K155" s="420"/>
      <c r="L155" s="496"/>
      <c r="M155" s="486"/>
    </row>
    <row r="156" spans="1:13" x14ac:dyDescent="0.25">
      <c r="A156" s="35"/>
      <c r="B156" s="383"/>
      <c r="C156" s="566"/>
      <c r="D156" s="470"/>
      <c r="E156" s="58" t="s">
        <v>250</v>
      </c>
      <c r="F156" s="263">
        <f>F155*60000</f>
        <v>6000000</v>
      </c>
      <c r="G156" s="263">
        <f>G155*60000</f>
        <v>12000000</v>
      </c>
      <c r="H156" s="11"/>
      <c r="I156" s="555"/>
      <c r="J156" s="420"/>
      <c r="K156" s="420"/>
      <c r="L156" s="496"/>
      <c r="M156" s="486"/>
    </row>
    <row r="157" spans="1:13" ht="15.75" thickBot="1" x14ac:dyDescent="0.3">
      <c r="A157" s="36"/>
      <c r="B157" s="453"/>
      <c r="C157" s="561"/>
      <c r="D157" s="471"/>
      <c r="E157" s="58"/>
      <c r="F157" s="58"/>
      <c r="G157" s="58"/>
      <c r="H157" s="260"/>
      <c r="I157" s="556"/>
      <c r="J157" s="403"/>
      <c r="K157" s="403"/>
      <c r="L157" s="553"/>
      <c r="M157" s="487"/>
    </row>
    <row r="158" spans="1:13" x14ac:dyDescent="0.25">
      <c r="A158" s="185"/>
      <c r="B158" s="15"/>
      <c r="C158" s="14"/>
      <c r="D158" s="15"/>
      <c r="E158" s="222"/>
      <c r="F158" s="222"/>
      <c r="G158" s="222"/>
      <c r="H158" s="222"/>
      <c r="I158" s="91" t="s">
        <v>206</v>
      </c>
      <c r="J158" s="92">
        <f>SUM(J113,J123,J128)</f>
        <v>600000</v>
      </c>
      <c r="K158" s="92">
        <f>SUM(K113,K123,K128)</f>
        <v>1000000</v>
      </c>
      <c r="L158" s="550" t="s">
        <v>108</v>
      </c>
      <c r="M158" s="550"/>
    </row>
    <row r="159" spans="1:13" x14ac:dyDescent="0.25">
      <c r="A159" s="185"/>
      <c r="B159" s="15"/>
      <c r="C159" s="14"/>
      <c r="D159" s="15"/>
      <c r="E159" s="222"/>
      <c r="F159" s="222"/>
      <c r="G159" s="222"/>
      <c r="H159" s="222"/>
      <c r="I159" s="223" t="s">
        <v>206</v>
      </c>
      <c r="J159" s="261">
        <f t="shared" ref="J159:K159" si="1">SUM(J138:J157)</f>
        <v>1127107.2</v>
      </c>
      <c r="K159" s="261">
        <f t="shared" si="1"/>
        <v>2294214.4</v>
      </c>
      <c r="L159" s="551" t="s">
        <v>107</v>
      </c>
      <c r="M159" s="551"/>
    </row>
    <row r="160" spans="1:13" x14ac:dyDescent="0.25">
      <c r="A160" s="185"/>
      <c r="B160" s="15"/>
      <c r="C160" s="14"/>
      <c r="D160" s="15"/>
      <c r="E160" s="222"/>
      <c r="F160" s="222"/>
      <c r="G160" s="222"/>
      <c r="H160" s="222"/>
      <c r="I160" s="224" t="s">
        <v>206</v>
      </c>
      <c r="J160" s="225">
        <f t="shared" ref="J160:K160" si="2">SUM(J158,J159)</f>
        <v>1727107.2</v>
      </c>
      <c r="K160" s="225">
        <f t="shared" si="2"/>
        <v>3294214.4</v>
      </c>
      <c r="L160" s="549" t="s">
        <v>110</v>
      </c>
      <c r="M160" s="549"/>
    </row>
    <row r="161" spans="1:13" ht="15.75" thickBot="1" x14ac:dyDescent="0.3">
      <c r="A161" s="185"/>
      <c r="B161" s="15"/>
      <c r="C161" s="14"/>
      <c r="D161" s="15"/>
      <c r="E161" s="222"/>
      <c r="F161" s="222"/>
      <c r="G161" s="222"/>
      <c r="H161" s="222"/>
      <c r="I161" s="95"/>
      <c r="J161" s="96"/>
      <c r="K161" s="96"/>
      <c r="L161" s="97"/>
      <c r="M161" s="90"/>
    </row>
    <row r="162" spans="1:13" x14ac:dyDescent="0.25">
      <c r="A162" s="185"/>
      <c r="B162" s="15"/>
      <c r="C162" s="14"/>
      <c r="D162" s="15"/>
      <c r="E162" s="222"/>
      <c r="F162" s="222"/>
      <c r="G162" s="222"/>
      <c r="H162" s="222"/>
      <c r="I162" s="98" t="s">
        <v>207</v>
      </c>
      <c r="J162" s="92">
        <f t="shared" ref="J162:K163" si="3">SUM(J49,J105,J158)</f>
        <v>6960000</v>
      </c>
      <c r="K162" s="92">
        <f t="shared" si="3"/>
        <v>9000000</v>
      </c>
      <c r="L162" s="550" t="s">
        <v>108</v>
      </c>
      <c r="M162" s="550"/>
    </row>
    <row r="163" spans="1:13" x14ac:dyDescent="0.25">
      <c r="A163" s="195"/>
      <c r="B163" s="195"/>
      <c r="C163" s="195"/>
      <c r="D163" s="195"/>
      <c r="E163" s="195"/>
      <c r="F163" s="195"/>
      <c r="G163" s="195"/>
      <c r="H163" s="195"/>
      <c r="I163" s="93" t="s">
        <v>207</v>
      </c>
      <c r="J163" s="84">
        <f t="shared" si="3"/>
        <v>5252884</v>
      </c>
      <c r="K163" s="84">
        <f t="shared" si="3"/>
        <v>9976124.4000000004</v>
      </c>
      <c r="L163" s="551" t="s">
        <v>107</v>
      </c>
      <c r="M163" s="551"/>
    </row>
    <row r="164" spans="1:13" ht="15.75" thickBot="1" x14ac:dyDescent="0.3">
      <c r="A164" s="158"/>
      <c r="B164" s="158"/>
      <c r="C164" s="158"/>
      <c r="D164" s="158"/>
      <c r="E164" s="158"/>
      <c r="F164" s="158"/>
      <c r="G164" s="158"/>
      <c r="H164" s="158"/>
      <c r="I164" s="99" t="s">
        <v>207</v>
      </c>
      <c r="J164" s="94">
        <f>SUM(J162:J163)</f>
        <v>12212884</v>
      </c>
      <c r="K164" s="94">
        <f>SUM(K162:K163)</f>
        <v>18976124.399999999</v>
      </c>
      <c r="L164" s="549" t="s">
        <v>110</v>
      </c>
      <c r="M164" s="549"/>
    </row>
    <row r="165" spans="1:13" x14ac:dyDescent="0.25">
      <c r="A165" s="158"/>
      <c r="B165" s="158"/>
      <c r="C165" s="158"/>
      <c r="D165" s="158"/>
      <c r="E165" s="158"/>
      <c r="F165" s="158"/>
      <c r="G165" s="158"/>
      <c r="H165" s="158"/>
    </row>
  </sheetData>
  <mergeCells count="244">
    <mergeCell ref="A116:A117"/>
    <mergeCell ref="M148:M152"/>
    <mergeCell ref="B143:B147"/>
    <mergeCell ref="C143:C147"/>
    <mergeCell ref="D143:D147"/>
    <mergeCell ref="I143:I147"/>
    <mergeCell ref="J143:J147"/>
    <mergeCell ref="K143:K147"/>
    <mergeCell ref="L143:L147"/>
    <mergeCell ref="M143:M147"/>
    <mergeCell ref="C133:C137"/>
    <mergeCell ref="D133:D137"/>
    <mergeCell ref="I133:I137"/>
    <mergeCell ref="J133:J137"/>
    <mergeCell ref="K133:K137"/>
    <mergeCell ref="L133:L137"/>
    <mergeCell ref="M133:M137"/>
    <mergeCell ref="B138:B142"/>
    <mergeCell ref="C138:C142"/>
    <mergeCell ref="D138:D142"/>
    <mergeCell ref="I138:I142"/>
    <mergeCell ref="J138:J142"/>
    <mergeCell ref="K138:K142"/>
    <mergeCell ref="L138:L142"/>
    <mergeCell ref="M153:M157"/>
    <mergeCell ref="B148:B152"/>
    <mergeCell ref="C148:C152"/>
    <mergeCell ref="D148:D152"/>
    <mergeCell ref="H148:H149"/>
    <mergeCell ref="I148:I152"/>
    <mergeCell ref="J148:J152"/>
    <mergeCell ref="K148:K152"/>
    <mergeCell ref="L148:L152"/>
    <mergeCell ref="B153:B157"/>
    <mergeCell ref="C153:C157"/>
    <mergeCell ref="D153:D157"/>
    <mergeCell ref="H153:H154"/>
    <mergeCell ref="I153:I157"/>
    <mergeCell ref="J153:J157"/>
    <mergeCell ref="K153:K157"/>
    <mergeCell ref="L153:L157"/>
    <mergeCell ref="M138:M142"/>
    <mergeCell ref="B133:B137"/>
    <mergeCell ref="B11:B15"/>
    <mergeCell ref="C11:C15"/>
    <mergeCell ref="D11:D15"/>
    <mergeCell ref="I11:I15"/>
    <mergeCell ref="J11:J15"/>
    <mergeCell ref="B26:B30"/>
    <mergeCell ref="C26:C30"/>
    <mergeCell ref="D26:D30"/>
    <mergeCell ref="H26:H27"/>
    <mergeCell ref="I26:I30"/>
    <mergeCell ref="H39:H40"/>
    <mergeCell ref="B38:B42"/>
    <mergeCell ref="C38:C42"/>
    <mergeCell ref="D38:D42"/>
    <mergeCell ref="I38:I42"/>
    <mergeCell ref="E26:G27"/>
    <mergeCell ref="C16:C20"/>
    <mergeCell ref="D16:D20"/>
    <mergeCell ref="I16:I20"/>
    <mergeCell ref="J16:J20"/>
    <mergeCell ref="I89:I93"/>
    <mergeCell ref="J89:J93"/>
    <mergeCell ref="B6:B10"/>
    <mergeCell ref="C6:C10"/>
    <mergeCell ref="D6:D10"/>
    <mergeCell ref="I6:I10"/>
    <mergeCell ref="K11:K15"/>
    <mergeCell ref="L11:L15"/>
    <mergeCell ref="M11:M15"/>
    <mergeCell ref="E11:G12"/>
    <mergeCell ref="E14:G14"/>
    <mergeCell ref="J26:J30"/>
    <mergeCell ref="K26:K30"/>
    <mergeCell ref="L26:L30"/>
    <mergeCell ref="M26:M30"/>
    <mergeCell ref="M16:M20"/>
    <mergeCell ref="L32:L33"/>
    <mergeCell ref="L6:L10"/>
    <mergeCell ref="M6:M10"/>
    <mergeCell ref="L16:L20"/>
    <mergeCell ref="B21:B25"/>
    <mergeCell ref="C21:C25"/>
    <mergeCell ref="J38:J42"/>
    <mergeCell ref="K38:K42"/>
    <mergeCell ref="L38:L42"/>
    <mergeCell ref="M38:M42"/>
    <mergeCell ref="B16:B20"/>
    <mergeCell ref="J69:J73"/>
    <mergeCell ref="H44:H48"/>
    <mergeCell ref="I44:I48"/>
    <mergeCell ref="J64:J68"/>
    <mergeCell ref="D59:D63"/>
    <mergeCell ref="F59:F63"/>
    <mergeCell ref="L21:L25"/>
    <mergeCell ref="M21:M25"/>
    <mergeCell ref="B31:E31"/>
    <mergeCell ref="B32:B36"/>
    <mergeCell ref="C32:C36"/>
    <mergeCell ref="D32:D36"/>
    <mergeCell ref="E21:G22"/>
    <mergeCell ref="E16:G17"/>
    <mergeCell ref="H16:H17"/>
    <mergeCell ref="M32:M36"/>
    <mergeCell ref="K16:K20"/>
    <mergeCell ref="I100:I104"/>
    <mergeCell ref="B69:B73"/>
    <mergeCell ref="B94:B98"/>
    <mergeCell ref="C94:C98"/>
    <mergeCell ref="D94:D98"/>
    <mergeCell ref="B64:B68"/>
    <mergeCell ref="C64:C68"/>
    <mergeCell ref="D64:D68"/>
    <mergeCell ref="I64:I68"/>
    <mergeCell ref="I79:I83"/>
    <mergeCell ref="C74:C78"/>
    <mergeCell ref="B84:B88"/>
    <mergeCell ref="C84:C88"/>
    <mergeCell ref="D84:D88"/>
    <mergeCell ref="H84:H85"/>
    <mergeCell ref="I84:I88"/>
    <mergeCell ref="D79:D83"/>
    <mergeCell ref="I74:I78"/>
    <mergeCell ref="B100:B104"/>
    <mergeCell ref="E99:G99"/>
    <mergeCell ref="B99:D99"/>
    <mergeCell ref="C102:C104"/>
    <mergeCell ref="D102:D104"/>
    <mergeCell ref="H94:H95"/>
    <mergeCell ref="K118:K122"/>
    <mergeCell ref="L118:L122"/>
    <mergeCell ref="M118:M122"/>
    <mergeCell ref="M44:M48"/>
    <mergeCell ref="B44:B48"/>
    <mergeCell ref="C44:C48"/>
    <mergeCell ref="D44:D48"/>
    <mergeCell ref="E44:E48"/>
    <mergeCell ref="F44:F48"/>
    <mergeCell ref="G44:G48"/>
    <mergeCell ref="L44:L48"/>
    <mergeCell ref="M64:M68"/>
    <mergeCell ref="L69:L73"/>
    <mergeCell ref="M69:M73"/>
    <mergeCell ref="L64:L68"/>
    <mergeCell ref="J59:J63"/>
    <mergeCell ref="K59:K63"/>
    <mergeCell ref="L59:L63"/>
    <mergeCell ref="M59:M63"/>
    <mergeCell ref="G59:G63"/>
    <mergeCell ref="H59:H63"/>
    <mergeCell ref="I59:I63"/>
    <mergeCell ref="K64:K68"/>
    <mergeCell ref="B59:B63"/>
    <mergeCell ref="L113:L117"/>
    <mergeCell ref="M113:M117"/>
    <mergeCell ref="J84:J88"/>
    <mergeCell ref="K84:K88"/>
    <mergeCell ref="J113:J117"/>
    <mergeCell ref="K113:K117"/>
    <mergeCell ref="M100:M104"/>
    <mergeCell ref="K102:K104"/>
    <mergeCell ref="K79:K83"/>
    <mergeCell ref="L100:L104"/>
    <mergeCell ref="L94:L98"/>
    <mergeCell ref="J102:J104"/>
    <mergeCell ref="L84:L88"/>
    <mergeCell ref="M89:M93"/>
    <mergeCell ref="K89:K93"/>
    <mergeCell ref="L89:L93"/>
    <mergeCell ref="J79:J83"/>
    <mergeCell ref="B113:B117"/>
    <mergeCell ref="C113:C117"/>
    <mergeCell ref="D113:D117"/>
    <mergeCell ref="I113:I117"/>
    <mergeCell ref="C125:C127"/>
    <mergeCell ref="D125:D127"/>
    <mergeCell ref="J123:J127"/>
    <mergeCell ref="B118:B122"/>
    <mergeCell ref="C118:C122"/>
    <mergeCell ref="D118:D122"/>
    <mergeCell ref="I118:I122"/>
    <mergeCell ref="J118:J122"/>
    <mergeCell ref="E115:G117"/>
    <mergeCell ref="B128:B132"/>
    <mergeCell ref="I128:I132"/>
    <mergeCell ref="J128:J132"/>
    <mergeCell ref="L128:L132"/>
    <mergeCell ref="M128:M132"/>
    <mergeCell ref="C130:C132"/>
    <mergeCell ref="D130:D132"/>
    <mergeCell ref="K128:K132"/>
    <mergeCell ref="B123:B127"/>
    <mergeCell ref="I123:I127"/>
    <mergeCell ref="K123:K127"/>
    <mergeCell ref="I94:I98"/>
    <mergeCell ref="J94:J98"/>
    <mergeCell ref="K94:K98"/>
    <mergeCell ref="M94:M98"/>
    <mergeCell ref="M84:M88"/>
    <mergeCell ref="I69:I73"/>
    <mergeCell ref="M74:M78"/>
    <mergeCell ref="B55:K55"/>
    <mergeCell ref="C69:C73"/>
    <mergeCell ref="D69:D73"/>
    <mergeCell ref="D74:D78"/>
    <mergeCell ref="B79:B83"/>
    <mergeCell ref="C79:C83"/>
    <mergeCell ref="L74:L78"/>
    <mergeCell ref="J74:J78"/>
    <mergeCell ref="K74:K78"/>
    <mergeCell ref="K69:K73"/>
    <mergeCell ref="M79:M83"/>
    <mergeCell ref="C59:C63"/>
    <mergeCell ref="B74:B78"/>
    <mergeCell ref="B89:B93"/>
    <mergeCell ref="C89:C93"/>
    <mergeCell ref="D89:D93"/>
    <mergeCell ref="H89:H90"/>
    <mergeCell ref="B2:K2"/>
    <mergeCell ref="L4:L5"/>
    <mergeCell ref="B53:K53"/>
    <mergeCell ref="L57:L58"/>
    <mergeCell ref="B109:K109"/>
    <mergeCell ref="L111:L112"/>
    <mergeCell ref="L49:M49"/>
    <mergeCell ref="L164:M164"/>
    <mergeCell ref="L158:M158"/>
    <mergeCell ref="L159:M159"/>
    <mergeCell ref="L160:M160"/>
    <mergeCell ref="L51:M51"/>
    <mergeCell ref="L105:M105"/>
    <mergeCell ref="L106:M106"/>
    <mergeCell ref="L107:M107"/>
    <mergeCell ref="L162:M162"/>
    <mergeCell ref="L163:M163"/>
    <mergeCell ref="L123:L127"/>
    <mergeCell ref="M123:M127"/>
    <mergeCell ref="L79:L83"/>
    <mergeCell ref="D21:D25"/>
    <mergeCell ref="I21:I25"/>
    <mergeCell ref="J21:J25"/>
    <mergeCell ref="K21:K25"/>
  </mergeCells>
  <pageMargins left="0.70866141732283472" right="0.70866141732283472" top="0.74803149606299213" bottom="0.74803149606299213" header="0.31496062992125984" footer="0.31496062992125984"/>
  <pageSetup paperSize="8" scale="65" fitToHeight="0" orientation="landscape" r:id="rId1"/>
  <rowBreaks count="2" manualBreakCount="2">
    <brk id="54"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19" workbookViewId="0">
      <selection activeCell="I14" sqref="I14:I17"/>
    </sheetView>
  </sheetViews>
  <sheetFormatPr defaultRowHeight="15" x14ac:dyDescent="0.25"/>
  <cols>
    <col min="9" max="9" width="12.7109375" customWidth="1"/>
    <col min="10" max="10" width="15.5703125" customWidth="1"/>
    <col min="11" max="11" width="15.42578125" customWidth="1"/>
    <col min="12" max="12" width="27.140625" customWidth="1"/>
    <col min="13" max="13" width="23.28515625" customWidth="1"/>
  </cols>
  <sheetData>
    <row r="1" spans="1:13" x14ac:dyDescent="0.25">
      <c r="A1" t="s">
        <v>213</v>
      </c>
    </row>
    <row r="3" spans="1:13" x14ac:dyDescent="0.25">
      <c r="A3" t="s">
        <v>215</v>
      </c>
    </row>
    <row r="4" spans="1:13" x14ac:dyDescent="0.25">
      <c r="A4" t="s">
        <v>214</v>
      </c>
    </row>
    <row r="6" spans="1:13" x14ac:dyDescent="0.25">
      <c r="A6" t="s">
        <v>216</v>
      </c>
    </row>
    <row r="7" spans="1:13" ht="15.75" thickBot="1" x14ac:dyDescent="0.3"/>
    <row r="8" spans="1:13" ht="21.75" thickBot="1" x14ac:dyDescent="0.4">
      <c r="B8" s="227" t="s">
        <v>230</v>
      </c>
      <c r="C8" s="208"/>
      <c r="D8" s="228"/>
      <c r="E8" s="134"/>
      <c r="F8" s="134"/>
      <c r="G8" s="134"/>
      <c r="H8" s="229"/>
      <c r="I8" s="229"/>
      <c r="J8" s="229"/>
      <c r="K8" s="229"/>
      <c r="L8" s="226"/>
    </row>
    <row r="9" spans="1:13" x14ac:dyDescent="0.25">
      <c r="B9" s="501" t="s">
        <v>15</v>
      </c>
      <c r="C9" s="426"/>
      <c r="D9" s="426"/>
      <c r="E9" s="426"/>
      <c r="F9" s="426"/>
      <c r="G9" s="426"/>
      <c r="H9" s="426"/>
      <c r="I9" s="426"/>
      <c r="J9" s="426"/>
      <c r="K9" s="502"/>
    </row>
    <row r="10" spans="1:13" ht="30" x14ac:dyDescent="0.25">
      <c r="A10" s="86" t="s">
        <v>21</v>
      </c>
      <c r="B10" s="8" t="s">
        <v>1</v>
      </c>
      <c r="C10" s="8" t="s">
        <v>4</v>
      </c>
      <c r="D10" s="8" t="s">
        <v>13</v>
      </c>
      <c r="E10" s="689" t="s">
        <v>24</v>
      </c>
      <c r="F10" s="690"/>
      <c r="G10" s="691"/>
      <c r="H10" s="8" t="s">
        <v>14</v>
      </c>
      <c r="I10" s="230" t="s">
        <v>0</v>
      </c>
      <c r="J10" s="692"/>
      <c r="K10" s="692"/>
      <c r="L10" s="693" t="s">
        <v>30</v>
      </c>
      <c r="M10" s="231" t="s">
        <v>37</v>
      </c>
    </row>
    <row r="11" spans="1:13" x14ac:dyDescent="0.25">
      <c r="A11" s="65"/>
      <c r="B11" s="6"/>
      <c r="C11" s="6"/>
      <c r="D11" s="6"/>
      <c r="E11" s="6" t="s">
        <v>29</v>
      </c>
      <c r="F11" s="6">
        <v>2019</v>
      </c>
      <c r="G11" s="6">
        <v>2020</v>
      </c>
      <c r="H11" s="6"/>
      <c r="I11" s="7"/>
      <c r="J11" s="690"/>
      <c r="K11" s="690"/>
      <c r="L11" s="545"/>
      <c r="M11" s="232"/>
    </row>
    <row r="12" spans="1:13" x14ac:dyDescent="0.25">
      <c r="A12" s="233"/>
      <c r="B12" s="234"/>
      <c r="C12" s="234"/>
      <c r="D12" s="234"/>
      <c r="E12" s="234"/>
      <c r="F12" s="234"/>
      <c r="G12" s="234"/>
      <c r="H12" s="234"/>
      <c r="I12" s="234"/>
      <c r="J12" s="235">
        <v>2019</v>
      </c>
      <c r="K12" s="236">
        <v>2020</v>
      </c>
      <c r="L12" s="237"/>
      <c r="M12" s="238"/>
    </row>
    <row r="13" spans="1:13" ht="15.75" thickBot="1" x14ac:dyDescent="0.3">
      <c r="A13" s="233"/>
      <c r="B13" s="239" t="s">
        <v>217</v>
      </c>
      <c r="C13" s="239"/>
      <c r="D13" s="239"/>
      <c r="E13" s="239"/>
      <c r="F13" s="239"/>
      <c r="G13" s="239"/>
      <c r="H13" s="239"/>
      <c r="I13" s="239"/>
      <c r="J13" s="240" t="s">
        <v>266</v>
      </c>
      <c r="K13" s="241" t="s">
        <v>266</v>
      </c>
      <c r="L13" s="235"/>
      <c r="M13" s="242"/>
    </row>
    <row r="14" spans="1:13" x14ac:dyDescent="0.25">
      <c r="A14" s="243" t="s">
        <v>218</v>
      </c>
      <c r="B14" s="659" t="s">
        <v>217</v>
      </c>
      <c r="C14" s="672" t="s">
        <v>27</v>
      </c>
      <c r="D14" s="688" t="s">
        <v>79</v>
      </c>
      <c r="E14" s="244"/>
      <c r="F14" s="244"/>
      <c r="G14" s="244"/>
      <c r="H14" s="245"/>
      <c r="I14" s="653" t="s">
        <v>246</v>
      </c>
      <c r="J14" s="683">
        <f>SUM(10*7500)+(0*250000)</f>
        <v>75000</v>
      </c>
      <c r="K14" s="683">
        <f>SUM(30*7500)+(5*250000)</f>
        <v>1475000</v>
      </c>
      <c r="L14" s="684" t="s">
        <v>390</v>
      </c>
      <c r="M14" s="663" t="s">
        <v>376</v>
      </c>
    </row>
    <row r="15" spans="1:13" x14ac:dyDescent="0.25">
      <c r="A15" s="233"/>
      <c r="B15" s="660"/>
      <c r="C15" s="672"/>
      <c r="D15" s="688"/>
      <c r="E15" s="244"/>
      <c r="F15" s="244"/>
      <c r="G15" s="244"/>
      <c r="H15" s="246"/>
      <c r="I15" s="654"/>
      <c r="J15" s="521"/>
      <c r="K15" s="521"/>
      <c r="L15" s="684"/>
      <c r="M15" s="663"/>
    </row>
    <row r="16" spans="1:13" x14ac:dyDescent="0.25">
      <c r="A16" s="233"/>
      <c r="B16" s="660"/>
      <c r="C16" s="672"/>
      <c r="D16" s="688"/>
      <c r="E16" s="247" t="s">
        <v>388</v>
      </c>
      <c r="F16" s="247">
        <v>10</v>
      </c>
      <c r="G16" s="247">
        <v>30</v>
      </c>
      <c r="H16" s="246"/>
      <c r="I16" s="654"/>
      <c r="J16" s="521"/>
      <c r="K16" s="521"/>
      <c r="L16" s="684"/>
      <c r="M16" s="663"/>
    </row>
    <row r="17" spans="1:13" ht="171" customHeight="1" thickBot="1" x14ac:dyDescent="0.3">
      <c r="A17" s="233"/>
      <c r="B17" s="660"/>
      <c r="C17" s="672"/>
      <c r="D17" s="688"/>
      <c r="E17" s="244" t="s">
        <v>389</v>
      </c>
      <c r="F17" s="244"/>
      <c r="G17" s="244">
        <v>5</v>
      </c>
      <c r="H17" s="246"/>
      <c r="I17" s="654"/>
      <c r="J17" s="521"/>
      <c r="K17" s="521"/>
      <c r="L17" s="684"/>
      <c r="M17" s="663"/>
    </row>
    <row r="18" spans="1:13" x14ac:dyDescent="0.25">
      <c r="A18" s="243" t="s">
        <v>219</v>
      </c>
      <c r="B18" s="685" t="s">
        <v>245</v>
      </c>
      <c r="C18" s="672" t="s">
        <v>27</v>
      </c>
      <c r="D18" s="688" t="s">
        <v>79</v>
      </c>
      <c r="E18" s="244"/>
      <c r="F18" s="244"/>
      <c r="G18" s="244"/>
      <c r="H18" s="245"/>
      <c r="I18" s="653" t="s">
        <v>247</v>
      </c>
      <c r="J18" s="521">
        <f>SUM(10*60000)</f>
        <v>600000</v>
      </c>
      <c r="K18" s="679">
        <f>SUM(30*60000)</f>
        <v>1800000</v>
      </c>
      <c r="L18" s="682" t="s">
        <v>76</v>
      </c>
      <c r="M18" s="662" t="s">
        <v>377</v>
      </c>
    </row>
    <row r="19" spans="1:13" x14ac:dyDescent="0.25">
      <c r="A19" s="233"/>
      <c r="B19" s="686"/>
      <c r="C19" s="672"/>
      <c r="D19" s="688"/>
      <c r="E19" s="244"/>
      <c r="F19" s="244"/>
      <c r="G19" s="244"/>
      <c r="H19" s="246"/>
      <c r="I19" s="654"/>
      <c r="J19" s="521"/>
      <c r="K19" s="680"/>
      <c r="L19" s="682"/>
      <c r="M19" s="663"/>
    </row>
    <row r="20" spans="1:13" x14ac:dyDescent="0.25">
      <c r="A20" s="233"/>
      <c r="B20" s="686"/>
      <c r="C20" s="672"/>
      <c r="D20" s="688"/>
      <c r="E20" s="247">
        <v>0</v>
      </c>
      <c r="F20" s="247">
        <v>10</v>
      </c>
      <c r="G20" s="247">
        <v>30</v>
      </c>
      <c r="H20" s="246"/>
      <c r="I20" s="654"/>
      <c r="J20" s="521"/>
      <c r="K20" s="680"/>
      <c r="L20" s="682"/>
      <c r="M20" s="663"/>
    </row>
    <row r="21" spans="1:13" x14ac:dyDescent="0.25">
      <c r="A21" s="233"/>
      <c r="B21" s="686"/>
      <c r="C21" s="672"/>
      <c r="D21" s="688"/>
      <c r="E21" s="244" t="s">
        <v>29</v>
      </c>
      <c r="F21" s="244" t="s">
        <v>29</v>
      </c>
      <c r="G21" s="244" t="s">
        <v>29</v>
      </c>
      <c r="H21" s="246"/>
      <c r="I21" s="654"/>
      <c r="J21" s="521"/>
      <c r="K21" s="680"/>
      <c r="L21" s="682"/>
      <c r="M21" s="663"/>
    </row>
    <row r="22" spans="1:13" ht="37.5" customHeight="1" thickBot="1" x14ac:dyDescent="0.3">
      <c r="A22" s="255"/>
      <c r="B22" s="687"/>
      <c r="C22" s="672"/>
      <c r="D22" s="688"/>
      <c r="E22" s="244" t="s">
        <v>29</v>
      </c>
      <c r="F22" s="244" t="s">
        <v>29</v>
      </c>
      <c r="G22" s="244" t="s">
        <v>29</v>
      </c>
      <c r="H22" s="250" t="s">
        <v>28</v>
      </c>
      <c r="I22" s="655"/>
      <c r="J22" s="521"/>
      <c r="K22" s="681"/>
      <c r="L22" s="682"/>
      <c r="M22" s="669"/>
    </row>
    <row r="23" spans="1:13" ht="15.75" thickBot="1" x14ac:dyDescent="0.3">
      <c r="A23" s="234"/>
      <c r="B23" s="670" t="s">
        <v>19</v>
      </c>
      <c r="C23" s="671"/>
      <c r="D23" s="671"/>
      <c r="E23" s="671"/>
      <c r="F23" s="671"/>
      <c r="G23" s="671"/>
      <c r="H23" s="671"/>
      <c r="I23" s="671"/>
      <c r="J23" s="671"/>
      <c r="K23" s="671"/>
      <c r="L23" s="251"/>
      <c r="M23" s="252"/>
    </row>
    <row r="24" spans="1:13" x14ac:dyDescent="0.25">
      <c r="A24" s="253" t="s">
        <v>220</v>
      </c>
      <c r="B24" s="659" t="s">
        <v>221</v>
      </c>
      <c r="C24" s="672" t="s">
        <v>47</v>
      </c>
      <c r="D24" s="653" t="s">
        <v>8</v>
      </c>
      <c r="E24" s="254"/>
      <c r="F24" s="254"/>
      <c r="G24" s="254"/>
      <c r="H24" s="245"/>
      <c r="I24" s="673" t="s">
        <v>9</v>
      </c>
      <c r="J24" s="521">
        <f>1*250000</f>
        <v>250000</v>
      </c>
      <c r="K24" s="521">
        <f>1*250000</f>
        <v>250000</v>
      </c>
      <c r="L24" s="676" t="s">
        <v>314</v>
      </c>
      <c r="M24" s="662" t="s">
        <v>313</v>
      </c>
    </row>
    <row r="25" spans="1:13" x14ac:dyDescent="0.25">
      <c r="A25" s="248"/>
      <c r="B25" s="660"/>
      <c r="C25" s="672"/>
      <c r="D25" s="654"/>
      <c r="E25" s="246"/>
      <c r="F25" s="246"/>
      <c r="G25" s="246"/>
      <c r="H25" s="246"/>
      <c r="I25" s="674"/>
      <c r="J25" s="521"/>
      <c r="K25" s="521"/>
      <c r="L25" s="677"/>
      <c r="M25" s="663"/>
    </row>
    <row r="26" spans="1:13" x14ac:dyDescent="0.25">
      <c r="A26" s="248"/>
      <c r="B26" s="660"/>
      <c r="C26" s="672"/>
      <c r="D26" s="654"/>
      <c r="E26" s="246"/>
      <c r="F26" s="246">
        <v>1</v>
      </c>
      <c r="G26" s="246">
        <v>1</v>
      </c>
      <c r="H26" s="246">
        <v>2020</v>
      </c>
      <c r="I26" s="674"/>
      <c r="J26" s="521"/>
      <c r="K26" s="521"/>
      <c r="L26" s="677"/>
      <c r="M26" s="663"/>
    </row>
    <row r="27" spans="1:13" x14ac:dyDescent="0.25">
      <c r="A27" s="248"/>
      <c r="B27" s="660"/>
      <c r="C27" s="672"/>
      <c r="D27" s="654"/>
      <c r="E27" s="246"/>
      <c r="F27" s="246"/>
      <c r="G27" s="246"/>
      <c r="H27" s="246"/>
      <c r="I27" s="674"/>
      <c r="J27" s="521"/>
      <c r="K27" s="521"/>
      <c r="L27" s="677"/>
      <c r="M27" s="663"/>
    </row>
    <row r="28" spans="1:13" ht="15.75" thickBot="1" x14ac:dyDescent="0.3">
      <c r="A28" s="249"/>
      <c r="B28" s="661"/>
      <c r="C28" s="672"/>
      <c r="D28" s="655"/>
      <c r="E28" s="250"/>
      <c r="F28" s="250"/>
      <c r="G28" s="250"/>
      <c r="H28" s="250"/>
      <c r="I28" s="675"/>
      <c r="J28" s="521"/>
      <c r="K28" s="521"/>
      <c r="L28" s="678"/>
      <c r="M28" s="669"/>
    </row>
    <row r="29" spans="1:13" ht="30" customHeight="1" x14ac:dyDescent="0.25">
      <c r="A29" s="253" t="s">
        <v>222</v>
      </c>
      <c r="B29" s="659" t="s">
        <v>223</v>
      </c>
      <c r="C29" s="656" t="s">
        <v>224</v>
      </c>
      <c r="D29" s="653" t="s">
        <v>8</v>
      </c>
      <c r="E29" s="650" t="s">
        <v>244</v>
      </c>
      <c r="F29" s="651"/>
      <c r="G29" s="652"/>
      <c r="H29" s="351"/>
      <c r="I29" s="254"/>
      <c r="J29" s="667">
        <v>450000</v>
      </c>
      <c r="K29" s="666">
        <v>450000</v>
      </c>
      <c r="L29" s="664" t="s">
        <v>225</v>
      </c>
      <c r="M29" s="662" t="s">
        <v>226</v>
      </c>
    </row>
    <row r="30" spans="1:13" x14ac:dyDescent="0.25">
      <c r="A30" s="248"/>
      <c r="B30" s="660"/>
      <c r="C30" s="657"/>
      <c r="D30" s="654"/>
      <c r="E30" s="246" t="s">
        <v>29</v>
      </c>
      <c r="F30" s="246" t="s">
        <v>29</v>
      </c>
      <c r="G30" s="246" t="s">
        <v>29</v>
      </c>
      <c r="H30" s="348" t="s">
        <v>29</v>
      </c>
      <c r="I30" s="246"/>
      <c r="J30" s="668"/>
      <c r="K30" s="523"/>
      <c r="L30" s="665"/>
      <c r="M30" s="663"/>
    </row>
    <row r="31" spans="1:13" x14ac:dyDescent="0.25">
      <c r="A31" s="248"/>
      <c r="B31" s="660"/>
      <c r="C31" s="657"/>
      <c r="D31" s="654"/>
      <c r="E31" s="246"/>
      <c r="F31" s="246"/>
      <c r="G31" s="246"/>
      <c r="H31" s="348"/>
      <c r="I31" s="246"/>
      <c r="J31" s="668"/>
      <c r="K31" s="523"/>
      <c r="L31" s="665"/>
      <c r="M31" s="663"/>
    </row>
    <row r="32" spans="1:13" x14ac:dyDescent="0.25">
      <c r="A32" s="248"/>
      <c r="B32" s="660"/>
      <c r="C32" s="657"/>
      <c r="D32" s="654"/>
      <c r="E32" s="246"/>
      <c r="F32" s="246"/>
      <c r="G32" s="246"/>
      <c r="H32" s="348"/>
      <c r="I32" s="246"/>
      <c r="J32" s="668"/>
      <c r="K32" s="523"/>
      <c r="L32" s="665"/>
      <c r="M32" s="663"/>
    </row>
    <row r="33" spans="1:13" ht="15.75" thickBot="1" x14ac:dyDescent="0.3">
      <c r="A33" s="249"/>
      <c r="B33" s="661"/>
      <c r="C33" s="658"/>
      <c r="D33" s="655"/>
      <c r="E33" s="250"/>
      <c r="F33" s="250"/>
      <c r="G33" s="250"/>
      <c r="H33" s="349"/>
      <c r="I33" s="250"/>
      <c r="J33" s="668"/>
      <c r="K33" s="523"/>
      <c r="L33" s="665"/>
      <c r="M33" s="663"/>
    </row>
    <row r="34" spans="1:13" ht="29.25" customHeight="1" thickBot="1" x14ac:dyDescent="0.3">
      <c r="A34" s="185"/>
      <c r="B34" s="185"/>
      <c r="C34" s="185"/>
      <c r="D34" s="185"/>
      <c r="E34" s="185"/>
      <c r="F34" s="185"/>
      <c r="G34" s="185"/>
      <c r="H34" s="185"/>
      <c r="I34" s="350" t="s">
        <v>227</v>
      </c>
      <c r="J34" s="273">
        <f t="shared" ref="J34:K34" si="0">SUM(J14,J18,J24,J29)</f>
        <v>1375000</v>
      </c>
      <c r="K34" s="274">
        <f t="shared" si="0"/>
        <v>3975000</v>
      </c>
      <c r="L34" s="648" t="s">
        <v>248</v>
      </c>
      <c r="M34" s="649"/>
    </row>
  </sheetData>
  <mergeCells count="38">
    <mergeCell ref="J10:K11"/>
    <mergeCell ref="L10:L11"/>
    <mergeCell ref="B9:K9"/>
    <mergeCell ref="B14:B17"/>
    <mergeCell ref="C14:C17"/>
    <mergeCell ref="D14:D17"/>
    <mergeCell ref="I14:I17"/>
    <mergeCell ref="B18:B22"/>
    <mergeCell ref="C18:C22"/>
    <mergeCell ref="D18:D22"/>
    <mergeCell ref="I18:I22"/>
    <mergeCell ref="E10:G10"/>
    <mergeCell ref="K18:K22"/>
    <mergeCell ref="L18:L22"/>
    <mergeCell ref="M18:M22"/>
    <mergeCell ref="J14:J17"/>
    <mergeCell ref="K14:K17"/>
    <mergeCell ref="L14:L17"/>
    <mergeCell ref="M14:M17"/>
    <mergeCell ref="J18:J22"/>
    <mergeCell ref="M24:M28"/>
    <mergeCell ref="B23:K23"/>
    <mergeCell ref="B24:B28"/>
    <mergeCell ref="C24:C28"/>
    <mergeCell ref="D24:D28"/>
    <mergeCell ref="I24:I28"/>
    <mergeCell ref="J24:J28"/>
    <mergeCell ref="K24:K28"/>
    <mergeCell ref="L24:L28"/>
    <mergeCell ref="L34:M34"/>
    <mergeCell ref="E29:G29"/>
    <mergeCell ref="D29:D33"/>
    <mergeCell ref="C29:C33"/>
    <mergeCell ref="B29:B33"/>
    <mergeCell ref="M29:M33"/>
    <mergeCell ref="L29:L33"/>
    <mergeCell ref="K29:K33"/>
    <mergeCell ref="J29:J33"/>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25"/>
  <sheetViews>
    <sheetView workbookViewId="0">
      <selection activeCell="O19" sqref="O19"/>
    </sheetView>
  </sheetViews>
  <sheetFormatPr defaultRowHeight="15" x14ac:dyDescent="0.25"/>
  <cols>
    <col min="16" max="16" width="16.7109375" customWidth="1"/>
    <col min="17" max="17" width="16.7109375" bestFit="1" customWidth="1"/>
  </cols>
  <sheetData>
    <row r="3" spans="2:6" x14ac:dyDescent="0.25">
      <c r="B3" t="s">
        <v>196</v>
      </c>
      <c r="C3">
        <v>12748000</v>
      </c>
      <c r="D3">
        <v>25335500</v>
      </c>
      <c r="E3">
        <v>36310500</v>
      </c>
      <c r="F3" t="s">
        <v>248</v>
      </c>
    </row>
    <row r="4" spans="2:6" x14ac:dyDescent="0.25">
      <c r="B4" t="s">
        <v>106</v>
      </c>
      <c r="C4">
        <v>1236700</v>
      </c>
      <c r="D4">
        <v>5028419.4229508191</v>
      </c>
      <c r="E4">
        <v>7249003.8295081966</v>
      </c>
      <c r="F4" t="s">
        <v>107</v>
      </c>
    </row>
    <row r="5" spans="2:6" x14ac:dyDescent="0.25">
      <c r="B5" t="s">
        <v>109</v>
      </c>
      <c r="C5">
        <v>13984700</v>
      </c>
      <c r="D5">
        <v>30363919.422950819</v>
      </c>
      <c r="E5">
        <v>43559503.8295082</v>
      </c>
      <c r="F5" t="s">
        <v>110</v>
      </c>
    </row>
    <row r="7" spans="2:6" x14ac:dyDescent="0.25">
      <c r="B7" t="s">
        <v>207</v>
      </c>
      <c r="C7">
        <v>8402275</v>
      </c>
      <c r="D7">
        <v>10520000</v>
      </c>
      <c r="E7">
        <v>13200000</v>
      </c>
      <c r="F7" t="s">
        <v>108</v>
      </c>
    </row>
    <row r="8" spans="2:6" x14ac:dyDescent="0.25">
      <c r="B8" t="s">
        <v>207</v>
      </c>
      <c r="C8">
        <v>0</v>
      </c>
      <c r="D8">
        <v>5252884</v>
      </c>
      <c r="E8">
        <v>9976124.4000000004</v>
      </c>
      <c r="F8" t="s">
        <v>107</v>
      </c>
    </row>
    <row r="9" spans="2:6" x14ac:dyDescent="0.25">
      <c r="B9" t="s">
        <v>207</v>
      </c>
      <c r="C9">
        <v>8402275</v>
      </c>
      <c r="D9">
        <v>15772884</v>
      </c>
      <c r="E9">
        <v>23176124.399999999</v>
      </c>
      <c r="F9" t="s">
        <v>110</v>
      </c>
    </row>
    <row r="11" spans="2:6" x14ac:dyDescent="0.25">
      <c r="B11" t="s">
        <v>227</v>
      </c>
      <c r="C11">
        <v>0</v>
      </c>
      <c r="D11">
        <v>3675000</v>
      </c>
      <c r="E11">
        <v>7525000</v>
      </c>
      <c r="F11" t="s">
        <v>248</v>
      </c>
    </row>
    <row r="13" spans="2:6" x14ac:dyDescent="0.25">
      <c r="B13" t="s">
        <v>339</v>
      </c>
      <c r="C13">
        <f>SUM(C3,C7,C11)</f>
        <v>21150275</v>
      </c>
      <c r="D13">
        <f t="shared" ref="D13:E13" si="0">SUM(D3,D7,D11)</f>
        <v>39530500</v>
      </c>
      <c r="E13">
        <f t="shared" si="0"/>
        <v>57035500</v>
      </c>
      <c r="F13" t="s">
        <v>248</v>
      </c>
    </row>
    <row r="14" spans="2:6" x14ac:dyDescent="0.25">
      <c r="B14" t="s">
        <v>339</v>
      </c>
      <c r="C14">
        <f>SUM(C4,C8,C12)</f>
        <v>1236700</v>
      </c>
      <c r="D14">
        <f t="shared" ref="D14:E14" si="1">SUM(D4,D8,D12)</f>
        <v>10281303.422950819</v>
      </c>
      <c r="E14">
        <f t="shared" si="1"/>
        <v>17225128.229508199</v>
      </c>
      <c r="F14" t="s">
        <v>340</v>
      </c>
    </row>
    <row r="18" spans="2:17" x14ac:dyDescent="0.25">
      <c r="N18">
        <v>193500</v>
      </c>
      <c r="O18">
        <f>N18*0.8</f>
        <v>154800</v>
      </c>
    </row>
    <row r="19" spans="2:17" ht="15.75" thickBot="1" x14ac:dyDescent="0.3"/>
    <row r="20" spans="2:17" ht="24" x14ac:dyDescent="0.25">
      <c r="B20" s="694" t="s">
        <v>341</v>
      </c>
      <c r="C20" s="694" t="s">
        <v>342</v>
      </c>
      <c r="D20" s="694" t="s">
        <v>343</v>
      </c>
      <c r="E20" s="694" t="s">
        <v>344</v>
      </c>
      <c r="F20" s="694" t="s">
        <v>345</v>
      </c>
      <c r="G20" s="352" t="s">
        <v>346</v>
      </c>
      <c r="H20" s="694" t="s">
        <v>348</v>
      </c>
      <c r="I20" s="352" t="s">
        <v>349</v>
      </c>
    </row>
    <row r="21" spans="2:17" ht="48" x14ac:dyDescent="0.25">
      <c r="B21" s="695"/>
      <c r="C21" s="695"/>
      <c r="D21" s="695"/>
      <c r="E21" s="695"/>
      <c r="F21" s="695"/>
      <c r="G21" s="353" t="s">
        <v>347</v>
      </c>
      <c r="H21" s="695"/>
      <c r="I21" s="353" t="s">
        <v>350</v>
      </c>
      <c r="K21" t="s">
        <v>354</v>
      </c>
    </row>
    <row r="22" spans="2:17" ht="15.75" thickBot="1" x14ac:dyDescent="0.3">
      <c r="B22" s="696"/>
      <c r="C22" s="696"/>
      <c r="D22" s="696"/>
      <c r="E22" s="696"/>
      <c r="F22" s="696"/>
      <c r="G22" s="354"/>
      <c r="H22" s="696"/>
      <c r="I22" s="355" t="s">
        <v>351</v>
      </c>
      <c r="L22" t="s">
        <v>355</v>
      </c>
      <c r="M22" t="s">
        <v>356</v>
      </c>
      <c r="O22" t="s">
        <v>178</v>
      </c>
    </row>
    <row r="23" spans="2:17" ht="60.75" thickBot="1" x14ac:dyDescent="0.3">
      <c r="B23" s="356" t="s">
        <v>352</v>
      </c>
      <c r="C23" s="357">
        <v>0.57528999999999997</v>
      </c>
      <c r="D23" s="357">
        <v>3.9789999999999999E-2</v>
      </c>
      <c r="E23" s="357">
        <v>7.3600000000000002E-3</v>
      </c>
      <c r="F23" s="357">
        <v>0.47828999999999999</v>
      </c>
      <c r="G23" s="357">
        <v>9.11E-3</v>
      </c>
      <c r="H23" s="357">
        <v>0.24415999999999999</v>
      </c>
      <c r="I23" s="355">
        <v>1.3540000000000001</v>
      </c>
      <c r="K23">
        <f>SUM(F23)</f>
        <v>0.47828999999999999</v>
      </c>
      <c r="L23">
        <v>7</v>
      </c>
      <c r="M23">
        <v>20000</v>
      </c>
      <c r="N23">
        <f>K23*L23*M23/100</f>
        <v>669.60600000000011</v>
      </c>
      <c r="O23">
        <v>9000</v>
      </c>
      <c r="P23" s="360">
        <f>N23*O23</f>
        <v>6026454.0000000009</v>
      </c>
      <c r="Q23" s="360">
        <f>N23*200000</f>
        <v>133921200.00000001</v>
      </c>
    </row>
    <row r="24" spans="2:17" ht="30.75" thickBot="1" x14ac:dyDescent="0.3">
      <c r="B24" s="356" t="s">
        <v>353</v>
      </c>
      <c r="C24" s="357">
        <v>0.61972000000000005</v>
      </c>
      <c r="D24" s="357">
        <v>4.6710000000000002E-2</v>
      </c>
      <c r="E24" s="357">
        <v>8.0000000000000002E-3</v>
      </c>
      <c r="F24" s="357">
        <v>0.39272000000000001</v>
      </c>
      <c r="G24" s="357">
        <v>9.9000000000000008E-3</v>
      </c>
      <c r="H24" s="357">
        <v>0.23694999999999999</v>
      </c>
      <c r="I24" s="355">
        <v>1.3140000000000001</v>
      </c>
      <c r="K24">
        <f>SUM(F24)</f>
        <v>0.39272000000000001</v>
      </c>
      <c r="L24">
        <v>6</v>
      </c>
      <c r="M24">
        <v>20000</v>
      </c>
      <c r="N24" s="359">
        <f>K24*L24*M24/100</f>
        <v>471.26400000000001</v>
      </c>
      <c r="O24">
        <v>9000</v>
      </c>
      <c r="P24" s="360">
        <f>N24*O24</f>
        <v>4241376</v>
      </c>
    </row>
    <row r="25" spans="2:17" x14ac:dyDescent="0.25">
      <c r="B25" s="358"/>
      <c r="P25" s="360">
        <f>SUM(P23:P24)</f>
        <v>10267830</v>
      </c>
    </row>
  </sheetData>
  <mergeCells count="6">
    <mergeCell ref="H20:H22"/>
    <mergeCell ref="B20:B22"/>
    <mergeCell ref="C20:C22"/>
    <mergeCell ref="D20:D22"/>
    <mergeCell ref="E20:E22"/>
    <mergeCell ref="F20:F22"/>
  </mergeCells>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ELEKTRIČNA ENERGIJA</vt:lpstr>
      <vt:lpstr>PLIN</vt:lpstr>
      <vt:lpstr>VODIK</vt:lpstr>
      <vt:lpstr>List1</vt:lpstr>
    </vt:vector>
  </TitlesOfParts>
  <Company>MZIP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 Žlender</dc:creator>
  <cp:lastModifiedBy>Eva Košak</cp:lastModifiedBy>
  <cp:lastPrinted>2019-06-04T06:45:47Z</cp:lastPrinted>
  <dcterms:created xsi:type="dcterms:W3CDTF">2017-01-26T17:21:28Z</dcterms:created>
  <dcterms:modified xsi:type="dcterms:W3CDTF">2019-08-19T12:17:26Z</dcterms:modified>
</cp:coreProperties>
</file>