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VI\SektorZaIzobrazevanjeOPP\GASPER\Iztok\"/>
    </mc:Choice>
  </mc:AlternateContent>
  <xr:revisionPtr revIDLastSave="0" documentId="13_ncr:1_{85908975-E503-4A63-AF73-52602CD297A8}" xr6:coauthVersionLast="47" xr6:coauthVersionMax="47" xr10:uidLastSave="{00000000-0000-0000-0000-000000000000}"/>
  <bookViews>
    <workbookView xWindow="22932" yWindow="-108" windowWidth="23256" windowHeight="13896" tabRatio="329" activeTab="1" xr2:uid="{00000000-000D-0000-FFFF-FFFF00000000}"/>
  </bookViews>
  <sheets>
    <sheet name="PP" sheetId="1" r:id="rId1"/>
    <sheet name="PP (3)" sheetId="4" r:id="rId2"/>
  </sheets>
  <definedNames>
    <definedName name="_Hlk151032162" localSheetId="0">PP!$Y$41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1" l="1"/>
  <c r="AG36" i="1"/>
  <c r="AG35" i="1"/>
  <c r="AG34" i="1"/>
  <c r="AG33" i="1"/>
  <c r="AG32" i="1"/>
  <c r="AG31" i="1"/>
  <c r="F17" i="4"/>
  <c r="F15" i="4"/>
  <c r="AI107" i="1"/>
  <c r="AI108" i="1"/>
  <c r="AI109" i="1"/>
  <c r="AI110" i="1"/>
  <c r="AI56" i="1"/>
  <c r="AH111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E56" i="1"/>
  <c r="AF38" i="1"/>
  <c r="AF15" i="1"/>
  <c r="AF13" i="1"/>
  <c r="AF22" i="1"/>
  <c r="AG21" i="1" s="1"/>
  <c r="AI111" i="1" l="1"/>
  <c r="AG15" i="1"/>
  <c r="AG16" i="1"/>
  <c r="AG18" i="1"/>
  <c r="AG17" i="1"/>
  <c r="AG19" i="1"/>
  <c r="AG13" i="1"/>
  <c r="AG14" i="1"/>
  <c r="AG12" i="1"/>
  <c r="AG20" i="1"/>
  <c r="AG22" i="1" l="1"/>
  <c r="AF111" i="1"/>
  <c r="AG101" i="1"/>
  <c r="AG102" i="1"/>
  <c r="AG103" i="1"/>
  <c r="AG104" i="1"/>
  <c r="AG105" i="1"/>
  <c r="AG106" i="1"/>
  <c r="AG60" i="1"/>
  <c r="AG62" i="1"/>
  <c r="AG63" i="1"/>
  <c r="AG64" i="1"/>
  <c r="AG68" i="1"/>
  <c r="AG70" i="1"/>
  <c r="AG71" i="1"/>
  <c r="AG72" i="1"/>
  <c r="AG78" i="1"/>
  <c r="AG79" i="1"/>
  <c r="AG80" i="1"/>
  <c r="AG84" i="1"/>
  <c r="AG86" i="1"/>
  <c r="AG87" i="1"/>
  <c r="AG88" i="1"/>
  <c r="AG92" i="1"/>
  <c r="AG94" i="1"/>
  <c r="AG95" i="1"/>
  <c r="AG96" i="1"/>
  <c r="P6" i="4"/>
  <c r="AG100" i="1"/>
  <c r="AG99" i="1"/>
  <c r="AG98" i="1"/>
  <c r="AG97" i="1"/>
  <c r="AG93" i="1"/>
  <c r="AG91" i="1"/>
  <c r="AG90" i="1"/>
  <c r="AG89" i="1"/>
  <c r="AG85" i="1"/>
  <c r="AG83" i="1"/>
  <c r="AG82" i="1"/>
  <c r="AG81" i="1"/>
  <c r="AG77" i="1"/>
  <c r="AG76" i="1"/>
  <c r="AG75" i="1"/>
  <c r="AG74" i="1"/>
  <c r="AG73" i="1"/>
  <c r="AG69" i="1"/>
  <c r="AG67" i="1"/>
  <c r="AG66" i="1"/>
  <c r="AG65" i="1"/>
  <c r="AG61" i="1"/>
  <c r="AG59" i="1"/>
  <c r="AG58" i="1"/>
  <c r="AG57" i="1"/>
  <c r="AE32" i="1"/>
  <c r="AE33" i="1"/>
  <c r="AE34" i="1"/>
  <c r="AE35" i="1"/>
  <c r="AE36" i="1"/>
  <c r="AE37" i="1"/>
  <c r="AE31" i="1"/>
  <c r="AD111" i="1"/>
  <c r="AE94" i="1"/>
  <c r="AE95" i="1"/>
  <c r="AE96" i="1"/>
  <c r="AE97" i="1"/>
  <c r="AE99" i="1"/>
  <c r="AE100" i="1"/>
  <c r="AC94" i="1"/>
  <c r="AA94" i="1"/>
  <c r="AD22" i="1" l="1"/>
  <c r="AE21" i="1" s="1"/>
  <c r="AG56" i="1"/>
  <c r="AG111" i="1" s="1"/>
  <c r="AD38" i="1"/>
  <c r="AE38" i="1" s="1"/>
  <c r="AE16" i="1"/>
  <c r="AE17" i="1"/>
  <c r="AE18" i="1"/>
  <c r="AE19" i="1"/>
  <c r="AE13" i="1"/>
  <c r="AE14" i="1"/>
  <c r="AE15" i="1"/>
  <c r="AE12" i="1"/>
  <c r="AE20" i="1"/>
  <c r="AC34" i="1"/>
  <c r="AC33" i="1"/>
  <c r="AC32" i="1"/>
  <c r="AC31" i="1"/>
  <c r="AC36" i="1"/>
  <c r="AC37" i="1"/>
  <c r="AE98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O6" i="4"/>
  <c r="N6" i="4"/>
  <c r="AE22" i="1" l="1"/>
  <c r="AE111" i="1"/>
  <c r="AB38" i="1"/>
  <c r="AC38" i="1" s="1"/>
  <c r="AC35" i="1"/>
  <c r="Z38" i="1"/>
  <c r="AA38" i="1" s="1"/>
  <c r="AA37" i="1"/>
  <c r="AA36" i="1"/>
  <c r="AA35" i="1"/>
  <c r="AA34" i="1"/>
  <c r="AA33" i="1"/>
  <c r="AA32" i="1"/>
  <c r="AA31" i="1"/>
  <c r="AB111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Z22" i="1"/>
  <c r="AA21" i="1" s="1"/>
  <c r="AB22" i="1" l="1"/>
  <c r="AC20" i="1" s="1"/>
  <c r="AC111" i="1"/>
  <c r="AA13" i="1"/>
  <c r="AA14" i="1"/>
  <c r="AA15" i="1"/>
  <c r="AA17" i="1"/>
  <c r="AA16" i="1"/>
  <c r="AA18" i="1"/>
  <c r="AA19" i="1"/>
  <c r="AA12" i="1"/>
  <c r="AA20" i="1"/>
  <c r="Z111" i="1"/>
  <c r="AA63" i="1"/>
  <c r="AA71" i="1"/>
  <c r="AA76" i="1"/>
  <c r="AA79" i="1"/>
  <c r="AA87" i="1"/>
  <c r="AA89" i="1"/>
  <c r="AA90" i="1"/>
  <c r="AA91" i="1"/>
  <c r="AA92" i="1"/>
  <c r="AA93" i="1"/>
  <c r="AA73" i="1"/>
  <c r="AA74" i="1"/>
  <c r="AA81" i="1"/>
  <c r="AA82" i="1"/>
  <c r="AA83" i="1"/>
  <c r="AA88" i="1"/>
  <c r="AA86" i="1"/>
  <c r="AA85" i="1"/>
  <c r="AA84" i="1"/>
  <c r="AA80" i="1"/>
  <c r="AA78" i="1"/>
  <c r="AA77" i="1"/>
  <c r="AA75" i="1"/>
  <c r="AA72" i="1"/>
  <c r="AA70" i="1"/>
  <c r="AA69" i="1"/>
  <c r="AA68" i="1"/>
  <c r="AA67" i="1"/>
  <c r="AA66" i="1"/>
  <c r="AA65" i="1"/>
  <c r="AA64" i="1"/>
  <c r="AA62" i="1"/>
  <c r="AA61" i="1"/>
  <c r="AA60" i="1"/>
  <c r="AA59" i="1"/>
  <c r="AA58" i="1"/>
  <c r="AA57" i="1"/>
  <c r="M6" i="4"/>
  <c r="X38" i="1"/>
  <c r="Y38" i="1" s="1"/>
  <c r="Y37" i="1"/>
  <c r="Y36" i="1"/>
  <c r="Y35" i="1"/>
  <c r="Y34" i="1"/>
  <c r="Y33" i="1"/>
  <c r="Y32" i="1"/>
  <c r="Y31" i="1"/>
  <c r="X22" i="1"/>
  <c r="Y15" i="1" s="1"/>
  <c r="Y14" i="1" l="1"/>
  <c r="AC14" i="1"/>
  <c r="AC21" i="1"/>
  <c r="AC12" i="1"/>
  <c r="AC19" i="1"/>
  <c r="AC18" i="1"/>
  <c r="AC13" i="1"/>
  <c r="AC16" i="1"/>
  <c r="AC17" i="1"/>
  <c r="AC15" i="1"/>
  <c r="AA22" i="1"/>
  <c r="AA56" i="1"/>
  <c r="AA111" i="1" s="1"/>
  <c r="Y13" i="1"/>
  <c r="Y16" i="1"/>
  <c r="Y21" i="1"/>
  <c r="Y18" i="1"/>
  <c r="Y17" i="1"/>
  <c r="Y19" i="1"/>
  <c r="Y12" i="1"/>
  <c r="Y20" i="1"/>
  <c r="AC22" i="1" l="1"/>
  <c r="Y22" i="1"/>
  <c r="W37" i="1" l="1"/>
  <c r="W36" i="1"/>
  <c r="W35" i="1"/>
  <c r="W34" i="1"/>
  <c r="W33" i="1"/>
  <c r="W32" i="1"/>
  <c r="W31" i="1"/>
  <c r="L6" i="4"/>
  <c r="X111" i="1"/>
  <c r="Y84" i="1"/>
  <c r="Y85" i="1"/>
  <c r="Y86" i="1"/>
  <c r="Y87" i="1"/>
  <c r="Y88" i="1"/>
  <c r="Y89" i="1"/>
  <c r="Y90" i="1"/>
  <c r="W88" i="1"/>
  <c r="W87" i="1"/>
  <c r="W86" i="1"/>
  <c r="W85" i="1"/>
  <c r="W84" i="1"/>
  <c r="W89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56" i="1"/>
  <c r="W57" i="1" l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56" i="1"/>
  <c r="V111" i="1"/>
  <c r="T111" i="1"/>
  <c r="S82" i="1"/>
  <c r="V38" i="1"/>
  <c r="W38" i="1" s="1"/>
  <c r="T38" i="1"/>
  <c r="U37" i="1"/>
  <c r="R38" i="1"/>
  <c r="S37" i="1"/>
  <c r="U111" i="1" l="1"/>
  <c r="Y111" i="1"/>
  <c r="W111" i="1"/>
  <c r="V22" i="1"/>
  <c r="W21" i="1" s="1"/>
  <c r="T22" i="1"/>
  <c r="U15" i="1" s="1"/>
  <c r="R22" i="1"/>
  <c r="S21" i="1" s="1"/>
  <c r="U16" i="1" l="1"/>
  <c r="S18" i="1"/>
  <c r="U14" i="1"/>
  <c r="S17" i="1"/>
  <c r="U17" i="1"/>
  <c r="U18" i="1"/>
  <c r="U12" i="1"/>
  <c r="W14" i="1"/>
  <c r="U19" i="1"/>
  <c r="U20" i="1"/>
  <c r="W15" i="1"/>
  <c r="W16" i="1"/>
  <c r="W18" i="1"/>
  <c r="W12" i="1"/>
  <c r="W20" i="1"/>
  <c r="W17" i="1"/>
  <c r="W19" i="1"/>
  <c r="W13" i="1"/>
  <c r="U13" i="1"/>
  <c r="U21" i="1"/>
  <c r="S12" i="1"/>
  <c r="S13" i="1"/>
  <c r="S14" i="1"/>
  <c r="S15" i="1"/>
  <c r="S16" i="1"/>
  <c r="S19" i="1"/>
  <c r="S20" i="1"/>
  <c r="I6" i="4"/>
  <c r="H6" i="4"/>
  <c r="H38" i="1"/>
  <c r="I38" i="1" s="1"/>
  <c r="F38" i="1"/>
  <c r="G38" i="1" s="1"/>
  <c r="D38" i="1"/>
  <c r="E38" i="1" s="1"/>
  <c r="B38" i="1"/>
  <c r="C38" i="1" s="1"/>
  <c r="J38" i="1"/>
  <c r="K38" i="1" s="1"/>
  <c r="Q37" i="1"/>
  <c r="Q36" i="1"/>
  <c r="Q35" i="1"/>
  <c r="Q34" i="1"/>
  <c r="Q33" i="1"/>
  <c r="Q32" i="1"/>
  <c r="Q31" i="1"/>
  <c r="S80" i="1"/>
  <c r="S81" i="1"/>
  <c r="R111" i="1"/>
  <c r="O78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56" i="1"/>
  <c r="P38" i="1"/>
  <c r="Q38" i="1" s="1"/>
  <c r="P22" i="1"/>
  <c r="Q19" i="1" s="1"/>
  <c r="Q78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9" i="1"/>
  <c r="Q56" i="1"/>
  <c r="P111" i="1"/>
  <c r="O37" i="1"/>
  <c r="O36" i="1"/>
  <c r="O35" i="1"/>
  <c r="O34" i="1"/>
  <c r="O33" i="1"/>
  <c r="O32" i="1"/>
  <c r="O31" i="1"/>
  <c r="N38" i="1"/>
  <c r="O38" i="1" s="1"/>
  <c r="N22" i="1"/>
  <c r="O13" i="1" s="1"/>
  <c r="N111" i="1"/>
  <c r="L111" i="1"/>
  <c r="J111" i="1"/>
  <c r="H111" i="1"/>
  <c r="F111" i="1"/>
  <c r="D111" i="1"/>
  <c r="O79" i="1"/>
  <c r="O77" i="1"/>
  <c r="M77" i="1"/>
  <c r="O76" i="1"/>
  <c r="M76" i="1"/>
  <c r="O75" i="1"/>
  <c r="M75" i="1"/>
  <c r="K75" i="1"/>
  <c r="I75" i="1"/>
  <c r="O74" i="1"/>
  <c r="M74" i="1"/>
  <c r="K74" i="1"/>
  <c r="I74" i="1"/>
  <c r="O73" i="1"/>
  <c r="M73" i="1"/>
  <c r="K73" i="1"/>
  <c r="I73" i="1"/>
  <c r="O72" i="1"/>
  <c r="M72" i="1"/>
  <c r="K72" i="1"/>
  <c r="I72" i="1"/>
  <c r="O71" i="1"/>
  <c r="M71" i="1"/>
  <c r="K71" i="1"/>
  <c r="I71" i="1"/>
  <c r="G71" i="1"/>
  <c r="E71" i="1"/>
  <c r="O70" i="1"/>
  <c r="M70" i="1"/>
  <c r="K70" i="1"/>
  <c r="I70" i="1"/>
  <c r="G70" i="1"/>
  <c r="E70" i="1"/>
  <c r="O69" i="1"/>
  <c r="M69" i="1"/>
  <c r="K69" i="1"/>
  <c r="I69" i="1"/>
  <c r="G69" i="1"/>
  <c r="E69" i="1"/>
  <c r="O68" i="1"/>
  <c r="M68" i="1"/>
  <c r="K68" i="1"/>
  <c r="I68" i="1"/>
  <c r="G68" i="1"/>
  <c r="E68" i="1"/>
  <c r="O67" i="1"/>
  <c r="M67" i="1"/>
  <c r="K67" i="1"/>
  <c r="I67" i="1"/>
  <c r="G67" i="1"/>
  <c r="E67" i="1"/>
  <c r="O66" i="1"/>
  <c r="M66" i="1"/>
  <c r="K66" i="1"/>
  <c r="I66" i="1"/>
  <c r="G66" i="1"/>
  <c r="E66" i="1"/>
  <c r="O65" i="1"/>
  <c r="M65" i="1"/>
  <c r="K65" i="1"/>
  <c r="I65" i="1"/>
  <c r="G65" i="1"/>
  <c r="E65" i="1"/>
  <c r="O64" i="1"/>
  <c r="M64" i="1"/>
  <c r="K64" i="1"/>
  <c r="I64" i="1"/>
  <c r="G64" i="1"/>
  <c r="E64" i="1"/>
  <c r="O63" i="1"/>
  <c r="M63" i="1"/>
  <c r="K63" i="1"/>
  <c r="I63" i="1"/>
  <c r="G63" i="1"/>
  <c r="E63" i="1"/>
  <c r="O62" i="1"/>
  <c r="M62" i="1"/>
  <c r="K62" i="1"/>
  <c r="I62" i="1"/>
  <c r="G62" i="1"/>
  <c r="E62" i="1"/>
  <c r="O61" i="1"/>
  <c r="M61" i="1"/>
  <c r="K61" i="1"/>
  <c r="I61" i="1"/>
  <c r="G61" i="1"/>
  <c r="E61" i="1"/>
  <c r="O60" i="1"/>
  <c r="M60" i="1"/>
  <c r="K60" i="1"/>
  <c r="I60" i="1"/>
  <c r="G60" i="1"/>
  <c r="E60" i="1"/>
  <c r="O59" i="1"/>
  <c r="M59" i="1"/>
  <c r="K59" i="1"/>
  <c r="I59" i="1"/>
  <c r="G59" i="1"/>
  <c r="E59" i="1"/>
  <c r="O58" i="1"/>
  <c r="M58" i="1"/>
  <c r="K58" i="1"/>
  <c r="I58" i="1"/>
  <c r="G58" i="1"/>
  <c r="E58" i="1"/>
  <c r="O57" i="1"/>
  <c r="M57" i="1"/>
  <c r="K57" i="1"/>
  <c r="I57" i="1"/>
  <c r="G57" i="1"/>
  <c r="E57" i="1"/>
  <c r="O56" i="1"/>
  <c r="M56" i="1"/>
  <c r="K56" i="1"/>
  <c r="I56" i="1"/>
  <c r="G56" i="1"/>
  <c r="P22" i="4"/>
  <c r="N28" i="4" s="1"/>
  <c r="P23" i="4"/>
  <c r="O33" i="4" s="1"/>
  <c r="P14" i="4"/>
  <c r="F29" i="4" s="1"/>
  <c r="P15" i="4"/>
  <c r="G28" i="4" s="1"/>
  <c r="P16" i="4"/>
  <c r="H29" i="4" s="1"/>
  <c r="P17" i="4"/>
  <c r="I33" i="4" s="1"/>
  <c r="P18" i="4"/>
  <c r="J29" i="4" s="1"/>
  <c r="P19" i="4"/>
  <c r="K32" i="4" s="1"/>
  <c r="P20" i="4"/>
  <c r="L34" i="4" s="1"/>
  <c r="B24" i="4"/>
  <c r="M37" i="1"/>
  <c r="M36" i="1"/>
  <c r="M35" i="1"/>
  <c r="M34" i="1"/>
  <c r="M33" i="1"/>
  <c r="M32" i="1"/>
  <c r="M31" i="1"/>
  <c r="G6" i="4"/>
  <c r="F6" i="4"/>
  <c r="P21" i="4"/>
  <c r="M28" i="4" s="1"/>
  <c r="N24" i="4"/>
  <c r="L22" i="1"/>
  <c r="M18" i="1" s="1"/>
  <c r="K36" i="1"/>
  <c r="K35" i="1"/>
  <c r="K34" i="1"/>
  <c r="K33" i="1"/>
  <c r="K32" i="1"/>
  <c r="K31" i="1"/>
  <c r="L38" i="1"/>
  <c r="M38" i="1" s="1"/>
  <c r="L24" i="4"/>
  <c r="J24" i="4"/>
  <c r="H24" i="4"/>
  <c r="F24" i="4"/>
  <c r="D24" i="4"/>
  <c r="J22" i="1"/>
  <c r="K16" i="1" s="1"/>
  <c r="I36" i="1"/>
  <c r="I35" i="1"/>
  <c r="I34" i="1"/>
  <c r="I33" i="1"/>
  <c r="I32" i="1"/>
  <c r="I31" i="1"/>
  <c r="G34" i="1"/>
  <c r="G32" i="1"/>
  <c r="E6" i="4"/>
  <c r="H22" i="1"/>
  <c r="I17" i="1" s="1"/>
  <c r="G36" i="1"/>
  <c r="G35" i="1"/>
  <c r="G33" i="1"/>
  <c r="G31" i="1"/>
  <c r="D6" i="4"/>
  <c r="F22" i="1"/>
  <c r="G14" i="1" s="1"/>
  <c r="E36" i="1"/>
  <c r="E35" i="1"/>
  <c r="E34" i="1"/>
  <c r="E33" i="1"/>
  <c r="E32" i="1"/>
  <c r="E31" i="1"/>
  <c r="C6" i="4"/>
  <c r="D22" i="1"/>
  <c r="E17" i="1" s="1"/>
  <c r="C36" i="1"/>
  <c r="C35" i="1"/>
  <c r="C34" i="1"/>
  <c r="C33" i="1"/>
  <c r="C32" i="1"/>
  <c r="C31" i="1"/>
  <c r="B22" i="1"/>
  <c r="C17" i="1" s="1"/>
  <c r="M15" i="1"/>
  <c r="O14" i="1"/>
  <c r="K16" i="4" l="1"/>
  <c r="K14" i="4"/>
  <c r="K17" i="4"/>
  <c r="K15" i="4"/>
  <c r="K18" i="4"/>
  <c r="K19" i="4"/>
  <c r="K20" i="4"/>
  <c r="K21" i="4"/>
  <c r="K23" i="4"/>
  <c r="K22" i="4"/>
  <c r="I22" i="4"/>
  <c r="I16" i="4"/>
  <c r="I14" i="4"/>
  <c r="I17" i="4"/>
  <c r="I15" i="4"/>
  <c r="I18" i="4"/>
  <c r="I19" i="4"/>
  <c r="I20" i="4"/>
  <c r="I23" i="4"/>
  <c r="I21" i="4"/>
  <c r="G22" i="4"/>
  <c r="G15" i="4"/>
  <c r="G23" i="4"/>
  <c r="G16" i="4"/>
  <c r="G14" i="4"/>
  <c r="G21" i="4"/>
  <c r="G17" i="4"/>
  <c r="G18" i="4"/>
  <c r="G19" i="4"/>
  <c r="G20" i="4"/>
  <c r="E20" i="4"/>
  <c r="E21" i="4"/>
  <c r="E22" i="4"/>
  <c r="E17" i="4"/>
  <c r="E15" i="4"/>
  <c r="E23" i="4"/>
  <c r="E16" i="4"/>
  <c r="E14" i="4"/>
  <c r="E18" i="4"/>
  <c r="E19" i="4"/>
  <c r="C18" i="4"/>
  <c r="C19" i="4"/>
  <c r="C20" i="4"/>
  <c r="C17" i="4"/>
  <c r="C21" i="4"/>
  <c r="C22" i="4"/>
  <c r="C15" i="4"/>
  <c r="C23" i="4"/>
  <c r="C16" i="4"/>
  <c r="C14" i="4"/>
  <c r="M18" i="4"/>
  <c r="M19" i="4"/>
  <c r="M23" i="4"/>
  <c r="M20" i="4"/>
  <c r="M21" i="4"/>
  <c r="M22" i="4"/>
  <c r="M15" i="4"/>
  <c r="M16" i="4"/>
  <c r="M14" i="4"/>
  <c r="M17" i="4"/>
  <c r="O21" i="1"/>
  <c r="I12" i="1"/>
  <c r="O20" i="1"/>
  <c r="O12" i="1"/>
  <c r="O16" i="1"/>
  <c r="O15" i="1"/>
  <c r="O17" i="1"/>
  <c r="O18" i="1"/>
  <c r="K18" i="1"/>
  <c r="K12" i="1"/>
  <c r="Q18" i="1"/>
  <c r="E14" i="1"/>
  <c r="K13" i="1"/>
  <c r="K21" i="1"/>
  <c r="K19" i="1"/>
  <c r="M12" i="1"/>
  <c r="M13" i="1"/>
  <c r="G17" i="1"/>
  <c r="M21" i="1"/>
  <c r="M20" i="1"/>
  <c r="G16" i="1"/>
  <c r="O32" i="4"/>
  <c r="O31" i="4"/>
  <c r="O34" i="4"/>
  <c r="O29" i="4"/>
  <c r="O30" i="4"/>
  <c r="Q16" i="1"/>
  <c r="C18" i="1"/>
  <c r="Q12" i="1"/>
  <c r="C15" i="1"/>
  <c r="C14" i="1"/>
  <c r="C21" i="1"/>
  <c r="E111" i="1"/>
  <c r="I18" i="1"/>
  <c r="M17" i="1"/>
  <c r="K111" i="1"/>
  <c r="G111" i="1"/>
  <c r="Q15" i="1"/>
  <c r="Q21" i="1"/>
  <c r="G12" i="1"/>
  <c r="I111" i="1"/>
  <c r="I16" i="1"/>
  <c r="Q20" i="1"/>
  <c r="G19" i="1"/>
  <c r="C16" i="1"/>
  <c r="I19" i="1"/>
  <c r="I15" i="1"/>
  <c r="G13" i="1"/>
  <c r="I13" i="1"/>
  <c r="Q14" i="1"/>
  <c r="E16" i="1"/>
  <c r="C13" i="1"/>
  <c r="M111" i="1"/>
  <c r="S111" i="1"/>
  <c r="G18" i="1"/>
  <c r="Q111" i="1"/>
  <c r="I21" i="1"/>
  <c r="I14" i="1"/>
  <c r="Q13" i="1"/>
  <c r="M14" i="1"/>
  <c r="M19" i="1"/>
  <c r="C12" i="1"/>
  <c r="C19" i="1"/>
  <c r="O111" i="1"/>
  <c r="G15" i="1"/>
  <c r="G21" i="1"/>
  <c r="Q17" i="1"/>
  <c r="M16" i="1"/>
  <c r="K28" i="4"/>
  <c r="G31" i="4"/>
  <c r="K34" i="4"/>
  <c r="K31" i="4"/>
  <c r="K30" i="4"/>
  <c r="K33" i="4"/>
  <c r="G29" i="4"/>
  <c r="F31" i="4"/>
  <c r="F30" i="4"/>
  <c r="F32" i="4"/>
  <c r="N33" i="4"/>
  <c r="F33" i="4"/>
  <c r="F34" i="4"/>
  <c r="F28" i="4"/>
  <c r="K14" i="1"/>
  <c r="K15" i="1"/>
  <c r="K17" i="1"/>
  <c r="E18" i="1"/>
  <c r="K20" i="1"/>
  <c r="E15" i="1"/>
  <c r="E21" i="1"/>
  <c r="E12" i="1"/>
  <c r="O19" i="1"/>
  <c r="E19" i="1"/>
  <c r="E13" i="1"/>
  <c r="L33" i="4"/>
  <c r="N32" i="4"/>
  <c r="G30" i="4"/>
  <c r="L28" i="4"/>
  <c r="J34" i="4"/>
  <c r="J31" i="4"/>
  <c r="N29" i="4"/>
  <c r="L30" i="4"/>
  <c r="G33" i="4"/>
  <c r="L29" i="4"/>
  <c r="N30" i="4"/>
  <c r="J32" i="4"/>
  <c r="L32" i="4"/>
  <c r="N34" i="4"/>
  <c r="N31" i="4"/>
  <c r="L31" i="4"/>
  <c r="I31" i="4"/>
  <c r="I29" i="4"/>
  <c r="I34" i="4"/>
  <c r="I30" i="4"/>
  <c r="I28" i="4"/>
  <c r="H30" i="4"/>
  <c r="H34" i="4"/>
  <c r="M32" i="4"/>
  <c r="G34" i="4"/>
  <c r="H31" i="4"/>
  <c r="I32" i="4"/>
  <c r="G32" i="4"/>
  <c r="H33" i="4"/>
  <c r="J30" i="4"/>
  <c r="M34" i="4"/>
  <c r="M29" i="4"/>
  <c r="H32" i="4"/>
  <c r="P24" i="4"/>
  <c r="M30" i="4"/>
  <c r="M31" i="4"/>
  <c r="J28" i="4"/>
  <c r="O28" i="4"/>
  <c r="J33" i="4"/>
  <c r="M33" i="4"/>
  <c r="H28" i="4"/>
  <c r="K29" i="4"/>
  <c r="U22" i="1"/>
  <c r="S22" i="1"/>
  <c r="W22" i="1"/>
  <c r="O22" i="1" l="1"/>
  <c r="G22" i="1"/>
  <c r="Q22" i="1"/>
  <c r="C22" i="1"/>
  <c r="M22" i="1"/>
  <c r="I22" i="1"/>
  <c r="E24" i="4"/>
  <c r="C24" i="4"/>
  <c r="O24" i="4"/>
  <c r="E22" i="1"/>
  <c r="M24" i="4"/>
  <c r="K24" i="4"/>
  <c r="I24" i="4"/>
  <c r="G24" i="4"/>
  <c r="K22" i="1"/>
</calcChain>
</file>

<file path=xl/sharedStrings.xml><?xml version="1.0" encoding="utf-8"?>
<sst xmlns="http://schemas.openxmlformats.org/spreadsheetml/2006/main" count="272" uniqueCount="151">
  <si>
    <t>od 101 do 107</t>
  </si>
  <si>
    <t>od 108 do 113</t>
  </si>
  <si>
    <t>od 114 do 120</t>
  </si>
  <si>
    <t>od 121 do 126</t>
  </si>
  <si>
    <t>gluhi in naglušni</t>
  </si>
  <si>
    <t>gibalno ovirani</t>
  </si>
  <si>
    <t>maturitetni tečaj</t>
  </si>
  <si>
    <t xml:space="preserve">SKUPAJ </t>
  </si>
  <si>
    <t>SKUPAJ</t>
  </si>
  <si>
    <t>delež delovnega mesta</t>
  </si>
  <si>
    <t>število ur dodatne strokovne pomoči</t>
  </si>
  <si>
    <t>NPI</t>
  </si>
  <si>
    <t>SPI</t>
  </si>
  <si>
    <t>SSTI</t>
  </si>
  <si>
    <t>PTI</t>
  </si>
  <si>
    <t>MT</t>
  </si>
  <si>
    <t>povprečje</t>
  </si>
  <si>
    <t>GIM</t>
  </si>
  <si>
    <t>a) Število usmerjenih dijakov</t>
  </si>
  <si>
    <t>b) Število dijakov (in delež znotraj dijakov s PP) glede na vrsto primanjkljaja, ovire oziroma motnje</t>
  </si>
  <si>
    <t>c) Število dijakov (in delež znotraj celotne populacije v programu) glede na izobraževalni program</t>
  </si>
  <si>
    <t>št.šol</t>
  </si>
  <si>
    <t>št.delavcev</t>
  </si>
  <si>
    <t>a</t>
  </si>
  <si>
    <t>b) gluhi in naglušni</t>
  </si>
  <si>
    <t>e) gibalno ovirani</t>
  </si>
  <si>
    <t>g) dolgotrajno bolni</t>
  </si>
  <si>
    <t>b</t>
  </si>
  <si>
    <t>c</t>
  </si>
  <si>
    <t>d</t>
  </si>
  <si>
    <t>e</t>
  </si>
  <si>
    <t>f</t>
  </si>
  <si>
    <t>g</t>
  </si>
  <si>
    <t>h</t>
  </si>
  <si>
    <t>i</t>
  </si>
  <si>
    <t>2010/2011</t>
  </si>
  <si>
    <t>do 3</t>
  </si>
  <si>
    <t>od 4 do 9</t>
  </si>
  <si>
    <t>od 10 do 16</t>
  </si>
  <si>
    <t>od 17 do 22</t>
  </si>
  <si>
    <t>od 23 do 29</t>
  </si>
  <si>
    <t>od 30 do 35</t>
  </si>
  <si>
    <t>od 36 do 42</t>
  </si>
  <si>
    <t>od 43 do 48</t>
  </si>
  <si>
    <t>od 49 do 55</t>
  </si>
  <si>
    <t>od 56 do 61</t>
  </si>
  <si>
    <t>od 62 do 68</t>
  </si>
  <si>
    <t>od 69 do 74</t>
  </si>
  <si>
    <t>od 75 do 81</t>
  </si>
  <si>
    <t>od 82 do 87</t>
  </si>
  <si>
    <t>od 88 do 94</t>
  </si>
  <si>
    <t>od 95 do 100</t>
  </si>
  <si>
    <t>št. dijakov z odločbami</t>
  </si>
  <si>
    <t>2011/2012</t>
  </si>
  <si>
    <t>2012/2013</t>
  </si>
  <si>
    <t>2013/2014</t>
  </si>
  <si>
    <t>2014/2015</t>
  </si>
  <si>
    <t>od 134 do 139</t>
  </si>
  <si>
    <t>j</t>
  </si>
  <si>
    <t>a) dijaki z lažjo motnjo v duševnem razvoju</t>
  </si>
  <si>
    <t>c) dijaki z govorno-jezikovnimi motnjami</t>
  </si>
  <si>
    <t>f) dijaki s čustvenimi in vedenjskimi motnjami</t>
  </si>
  <si>
    <t>h) dijaki s primanjkljaji na posameznih področjih učenja</t>
  </si>
  <si>
    <t>i) dijaki z avtističnimi motnjami</t>
  </si>
  <si>
    <t>j) dijaki z več motnjami</t>
  </si>
  <si>
    <t>d) slepi in slabovidni ter dijaki z okvaro vidne funkcije</t>
  </si>
  <si>
    <t>2015/2016</t>
  </si>
  <si>
    <t>d) Število stalnih spremljevalcev gibalno oviranih  in slepih dijakov</t>
  </si>
  <si>
    <t>dijaki z govorno jezikovnimi motnjami</t>
  </si>
  <si>
    <t>slepi in slabovidni ter dijaki z okvaro vidne funkcije**</t>
  </si>
  <si>
    <t>dijaki s čustvenimi in vedenjskimi motnjami</t>
  </si>
  <si>
    <t>dijaki s primanjkljaji na posameznih področjih učenja *</t>
  </si>
  <si>
    <t>od 147 do 152</t>
  </si>
  <si>
    <t>f) Ure dodatne strokovne pomoči po odločbah o usmeritvi</t>
  </si>
  <si>
    <t>g) Število dijakov in delež glede na izobraževalni program in vrsto primanjkljaja, ovire oziroma motnje</t>
  </si>
  <si>
    <t>poklicni tečaj</t>
  </si>
  <si>
    <t xml:space="preserve">PT </t>
  </si>
  <si>
    <t>PODATKI O  DIJAKIH S POSEBNIMI POTREBAMI V SREDNJEŠOLSKIH IZOBRAŽEVALNIH PROGRAMIH S PRILAGOJENIM IZVAJANJEM IN DODATNO STROKOVNO POMOČJO</t>
  </si>
  <si>
    <t>dijaki z lažjo motnjo v duševnem razvoju</t>
  </si>
  <si>
    <t>dolgotrajno bolni</t>
  </si>
  <si>
    <t>dijaki z avtističnimi motnjami*</t>
  </si>
  <si>
    <t>* nova skupina otrok s posebnimi potrebami v skladu z Zakonom o usmerjanju otrok s posebnimi potrebami (ZUOPP-1)</t>
  </si>
  <si>
    <t>dijaki z več motnjami**</t>
  </si>
  <si>
    <t>** ni samostojna skupina otrok s posebnimi potrebami v skladu z ZUOPP-1, vendar ima dijak lahko opredeljenih več motenj</t>
  </si>
  <si>
    <t>e) Število šol s soglasjem k sistemizaciji delovnega mesta svetovalnega delavca za koordinacijo dela z dijaki s posebnimi potrebami</t>
  </si>
  <si>
    <t>od 127 do 133</t>
  </si>
  <si>
    <t>2016/2017</t>
  </si>
  <si>
    <t>od 140 do 146</t>
  </si>
  <si>
    <t>2017/2018</t>
  </si>
  <si>
    <t>od 153 do 159</t>
  </si>
  <si>
    <t>od 160 do 165</t>
  </si>
  <si>
    <t>od 166 do 172</t>
  </si>
  <si>
    <t>2018/2019</t>
  </si>
  <si>
    <t>2019/2020</t>
  </si>
  <si>
    <t>2020/2021</t>
  </si>
  <si>
    <t>od 173 do 178</t>
  </si>
  <si>
    <t>od 179 do 185</t>
  </si>
  <si>
    <t>od 186 do 191</t>
  </si>
  <si>
    <t>od 192 do 198</t>
  </si>
  <si>
    <t>od 199 do 204</t>
  </si>
  <si>
    <t>od 205 do 211</t>
  </si>
  <si>
    <t>od 212 do 217</t>
  </si>
  <si>
    <t>od 218 do 224</t>
  </si>
  <si>
    <t>2021/2022</t>
  </si>
  <si>
    <t>2022/2023</t>
  </si>
  <si>
    <t>2023/2024</t>
  </si>
  <si>
    <t>2024/2025</t>
  </si>
  <si>
    <t>Nižji poklicni</t>
  </si>
  <si>
    <t>Srednje poklicni</t>
  </si>
  <si>
    <t>Srednje strokovni</t>
  </si>
  <si>
    <t>Srednje splošni (gimnazijski)</t>
  </si>
  <si>
    <t>Poklicno-tehniški</t>
  </si>
  <si>
    <t>2025/2026</t>
  </si>
  <si>
    <t>od 225 do 230</t>
  </si>
  <si>
    <t>od 231 do 237</t>
  </si>
  <si>
    <t>od 238 do 243</t>
  </si>
  <si>
    <t>od 244 do 250</t>
  </si>
  <si>
    <t>od 251 do 256</t>
  </si>
  <si>
    <t>od 257 do 263</t>
  </si>
  <si>
    <t>od 264 do 269</t>
  </si>
  <si>
    <t>od 270 do 276</t>
  </si>
  <si>
    <t>od 277 do 282</t>
  </si>
  <si>
    <t>od 283 do 293</t>
  </si>
  <si>
    <t>od 294 do 299</t>
  </si>
  <si>
    <t>od 300 do 306</t>
  </si>
  <si>
    <t>od 307 do 312</t>
  </si>
  <si>
    <t>od 313 do 319</t>
  </si>
  <si>
    <t>od 320 do 325</t>
  </si>
  <si>
    <t>od 326 do 332</t>
  </si>
  <si>
    <t>od 333 do 339</t>
  </si>
  <si>
    <t>od 340 do 346</t>
  </si>
  <si>
    <t>od 347 do 352</t>
  </si>
  <si>
    <t>od 353 do 359</t>
  </si>
  <si>
    <t>za šolsko leto 2025/2026</t>
  </si>
  <si>
    <t xml:space="preserve">Regija </t>
  </si>
  <si>
    <t>Delež</t>
  </si>
  <si>
    <t>Gorenjska</t>
  </si>
  <si>
    <t>Goriška</t>
  </si>
  <si>
    <t>Jugovzhodna Slovenija</t>
  </si>
  <si>
    <t>Koroška</t>
  </si>
  <si>
    <t>Obalno-kraška</t>
  </si>
  <si>
    <t>Osrednjeslovenska</t>
  </si>
  <si>
    <t>Podravska</t>
  </si>
  <si>
    <t>Pomurska</t>
  </si>
  <si>
    <t>Posavska</t>
  </si>
  <si>
    <t>Primorsko-notranjska</t>
  </si>
  <si>
    <t>Savinjska</t>
  </si>
  <si>
    <t>Zasavska</t>
  </si>
  <si>
    <t>Skupna vsota</t>
  </si>
  <si>
    <t>Število dijakov</t>
  </si>
  <si>
    <t>h) Dijaki z odločbo o usmeritvi v šolskem letu 2025/2026 po kraju šole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</si>
</sst>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/>
    <xf numFmtId="0" fontId="6" fillId="0" borderId="0" xfId="0" applyFont="1"/>
    <xf numFmtId="3" fontId="6" fillId="0" borderId="6" xfId="0" applyNumberFormat="1" applyFont="1" applyBorder="1"/>
    <xf numFmtId="3" fontId="6" fillId="0" borderId="0" xfId="0" applyNumberFormat="1" applyFont="1"/>
    <xf numFmtId="0" fontId="7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0" borderId="5" xfId="0" applyFont="1" applyBorder="1"/>
    <xf numFmtId="3" fontId="6" fillId="0" borderId="14" xfId="0" applyNumberFormat="1" applyFont="1" applyBorder="1" applyAlignment="1">
      <alignment horizontal="center"/>
    </xf>
    <xf numFmtId="3" fontId="6" fillId="4" borderId="14" xfId="0" applyNumberFormat="1" applyFont="1" applyFill="1" applyBorder="1" applyAlignment="1">
      <alignment horizontal="center"/>
    </xf>
    <xf numFmtId="0" fontId="9" fillId="0" borderId="11" xfId="0" applyFont="1" applyBorder="1"/>
    <xf numFmtId="0" fontId="7" fillId="5" borderId="15" xfId="0" applyFont="1" applyFill="1" applyBorder="1" applyAlignment="1">
      <alignment horizontal="left"/>
    </xf>
    <xf numFmtId="3" fontId="7" fillId="5" borderId="16" xfId="0" applyNumberFormat="1" applyFont="1" applyFill="1" applyBorder="1" applyAlignment="1">
      <alignment horizontal="center"/>
    </xf>
    <xf numFmtId="9" fontId="5" fillId="0" borderId="17" xfId="0" applyNumberFormat="1" applyFont="1" applyFill="1" applyBorder="1" applyAlignment="1">
      <alignment horizontal="center"/>
    </xf>
    <xf numFmtId="3" fontId="7" fillId="2" borderId="16" xfId="0" applyNumberFormat="1" applyFont="1" applyFill="1" applyBorder="1" applyAlignment="1">
      <alignment horizontal="center"/>
    </xf>
    <xf numFmtId="9" fontId="5" fillId="0" borderId="16" xfId="0" applyNumberFormat="1" applyFont="1" applyFill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top" wrapText="1" readingOrder="1"/>
    </xf>
    <xf numFmtId="0" fontId="6" fillId="0" borderId="19" xfId="0" applyFont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10" fontId="5" fillId="0" borderId="1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3" fontId="12" fillId="0" borderId="0" xfId="0" applyNumberFormat="1" applyFont="1"/>
    <xf numFmtId="3" fontId="13" fillId="0" borderId="0" xfId="0" applyNumberFormat="1" applyFont="1"/>
    <xf numFmtId="3" fontId="10" fillId="0" borderId="0" xfId="0" applyNumberFormat="1" applyFont="1"/>
    <xf numFmtId="0" fontId="14" fillId="0" borderId="0" xfId="0" applyFont="1"/>
    <xf numFmtId="3" fontId="15" fillId="0" borderId="0" xfId="0" applyNumberFormat="1" applyFont="1" applyBorder="1" applyAlignment="1"/>
    <xf numFmtId="0" fontId="15" fillId="0" borderId="0" xfId="0" applyFont="1" applyBorder="1" applyAlignment="1">
      <alignment horizontal="left"/>
    </xf>
    <xf numFmtId="0" fontId="15" fillId="0" borderId="0" xfId="0" applyFont="1"/>
    <xf numFmtId="0" fontId="15" fillId="0" borderId="0" xfId="0" applyFont="1" applyBorder="1" applyAlignment="1">
      <alignment horizontal="left"/>
    </xf>
    <xf numFmtId="16" fontId="16" fillId="0" borderId="24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16" fontId="16" fillId="0" borderId="28" xfId="0" applyNumberFormat="1" applyFont="1" applyFill="1" applyBorder="1" applyAlignment="1">
      <alignment horizontal="center" vertical="center" wrapText="1"/>
    </xf>
    <xf numFmtId="16" fontId="16" fillId="0" borderId="29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" fontId="16" fillId="0" borderId="30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2" fontId="10" fillId="0" borderId="3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2" fontId="10" fillId="0" borderId="3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/>
    <xf numFmtId="3" fontId="13" fillId="0" borderId="0" xfId="0" applyNumberFormat="1" applyFont="1" applyBorder="1"/>
    <xf numFmtId="0" fontId="13" fillId="0" borderId="0" xfId="0" applyNumberFormat="1" applyFont="1" applyBorder="1"/>
    <xf numFmtId="2" fontId="17" fillId="5" borderId="17" xfId="0" applyNumberFormat="1" applyFont="1" applyFill="1" applyBorder="1" applyAlignment="1">
      <alignment horizontal="center" vertical="center" wrapText="1"/>
    </xf>
    <xf numFmtId="3" fontId="7" fillId="5" borderId="34" xfId="0" applyNumberFormat="1" applyFont="1" applyFill="1" applyBorder="1" applyAlignment="1">
      <alignment horizontal="center"/>
    </xf>
    <xf numFmtId="0" fontId="6" fillId="0" borderId="35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2" fontId="10" fillId="6" borderId="0" xfId="0" applyNumberFormat="1" applyFont="1" applyFill="1" applyBorder="1" applyAlignment="1">
      <alignment horizontal="center" vertical="center" wrapText="1"/>
    </xf>
    <xf numFmtId="2" fontId="10" fillId="0" borderId="36" xfId="0" applyNumberFormat="1" applyFont="1" applyFill="1" applyBorder="1" applyAlignment="1">
      <alignment horizontal="center" vertical="center" wrapText="1"/>
    </xf>
    <xf numFmtId="0" fontId="6" fillId="6" borderId="2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38" xfId="0" applyNumberFormat="1" applyFont="1" applyFill="1" applyBorder="1" applyAlignment="1">
      <alignment horizontal="center" vertical="center" wrapText="1"/>
    </xf>
    <xf numFmtId="2" fontId="10" fillId="6" borderId="39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7" fillId="7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right" wrapText="1"/>
    </xf>
    <xf numFmtId="3" fontId="6" fillId="0" borderId="40" xfId="0" applyNumberFormat="1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5" borderId="15" xfId="0" applyFont="1" applyFill="1" applyBorder="1"/>
    <xf numFmtId="0" fontId="7" fillId="5" borderId="34" xfId="0" applyFont="1" applyFill="1" applyBorder="1" applyAlignment="1">
      <alignment horizontal="center"/>
    </xf>
    <xf numFmtId="3" fontId="6" fillId="0" borderId="0" xfId="0" applyNumberFormat="1" applyFont="1" applyFill="1" applyBorder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42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164" fontId="20" fillId="0" borderId="43" xfId="0" applyNumberFormat="1" applyFont="1" applyBorder="1" applyAlignment="1">
      <alignment horizontal="center"/>
    </xf>
    <xf numFmtId="164" fontId="20" fillId="0" borderId="21" xfId="0" applyNumberFormat="1" applyFont="1" applyBorder="1" applyAlignment="1">
      <alignment horizontal="center"/>
    </xf>
    <xf numFmtId="164" fontId="20" fillId="0" borderId="44" xfId="0" applyNumberFormat="1" applyFont="1" applyBorder="1" applyAlignment="1">
      <alignment horizontal="center"/>
    </xf>
    <xf numFmtId="164" fontId="20" fillId="0" borderId="37" xfId="0" applyNumberFormat="1" applyFont="1" applyBorder="1" applyAlignment="1">
      <alignment horizontal="center"/>
    </xf>
    <xf numFmtId="164" fontId="20" fillId="0" borderId="45" xfId="0" applyNumberFormat="1" applyFont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2" fontId="9" fillId="0" borderId="40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9" fontId="9" fillId="5" borderId="18" xfId="0" applyNumberFormat="1" applyFont="1" applyFill="1" applyBorder="1" applyAlignment="1">
      <alignment horizontal="center"/>
    </xf>
    <xf numFmtId="0" fontId="20" fillId="0" borderId="0" xfId="0" applyFont="1"/>
    <xf numFmtId="3" fontId="19" fillId="8" borderId="16" xfId="0" applyNumberFormat="1" applyFont="1" applyFill="1" applyBorder="1" applyAlignment="1">
      <alignment horizontal="center"/>
    </xf>
    <xf numFmtId="0" fontId="19" fillId="8" borderId="16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19" fillId="9" borderId="2" xfId="0" applyFont="1" applyFill="1" applyBorder="1"/>
    <xf numFmtId="0" fontId="19" fillId="9" borderId="5" xfId="0" applyFont="1" applyFill="1" applyBorder="1"/>
    <xf numFmtId="0" fontId="19" fillId="9" borderId="46" xfId="0" applyFont="1" applyFill="1" applyBorder="1"/>
    <xf numFmtId="0" fontId="19" fillId="9" borderId="47" xfId="0" applyFont="1" applyFill="1" applyBorder="1"/>
    <xf numFmtId="0" fontId="6" fillId="8" borderId="4" xfId="0" applyFont="1" applyFill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9" fillId="8" borderId="4" xfId="0" applyFont="1" applyFill="1" applyBorder="1" applyAlignment="1">
      <alignment wrapText="1"/>
    </xf>
    <xf numFmtId="0" fontId="6" fillId="8" borderId="48" xfId="0" applyFont="1" applyFill="1" applyBorder="1" applyAlignment="1">
      <alignment wrapText="1"/>
    </xf>
    <xf numFmtId="0" fontId="9" fillId="0" borderId="40" xfId="0" applyFont="1" applyFill="1" applyBorder="1" applyAlignment="1">
      <alignment horizontal="right"/>
    </xf>
    <xf numFmtId="3" fontId="22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47" xfId="0" applyFont="1" applyBorder="1"/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4" borderId="0" xfId="0" applyFont="1" applyFill="1"/>
    <xf numFmtId="4" fontId="18" fillId="5" borderId="17" xfId="0" applyNumberFormat="1" applyFont="1" applyFill="1" applyBorder="1" applyAlignment="1">
      <alignment horizontal="center"/>
    </xf>
    <xf numFmtId="2" fontId="10" fillId="0" borderId="5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19" fillId="9" borderId="34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0" fontId="19" fillId="9" borderId="55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left" vertical="top"/>
    </xf>
    <xf numFmtId="164" fontId="9" fillId="0" borderId="54" xfId="0" applyNumberFormat="1" applyFont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2" fontId="7" fillId="0" borderId="26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0" fontId="7" fillId="9" borderId="40" xfId="0" applyNumberFormat="1" applyFont="1" applyFill="1" applyBorder="1" applyAlignment="1">
      <alignment horizontal="center"/>
    </xf>
    <xf numFmtId="3" fontId="7" fillId="5" borderId="14" xfId="0" applyNumberFormat="1" applyFont="1" applyFill="1" applyBorder="1" applyAlignment="1">
      <alignment horizontal="center"/>
    </xf>
    <xf numFmtId="3" fontId="7" fillId="5" borderId="26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3" fontId="6" fillId="0" borderId="49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16" fontId="19" fillId="9" borderId="51" xfId="0" applyNumberFormat="1" applyFont="1" applyFill="1" applyBorder="1" applyAlignment="1">
      <alignment horizontal="center" vertical="center" wrapText="1"/>
    </xf>
    <xf numFmtId="16" fontId="19" fillId="9" borderId="52" xfId="0" applyNumberFormat="1" applyFont="1" applyFill="1" applyBorder="1" applyAlignment="1">
      <alignment horizontal="center" vertical="center" wrapText="1"/>
    </xf>
    <xf numFmtId="3" fontId="7" fillId="5" borderId="15" xfId="0" applyNumberFormat="1" applyFont="1" applyFill="1" applyBorder="1" applyAlignment="1">
      <alignment horizontal="center"/>
    </xf>
    <xf numFmtId="3" fontId="7" fillId="5" borderId="17" xfId="0" applyNumberFormat="1" applyFont="1" applyFill="1" applyBorder="1" applyAlignment="1">
      <alignment horizontal="center"/>
    </xf>
    <xf numFmtId="0" fontId="16" fillId="0" borderId="5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" fontId="19" fillId="9" borderId="5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3" fontId="20" fillId="0" borderId="0" xfId="0" applyNumberFormat="1" applyFont="1" applyAlignment="1">
      <alignment horizontal="left" vertical="top" wrapText="1"/>
    </xf>
    <xf numFmtId="0" fontId="11" fillId="0" borderId="0" xfId="0" applyFont="1" applyBorder="1" applyAlignment="1">
      <alignment horizontal="left"/>
    </xf>
    <xf numFmtId="3" fontId="22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0" borderId="2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9" fillId="9" borderId="15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I244"/>
  <sheetViews>
    <sheetView showGridLines="0" topLeftCell="A12" zoomScale="90" zoomScaleNormal="90" workbookViewId="0">
      <selection activeCell="AC41" sqref="AC41"/>
    </sheetView>
  </sheetViews>
  <sheetFormatPr defaultColWidth="9.1796875" defaultRowHeight="15.5" x14ac:dyDescent="0.35"/>
  <cols>
    <col min="1" max="1" width="28.7265625" style="2" customWidth="1"/>
    <col min="2" max="2" width="6.1796875" style="1" customWidth="1"/>
    <col min="3" max="3" width="6" style="1" customWidth="1"/>
    <col min="4" max="4" width="7.1796875" style="1" customWidth="1"/>
    <col min="5" max="5" width="7.26953125" style="1" customWidth="1"/>
    <col min="6" max="6" width="7.1796875" style="1" customWidth="1"/>
    <col min="7" max="7" width="7.26953125" style="1" customWidth="1"/>
    <col min="8" max="8" width="7.1796875" style="1" customWidth="1"/>
    <col min="9" max="9" width="7.26953125" style="1" customWidth="1"/>
    <col min="10" max="11" width="7.453125" style="1" customWidth="1"/>
    <col min="12" max="12" width="7.1796875" style="1" customWidth="1"/>
    <col min="13" max="13" width="7.453125" style="1" customWidth="1"/>
    <col min="14" max="14" width="8.1796875" style="1" customWidth="1"/>
    <col min="15" max="15" width="8.26953125" style="1" customWidth="1"/>
    <col min="16" max="16384" width="9.1796875" style="1"/>
  </cols>
  <sheetData>
    <row r="1" spans="1:33" ht="37.5" customHeight="1" x14ac:dyDescent="0.35">
      <c r="A1" s="178" t="s">
        <v>77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33" ht="37.5" customHeight="1" x14ac:dyDescent="0.35">
      <c r="A2" s="132"/>
      <c r="B2" s="132"/>
      <c r="C2" s="132"/>
      <c r="D2" s="132"/>
      <c r="E2" s="132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</row>
    <row r="3" spans="1:33" ht="21" x14ac:dyDescent="0.5">
      <c r="A3" s="53" t="s">
        <v>18</v>
      </c>
      <c r="B3" s="52"/>
      <c r="C3" s="5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33" x14ac:dyDescent="0.35">
      <c r="A4" s="10"/>
      <c r="B4" s="156" t="s">
        <v>35</v>
      </c>
      <c r="C4" s="156"/>
      <c r="D4" s="156" t="s">
        <v>53</v>
      </c>
      <c r="E4" s="156"/>
      <c r="F4" s="156" t="s">
        <v>54</v>
      </c>
      <c r="G4" s="156"/>
      <c r="H4" s="156" t="s">
        <v>55</v>
      </c>
      <c r="I4" s="156"/>
      <c r="J4" s="156" t="s">
        <v>56</v>
      </c>
      <c r="K4" s="156"/>
      <c r="L4" s="156" t="s">
        <v>66</v>
      </c>
      <c r="M4" s="156"/>
      <c r="N4" s="156" t="s">
        <v>86</v>
      </c>
      <c r="O4" s="156"/>
      <c r="P4" s="156" t="s">
        <v>88</v>
      </c>
      <c r="Q4" s="156"/>
      <c r="R4" s="156" t="s">
        <v>92</v>
      </c>
      <c r="S4" s="156"/>
      <c r="T4" s="156" t="s">
        <v>93</v>
      </c>
      <c r="U4" s="156"/>
      <c r="V4" s="156" t="s">
        <v>94</v>
      </c>
      <c r="W4" s="156"/>
      <c r="X4" s="156" t="s">
        <v>103</v>
      </c>
      <c r="Y4" s="156"/>
      <c r="Z4" s="156" t="s">
        <v>104</v>
      </c>
      <c r="AA4" s="156"/>
      <c r="AB4" s="156" t="s">
        <v>105</v>
      </c>
      <c r="AC4" s="156"/>
      <c r="AD4" s="156" t="s">
        <v>106</v>
      </c>
      <c r="AE4" s="156"/>
      <c r="AF4" s="156" t="s">
        <v>112</v>
      </c>
      <c r="AG4" s="156"/>
    </row>
    <row r="5" spans="1:33" x14ac:dyDescent="0.35">
      <c r="A5" s="11"/>
      <c r="B5" s="157">
        <v>2780</v>
      </c>
      <c r="C5" s="158"/>
      <c r="D5" s="157">
        <v>3159</v>
      </c>
      <c r="E5" s="158"/>
      <c r="F5" s="157">
        <v>3520</v>
      </c>
      <c r="G5" s="158"/>
      <c r="H5" s="157">
        <v>3817</v>
      </c>
      <c r="I5" s="158"/>
      <c r="J5" s="157">
        <v>3815</v>
      </c>
      <c r="K5" s="158"/>
      <c r="L5" s="157">
        <v>4221</v>
      </c>
      <c r="M5" s="158"/>
      <c r="N5" s="157">
        <v>4165</v>
      </c>
      <c r="O5" s="158"/>
      <c r="P5" s="157">
        <v>4768</v>
      </c>
      <c r="Q5" s="158"/>
      <c r="R5" s="157">
        <v>5051</v>
      </c>
      <c r="S5" s="158"/>
      <c r="T5" s="157">
        <v>5331</v>
      </c>
      <c r="U5" s="158"/>
      <c r="V5" s="157">
        <v>5673</v>
      </c>
      <c r="W5" s="158"/>
      <c r="X5" s="157">
        <v>6201</v>
      </c>
      <c r="Y5" s="158"/>
      <c r="Z5" s="157">
        <v>6585</v>
      </c>
      <c r="AA5" s="158"/>
      <c r="AB5" s="157">
        <v>7252</v>
      </c>
      <c r="AC5" s="158"/>
      <c r="AD5" s="157">
        <v>7863</v>
      </c>
      <c r="AE5" s="158"/>
      <c r="AF5" s="157">
        <v>8423</v>
      </c>
      <c r="AG5" s="158"/>
    </row>
    <row r="6" spans="1:33" x14ac:dyDescent="0.3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33" x14ac:dyDescent="0.35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33" x14ac:dyDescent="0.3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33" ht="21" x14ac:dyDescent="0.5">
      <c r="A9" s="54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33" ht="16" thickBot="1" x14ac:dyDescent="0.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33" ht="16" thickBot="1" x14ac:dyDescent="0.4">
      <c r="A11" s="9"/>
      <c r="B11" s="159" t="s">
        <v>35</v>
      </c>
      <c r="C11" s="160"/>
      <c r="D11" s="159" t="s">
        <v>53</v>
      </c>
      <c r="E11" s="160"/>
      <c r="F11" s="159" t="s">
        <v>54</v>
      </c>
      <c r="G11" s="160"/>
      <c r="H11" s="159" t="s">
        <v>55</v>
      </c>
      <c r="I11" s="160"/>
      <c r="J11" s="159" t="s">
        <v>56</v>
      </c>
      <c r="K11" s="160"/>
      <c r="L11" s="159" t="s">
        <v>66</v>
      </c>
      <c r="M11" s="160"/>
      <c r="N11" s="159" t="s">
        <v>86</v>
      </c>
      <c r="O11" s="160"/>
      <c r="P11" s="159" t="s">
        <v>88</v>
      </c>
      <c r="Q11" s="160"/>
      <c r="R11" s="159" t="s">
        <v>92</v>
      </c>
      <c r="S11" s="160"/>
      <c r="T11" s="159" t="s">
        <v>93</v>
      </c>
      <c r="U11" s="160"/>
      <c r="V11" s="159" t="s">
        <v>94</v>
      </c>
      <c r="W11" s="160"/>
      <c r="X11" s="159" t="s">
        <v>103</v>
      </c>
      <c r="Y11" s="160"/>
      <c r="Z11" s="159" t="s">
        <v>104</v>
      </c>
      <c r="AA11" s="160"/>
      <c r="AB11" s="159" t="s">
        <v>105</v>
      </c>
      <c r="AC11" s="160"/>
      <c r="AD11" s="159" t="s">
        <v>106</v>
      </c>
      <c r="AE11" s="160"/>
      <c r="AF11" s="159" t="s">
        <v>112</v>
      </c>
      <c r="AG11" s="160"/>
    </row>
    <row r="12" spans="1:33" ht="31" x14ac:dyDescent="0.35">
      <c r="A12" s="13" t="s">
        <v>78</v>
      </c>
      <c r="B12" s="14">
        <v>186</v>
      </c>
      <c r="C12" s="15">
        <f t="shared" ref="C12:C19" si="0">B12/$B$22</f>
        <v>6.6906474820143891E-2</v>
      </c>
      <c r="D12" s="14">
        <v>157</v>
      </c>
      <c r="E12" s="15">
        <f t="shared" ref="E12:E19" si="1">D12/$D$22</f>
        <v>4.9699271921494141E-2</v>
      </c>
      <c r="F12" s="14">
        <v>156</v>
      </c>
      <c r="G12" s="16">
        <f>F12/F22</f>
        <v>4.4318181818181819E-2</v>
      </c>
      <c r="H12" s="14">
        <v>144</v>
      </c>
      <c r="I12" s="16">
        <f>H12/H22</f>
        <v>3.7725962798008911E-2</v>
      </c>
      <c r="J12" s="14">
        <v>120</v>
      </c>
      <c r="K12" s="16">
        <f>J12/J22</f>
        <v>3.1454783748361727E-2</v>
      </c>
      <c r="L12" s="17">
        <v>132</v>
      </c>
      <c r="M12" s="16">
        <f>L12/L22</f>
        <v>3.1272210376687988E-2</v>
      </c>
      <c r="N12" s="17">
        <v>113</v>
      </c>
      <c r="O12" s="16">
        <f>N12/N22</f>
        <v>2.7130852340936373E-2</v>
      </c>
      <c r="P12" s="17">
        <v>138</v>
      </c>
      <c r="Q12" s="16">
        <f>P12/P22</f>
        <v>2.8942953020134228E-2</v>
      </c>
      <c r="R12" s="17">
        <v>141</v>
      </c>
      <c r="S12" s="16">
        <f>R12/R22</f>
        <v>2.7915264304098197E-2</v>
      </c>
      <c r="T12" s="17">
        <v>122</v>
      </c>
      <c r="U12" s="16">
        <f>T12/T22</f>
        <v>2.2885012192834366E-2</v>
      </c>
      <c r="V12" s="17">
        <v>139</v>
      </c>
      <c r="W12" s="16">
        <f>V12/V22</f>
        <v>2.4502027146130794E-2</v>
      </c>
      <c r="X12" s="17">
        <v>154</v>
      </c>
      <c r="Y12" s="16">
        <f>X12/X22</f>
        <v>2.4834704079987099E-2</v>
      </c>
      <c r="Z12" s="17">
        <v>156</v>
      </c>
      <c r="AA12" s="16">
        <f>Z12/Z22</f>
        <v>2.369020501138952E-2</v>
      </c>
      <c r="AB12" s="17">
        <v>162</v>
      </c>
      <c r="AC12" s="16">
        <f>AB12/AB22</f>
        <v>2.2338665195808054E-2</v>
      </c>
      <c r="AD12" s="17">
        <v>164</v>
      </c>
      <c r="AE12" s="16">
        <f>AD12/AD22</f>
        <v>2.0857179193691976E-2</v>
      </c>
      <c r="AF12" s="17">
        <v>187</v>
      </c>
      <c r="AG12" s="16">
        <f>AF12/AF22</f>
        <v>2.2201115991926867E-2</v>
      </c>
    </row>
    <row r="13" spans="1:33" ht="25.5" customHeight="1" x14ac:dyDescent="0.35">
      <c r="A13" s="18" t="s">
        <v>4</v>
      </c>
      <c r="B13" s="19">
        <v>92</v>
      </c>
      <c r="C13" s="20">
        <f t="shared" si="0"/>
        <v>3.3093525179856115E-2</v>
      </c>
      <c r="D13" s="19">
        <v>98</v>
      </c>
      <c r="E13" s="20">
        <f t="shared" si="1"/>
        <v>3.102247546691991E-2</v>
      </c>
      <c r="F13" s="19">
        <v>105</v>
      </c>
      <c r="G13" s="20">
        <f>F13/F22</f>
        <v>2.9829545454545456E-2</v>
      </c>
      <c r="H13" s="19">
        <v>93</v>
      </c>
      <c r="I13" s="20">
        <f>H13/H22</f>
        <v>2.436468430704742E-2</v>
      </c>
      <c r="J13" s="19">
        <v>83</v>
      </c>
      <c r="K13" s="20">
        <f>J13/J22</f>
        <v>2.1756225425950196E-2</v>
      </c>
      <c r="L13" s="21">
        <v>87</v>
      </c>
      <c r="M13" s="20">
        <f>L13/L22</f>
        <v>2.0611229566453448E-2</v>
      </c>
      <c r="N13" s="21">
        <v>58</v>
      </c>
      <c r="O13" s="20">
        <f>N13/N22</f>
        <v>1.3925570228091237E-2</v>
      </c>
      <c r="P13" s="21">
        <v>68</v>
      </c>
      <c r="Q13" s="20">
        <f>P13/P22</f>
        <v>1.4261744966442953E-2</v>
      </c>
      <c r="R13" s="21">
        <v>74</v>
      </c>
      <c r="S13" s="20">
        <f>R13/R22</f>
        <v>1.4650564244704019E-2</v>
      </c>
      <c r="T13" s="21">
        <v>74</v>
      </c>
      <c r="U13" s="20">
        <f>T13/T22</f>
        <v>1.3881072969424124E-2</v>
      </c>
      <c r="V13" s="21">
        <v>89</v>
      </c>
      <c r="W13" s="20">
        <f>V13/V22</f>
        <v>1.5688348316587344E-2</v>
      </c>
      <c r="X13" s="21">
        <v>89</v>
      </c>
      <c r="Y13" s="20">
        <f>X13/X22</f>
        <v>1.4352523786486051E-2</v>
      </c>
      <c r="Z13" s="21">
        <v>82</v>
      </c>
      <c r="AA13" s="20">
        <f>Z13/Z22</f>
        <v>1.2452543659832954E-2</v>
      </c>
      <c r="AB13" s="21">
        <v>88</v>
      </c>
      <c r="AC13" s="20">
        <f>AB13/AB22</f>
        <v>1.2134583563154992E-2</v>
      </c>
      <c r="AD13" s="21">
        <v>78</v>
      </c>
      <c r="AE13" s="20">
        <f>AD13/AD22</f>
        <v>9.9198779091949629E-3</v>
      </c>
      <c r="AF13" s="21">
        <f>37+47</f>
        <v>84</v>
      </c>
      <c r="AG13" s="20">
        <f>AF13/AF22</f>
        <v>9.9726938145553844E-3</v>
      </c>
    </row>
    <row r="14" spans="1:33" ht="31" x14ac:dyDescent="0.35">
      <c r="A14" s="23" t="s">
        <v>68</v>
      </c>
      <c r="B14" s="24">
        <v>80</v>
      </c>
      <c r="C14" s="20">
        <f t="shared" si="0"/>
        <v>2.8776978417266189E-2</v>
      </c>
      <c r="D14" s="24">
        <v>117</v>
      </c>
      <c r="E14" s="20">
        <f t="shared" si="1"/>
        <v>3.7037037037037035E-2</v>
      </c>
      <c r="F14" s="24">
        <v>172</v>
      </c>
      <c r="G14" s="20">
        <f>F14/F22</f>
        <v>4.8863636363636366E-2</v>
      </c>
      <c r="H14" s="24">
        <v>230</v>
      </c>
      <c r="I14" s="20">
        <f>H14/H22</f>
        <v>6.0256746135708673E-2</v>
      </c>
      <c r="J14" s="24">
        <v>130</v>
      </c>
      <c r="K14" s="20">
        <f>J14/J22</f>
        <v>3.4076015727391877E-2</v>
      </c>
      <c r="L14" s="25">
        <v>135</v>
      </c>
      <c r="M14" s="20">
        <f>L14/L22</f>
        <v>3.1982942430703626E-2</v>
      </c>
      <c r="N14" s="25">
        <v>88</v>
      </c>
      <c r="O14" s="20">
        <f>N14/N22</f>
        <v>2.1128451380552221E-2</v>
      </c>
      <c r="P14" s="25">
        <v>101</v>
      </c>
      <c r="Q14" s="20">
        <f>P14/P22</f>
        <v>2.1182885906040269E-2</v>
      </c>
      <c r="R14" s="25">
        <v>110</v>
      </c>
      <c r="S14" s="20">
        <f>R14/R22</f>
        <v>2.1777865769154622E-2</v>
      </c>
      <c r="T14" s="25">
        <v>115</v>
      </c>
      <c r="U14" s="20">
        <f>T14/T22</f>
        <v>2.1571937722753703E-2</v>
      </c>
      <c r="V14" s="25">
        <v>114</v>
      </c>
      <c r="W14" s="20">
        <f>V14/V22</f>
        <v>2.0095187731359071E-2</v>
      </c>
      <c r="X14" s="25">
        <v>124</v>
      </c>
      <c r="Y14" s="20">
        <f>X14/X22</f>
        <v>1.9996774713755845E-2</v>
      </c>
      <c r="Z14" s="25">
        <v>133</v>
      </c>
      <c r="AA14" s="20">
        <f>Z14/Z22</f>
        <v>2.0197418375094912E-2</v>
      </c>
      <c r="AB14" s="25">
        <v>128</v>
      </c>
      <c r="AC14" s="20">
        <f>AB14/AB22</f>
        <v>1.765030336458908E-2</v>
      </c>
      <c r="AD14" s="25">
        <v>149</v>
      </c>
      <c r="AE14" s="20">
        <f>AD14/AD22</f>
        <v>1.8949510365000637E-2</v>
      </c>
      <c r="AF14" s="25">
        <v>160</v>
      </c>
      <c r="AG14" s="20">
        <f>AF14/AF22</f>
        <v>1.8995607265819781E-2</v>
      </c>
    </row>
    <row r="15" spans="1:33" ht="31" x14ac:dyDescent="0.35">
      <c r="A15" s="23" t="s">
        <v>69</v>
      </c>
      <c r="B15" s="24">
        <v>32</v>
      </c>
      <c r="C15" s="20">
        <f t="shared" si="0"/>
        <v>1.1510791366906475E-2</v>
      </c>
      <c r="D15" s="24">
        <v>34</v>
      </c>
      <c r="E15" s="20">
        <f t="shared" si="1"/>
        <v>1.0762899651788541E-2</v>
      </c>
      <c r="F15" s="24">
        <v>24</v>
      </c>
      <c r="G15" s="20">
        <f>F15/F22</f>
        <v>6.8181818181818179E-3</v>
      </c>
      <c r="H15" s="24">
        <v>31</v>
      </c>
      <c r="I15" s="20">
        <f>H15/H22</f>
        <v>8.1215614356824738E-3</v>
      </c>
      <c r="J15" s="24">
        <v>31</v>
      </c>
      <c r="K15" s="20">
        <f>J15/J22</f>
        <v>8.1258191349934464E-3</v>
      </c>
      <c r="L15" s="25">
        <v>38</v>
      </c>
      <c r="M15" s="20">
        <f>L15/L22</f>
        <v>9.0026060175313911E-3</v>
      </c>
      <c r="N15" s="25">
        <v>23</v>
      </c>
      <c r="O15" s="20">
        <f>N15/N22</f>
        <v>5.5222088835534212E-3</v>
      </c>
      <c r="P15" s="25">
        <v>22</v>
      </c>
      <c r="Q15" s="20">
        <f>P15/P22</f>
        <v>4.6140939597315439E-3</v>
      </c>
      <c r="R15" s="25">
        <v>23</v>
      </c>
      <c r="S15" s="20">
        <f>R15/R22</f>
        <v>4.5535537517323301E-3</v>
      </c>
      <c r="T15" s="25">
        <v>21</v>
      </c>
      <c r="U15" s="20">
        <f>T15/T22</f>
        <v>3.9392234102419805E-3</v>
      </c>
      <c r="V15" s="25">
        <v>28</v>
      </c>
      <c r="W15" s="20">
        <f>V15/V22</f>
        <v>4.9356601445443328E-3</v>
      </c>
      <c r="X15" s="25">
        <v>30</v>
      </c>
      <c r="Y15" s="20">
        <f>X15/X22</f>
        <v>4.8379293662312532E-3</v>
      </c>
      <c r="Z15" s="25">
        <v>29</v>
      </c>
      <c r="AA15" s="20">
        <f>Z15/Z22</f>
        <v>4.4039483675018982E-3</v>
      </c>
      <c r="AB15" s="25">
        <v>33</v>
      </c>
      <c r="AC15" s="20">
        <f>AB15/AB22</f>
        <v>4.5504688361831221E-3</v>
      </c>
      <c r="AD15" s="25">
        <v>31</v>
      </c>
      <c r="AE15" s="20">
        <f>AD15/AD22</f>
        <v>3.9425155792954343E-3</v>
      </c>
      <c r="AF15" s="25">
        <f>12+19+4</f>
        <v>35</v>
      </c>
      <c r="AG15" s="20">
        <f>AF15/AF22</f>
        <v>4.155289089398077E-3</v>
      </c>
    </row>
    <row r="16" spans="1:33" ht="26.25" customHeight="1" x14ac:dyDescent="0.35">
      <c r="A16" s="26" t="s">
        <v>5</v>
      </c>
      <c r="B16" s="24">
        <v>98</v>
      </c>
      <c r="C16" s="20">
        <f t="shared" si="0"/>
        <v>3.5251798561151078E-2</v>
      </c>
      <c r="D16" s="24">
        <v>131</v>
      </c>
      <c r="E16" s="20">
        <f t="shared" si="1"/>
        <v>4.1468819246597025E-2</v>
      </c>
      <c r="F16" s="24">
        <v>144</v>
      </c>
      <c r="G16" s="20">
        <f>F16/F22</f>
        <v>4.0909090909090909E-2</v>
      </c>
      <c r="H16" s="24">
        <v>157</v>
      </c>
      <c r="I16" s="20">
        <f>H16/H22</f>
        <v>4.1131778883940269E-2</v>
      </c>
      <c r="J16" s="24">
        <v>124</v>
      </c>
      <c r="K16" s="20">
        <f>J16/J22</f>
        <v>3.2503276539973786E-2</v>
      </c>
      <c r="L16" s="25">
        <v>113</v>
      </c>
      <c r="M16" s="20">
        <f>L16/L22</f>
        <v>2.6770907367922293E-2</v>
      </c>
      <c r="N16" s="25">
        <v>62</v>
      </c>
      <c r="O16" s="20">
        <f>N16/N22</f>
        <v>1.48859543817527E-2</v>
      </c>
      <c r="P16" s="25">
        <v>61</v>
      </c>
      <c r="Q16" s="20">
        <f>P16/P22</f>
        <v>1.2793624161073826E-2</v>
      </c>
      <c r="R16" s="25">
        <v>57</v>
      </c>
      <c r="S16" s="20">
        <f>R16/R22</f>
        <v>1.1284894080380123E-2</v>
      </c>
      <c r="T16" s="25">
        <v>57</v>
      </c>
      <c r="U16" s="20">
        <f>T16/T22</f>
        <v>1.0692177827799663E-2</v>
      </c>
      <c r="V16" s="25">
        <v>49</v>
      </c>
      <c r="W16" s="20">
        <f>V16/V22</f>
        <v>8.6374052529525833E-3</v>
      </c>
      <c r="X16" s="25">
        <v>38</v>
      </c>
      <c r="Y16" s="20">
        <f>X16/X22</f>
        <v>6.1280438638929204E-3</v>
      </c>
      <c r="Z16" s="25">
        <v>40</v>
      </c>
      <c r="AA16" s="20">
        <f>Z16/Z22</f>
        <v>6.0744115413819289E-3</v>
      </c>
      <c r="AB16" s="25">
        <v>37</v>
      </c>
      <c r="AC16" s="20">
        <f>AB16/AB22</f>
        <v>5.1020408163265302E-3</v>
      </c>
      <c r="AD16" s="25">
        <v>33</v>
      </c>
      <c r="AE16" s="20">
        <f>AD16/AD22</f>
        <v>4.1968714231209459E-3</v>
      </c>
      <c r="AF16" s="25">
        <v>36</v>
      </c>
      <c r="AG16" s="20">
        <f>AF16/AF22</f>
        <v>4.2740116348094501E-3</v>
      </c>
    </row>
    <row r="17" spans="1:33" ht="31" x14ac:dyDescent="0.35">
      <c r="A17" s="23" t="s">
        <v>70</v>
      </c>
      <c r="B17" s="24">
        <v>22</v>
      </c>
      <c r="C17" s="20">
        <f t="shared" si="0"/>
        <v>7.9136690647482015E-3</v>
      </c>
      <c r="D17" s="24">
        <v>44</v>
      </c>
      <c r="E17" s="20">
        <f t="shared" si="1"/>
        <v>1.3928458372902817E-2</v>
      </c>
      <c r="F17" s="24">
        <v>45</v>
      </c>
      <c r="G17" s="20">
        <f>F17/F22</f>
        <v>1.278409090909091E-2</v>
      </c>
      <c r="H17" s="24">
        <v>54</v>
      </c>
      <c r="I17" s="20">
        <f>H17/H22</f>
        <v>1.414723604925334E-2</v>
      </c>
      <c r="J17" s="24">
        <v>62</v>
      </c>
      <c r="K17" s="20">
        <f>J17/J22</f>
        <v>1.6251638269986893E-2</v>
      </c>
      <c r="L17" s="25">
        <v>95</v>
      </c>
      <c r="M17" s="20">
        <f>L17/L22</f>
        <v>2.2506515043828477E-2</v>
      </c>
      <c r="N17" s="25">
        <v>69</v>
      </c>
      <c r="O17" s="20">
        <f>N17/N22</f>
        <v>1.6566626650660263E-2</v>
      </c>
      <c r="P17" s="25">
        <v>97</v>
      </c>
      <c r="Q17" s="20">
        <f>P17/P22</f>
        <v>2.0343959731543623E-2</v>
      </c>
      <c r="R17" s="25">
        <v>115</v>
      </c>
      <c r="S17" s="20">
        <f>R17/R22</f>
        <v>2.2767768758661652E-2</v>
      </c>
      <c r="T17" s="25">
        <v>133</v>
      </c>
      <c r="U17" s="20">
        <f>T17/T22</f>
        <v>2.4948414931532544E-2</v>
      </c>
      <c r="V17" s="25">
        <v>157</v>
      </c>
      <c r="W17" s="20">
        <f>V17/V22</f>
        <v>2.7674951524766438E-2</v>
      </c>
      <c r="X17" s="25">
        <v>181</v>
      </c>
      <c r="Y17" s="20">
        <f>X17/X22</f>
        <v>2.9188840509595228E-2</v>
      </c>
      <c r="Z17" s="25">
        <v>205</v>
      </c>
      <c r="AA17" s="20">
        <f>Z17/Z22</f>
        <v>3.1131359149582385E-2</v>
      </c>
      <c r="AB17" s="25">
        <v>312</v>
      </c>
      <c r="AC17" s="20">
        <f>AB17/AB22</f>
        <v>4.3022614451185881E-2</v>
      </c>
      <c r="AD17" s="25">
        <v>401</v>
      </c>
      <c r="AE17" s="20">
        <f>AD17/AD22</f>
        <v>5.0998346687015132E-2</v>
      </c>
      <c r="AF17" s="25">
        <v>435</v>
      </c>
      <c r="AG17" s="20">
        <f>AF17/AF22</f>
        <v>5.1644307253947523E-2</v>
      </c>
    </row>
    <row r="18" spans="1:33" ht="23.25" customHeight="1" x14ac:dyDescent="0.35">
      <c r="A18" s="26" t="s">
        <v>79</v>
      </c>
      <c r="B18" s="24">
        <v>434</v>
      </c>
      <c r="C18" s="20">
        <f t="shared" si="0"/>
        <v>0.15611510791366906</v>
      </c>
      <c r="D18" s="24">
        <v>549</v>
      </c>
      <c r="E18" s="20">
        <f t="shared" si="1"/>
        <v>0.1737891737891738</v>
      </c>
      <c r="F18" s="24">
        <v>665</v>
      </c>
      <c r="G18" s="20">
        <f>F18/F22</f>
        <v>0.18892045454545456</v>
      </c>
      <c r="H18" s="24">
        <v>722</v>
      </c>
      <c r="I18" s="20">
        <f>H18/H22</f>
        <v>0.18915378569557245</v>
      </c>
      <c r="J18" s="24">
        <v>606</v>
      </c>
      <c r="K18" s="20">
        <f>J18/J22</f>
        <v>0.15884665792922673</v>
      </c>
      <c r="L18" s="25">
        <v>680</v>
      </c>
      <c r="M18" s="20">
        <f>L18/L22</f>
        <v>0.16109926557687751</v>
      </c>
      <c r="N18" s="25">
        <v>597</v>
      </c>
      <c r="O18" s="20">
        <f>N18/N22</f>
        <v>0.14333733493397358</v>
      </c>
      <c r="P18" s="25">
        <v>647</v>
      </c>
      <c r="Q18" s="20">
        <f>P18/P22</f>
        <v>0.13569630872483221</v>
      </c>
      <c r="R18" s="25">
        <v>650</v>
      </c>
      <c r="S18" s="20">
        <f>R18/R22</f>
        <v>0.12868738863591367</v>
      </c>
      <c r="T18" s="25">
        <v>651</v>
      </c>
      <c r="U18" s="20">
        <f>T18/T22</f>
        <v>0.12211592571750141</v>
      </c>
      <c r="V18" s="25">
        <v>692</v>
      </c>
      <c r="W18" s="20">
        <f>V18/V22</f>
        <v>0.12198131500088137</v>
      </c>
      <c r="X18" s="25">
        <v>707</v>
      </c>
      <c r="Y18" s="20">
        <f>X18/X22</f>
        <v>0.11401386873084986</v>
      </c>
      <c r="Z18" s="25">
        <v>738</v>
      </c>
      <c r="AA18" s="20">
        <f>Z18/Z22</f>
        <v>0.11207289293849658</v>
      </c>
      <c r="AB18" s="25">
        <v>819</v>
      </c>
      <c r="AC18" s="20">
        <f>AB18/AB22</f>
        <v>0.11293436293436293</v>
      </c>
      <c r="AD18" s="25">
        <v>831</v>
      </c>
      <c r="AE18" s="20">
        <f>AD18/AD22</f>
        <v>0.1056848531095002</v>
      </c>
      <c r="AF18" s="25">
        <v>888</v>
      </c>
      <c r="AG18" s="20">
        <f>AF18/AF22</f>
        <v>0.10542562032529977</v>
      </c>
    </row>
    <row r="19" spans="1:33" ht="31.5" customHeight="1" x14ac:dyDescent="0.35">
      <c r="A19" s="23" t="s">
        <v>71</v>
      </c>
      <c r="B19" s="27">
        <v>1604</v>
      </c>
      <c r="C19" s="20">
        <f t="shared" si="0"/>
        <v>0.57697841726618704</v>
      </c>
      <c r="D19" s="27">
        <v>1822</v>
      </c>
      <c r="E19" s="20">
        <f t="shared" si="1"/>
        <v>0.57676479898702115</v>
      </c>
      <c r="F19" s="27">
        <v>2076</v>
      </c>
      <c r="G19" s="20">
        <f>F19/F22</f>
        <v>0.58977272727272723</v>
      </c>
      <c r="H19" s="27">
        <v>2336</v>
      </c>
      <c r="I19" s="20">
        <f>H19/H22</f>
        <v>0.61199895205658894</v>
      </c>
      <c r="J19" s="27">
        <v>2130</v>
      </c>
      <c r="K19" s="20">
        <f>J19/J22</f>
        <v>0.55832241153342066</v>
      </c>
      <c r="L19" s="28">
        <v>2373</v>
      </c>
      <c r="M19" s="20">
        <f>L19/L22</f>
        <v>0.56218905472636815</v>
      </c>
      <c r="N19" s="28">
        <v>2273</v>
      </c>
      <c r="O19" s="20">
        <f>N19/N22</f>
        <v>0.54573829531812723</v>
      </c>
      <c r="P19" s="28">
        <v>2495</v>
      </c>
      <c r="Q19" s="20">
        <f>P19/P22</f>
        <v>0.52328020134228193</v>
      </c>
      <c r="R19" s="28">
        <v>2532</v>
      </c>
      <c r="S19" s="20">
        <f>R19/R22</f>
        <v>0.50128687388635917</v>
      </c>
      <c r="T19" s="28">
        <v>2676</v>
      </c>
      <c r="U19" s="20">
        <f>T19/T22</f>
        <v>0.501969611705121</v>
      </c>
      <c r="V19" s="28">
        <v>2772</v>
      </c>
      <c r="W19" s="20">
        <f>V19/V22</f>
        <v>0.48863035430988894</v>
      </c>
      <c r="X19" s="28">
        <v>3020</v>
      </c>
      <c r="Y19" s="20">
        <f>X19/X22</f>
        <v>0.48701822286727947</v>
      </c>
      <c r="Z19" s="28">
        <v>3172</v>
      </c>
      <c r="AA19" s="20">
        <f>Z19/Z22</f>
        <v>0.48170083523158697</v>
      </c>
      <c r="AB19" s="28">
        <v>3379</v>
      </c>
      <c r="AC19" s="20">
        <f>AB19/AB22</f>
        <v>0.46594043022614451</v>
      </c>
      <c r="AD19" s="28">
        <v>3647</v>
      </c>
      <c r="AE19" s="20">
        <f>AD19/AD22</f>
        <v>0.46381788121582096</v>
      </c>
      <c r="AF19" s="28">
        <v>3890</v>
      </c>
      <c r="AG19" s="20">
        <f>AF19/AF22</f>
        <v>0.46183070165024337</v>
      </c>
    </row>
    <row r="20" spans="1:33" ht="25.5" customHeight="1" x14ac:dyDescent="0.35">
      <c r="A20" s="26" t="s">
        <v>80</v>
      </c>
      <c r="B20" s="27"/>
      <c r="C20" s="20"/>
      <c r="D20" s="27"/>
      <c r="E20" s="20"/>
      <c r="F20" s="27"/>
      <c r="G20" s="20"/>
      <c r="H20" s="27"/>
      <c r="I20" s="20"/>
      <c r="J20" s="27">
        <v>19</v>
      </c>
      <c r="K20" s="20">
        <f>J20/J22</f>
        <v>4.9803407601572737E-3</v>
      </c>
      <c r="L20" s="28">
        <v>41</v>
      </c>
      <c r="M20" s="20">
        <f>L20/L22</f>
        <v>9.7133380715470272E-3</v>
      </c>
      <c r="N20" s="28">
        <v>49</v>
      </c>
      <c r="O20" s="20">
        <f>N20/N22</f>
        <v>1.1764705882352941E-2</v>
      </c>
      <c r="P20" s="28">
        <v>72</v>
      </c>
      <c r="Q20" s="20">
        <f>P20/P22</f>
        <v>1.5100671140939598E-2</v>
      </c>
      <c r="R20" s="28">
        <v>69</v>
      </c>
      <c r="S20" s="20">
        <f>R20/R22</f>
        <v>1.3660661255196991E-2</v>
      </c>
      <c r="T20" s="28">
        <v>83</v>
      </c>
      <c r="U20" s="20">
        <f>T20/T22</f>
        <v>1.5569311573813544E-2</v>
      </c>
      <c r="V20" s="28">
        <v>89</v>
      </c>
      <c r="W20" s="20">
        <f>V20/V22</f>
        <v>1.5688348316587344E-2</v>
      </c>
      <c r="X20" s="28">
        <v>95</v>
      </c>
      <c r="Y20" s="20">
        <f>X20/X22</f>
        <v>1.5320109659732302E-2</v>
      </c>
      <c r="Z20" s="28">
        <v>93</v>
      </c>
      <c r="AA20" s="20">
        <f>Z20/Z22</f>
        <v>1.4123006833712985E-2</v>
      </c>
      <c r="AB20" s="28">
        <v>92</v>
      </c>
      <c r="AC20" s="20">
        <f>AB20/AB22</f>
        <v>1.26861555432984E-2</v>
      </c>
      <c r="AD20" s="28">
        <v>115</v>
      </c>
      <c r="AE20" s="20">
        <f>AD20/AD22</f>
        <v>1.4625461019966934E-2</v>
      </c>
      <c r="AF20" s="28">
        <v>128</v>
      </c>
      <c r="AG20" s="20">
        <f>AF20/AF22</f>
        <v>1.5196485812655824E-2</v>
      </c>
    </row>
    <row r="21" spans="1:33" ht="24.75" customHeight="1" thickBot="1" x14ac:dyDescent="0.4">
      <c r="A21" s="29" t="s">
        <v>82</v>
      </c>
      <c r="B21" s="24">
        <v>232</v>
      </c>
      <c r="C21" s="20">
        <f>B21/$B$22</f>
        <v>8.3453237410071948E-2</v>
      </c>
      <c r="D21" s="24">
        <v>207</v>
      </c>
      <c r="E21" s="20">
        <f>D21/$D$22</f>
        <v>6.5527065527065526E-2</v>
      </c>
      <c r="F21" s="24">
        <v>133</v>
      </c>
      <c r="G21" s="16">
        <f>F21/F22</f>
        <v>3.7784090909090906E-2</v>
      </c>
      <c r="H21" s="24">
        <v>50</v>
      </c>
      <c r="I21" s="16">
        <f>H21/H22</f>
        <v>1.3099292638197537E-2</v>
      </c>
      <c r="J21" s="24">
        <v>510</v>
      </c>
      <c r="K21" s="16">
        <f>J21/J22</f>
        <v>0.13368283093053734</v>
      </c>
      <c r="L21" s="25">
        <v>527</v>
      </c>
      <c r="M21" s="16">
        <f>L21/L22</f>
        <v>0.12485193082208007</v>
      </c>
      <c r="N21" s="25">
        <v>833</v>
      </c>
      <c r="O21" s="16">
        <f>N21/N22</f>
        <v>0.2</v>
      </c>
      <c r="P21" s="28">
        <v>1067</v>
      </c>
      <c r="Q21" s="16">
        <f>P21/P22</f>
        <v>0.22378355704697986</v>
      </c>
      <c r="R21" s="28">
        <v>1280</v>
      </c>
      <c r="S21" s="16">
        <f>R21/R22</f>
        <v>0.25341516531379926</v>
      </c>
      <c r="T21" s="28">
        <v>1399</v>
      </c>
      <c r="U21" s="16">
        <f>T21/T22</f>
        <v>0.26242731194897767</v>
      </c>
      <c r="V21" s="28">
        <v>1544</v>
      </c>
      <c r="W21" s="16">
        <f>V21/V22</f>
        <v>0.27216640225630179</v>
      </c>
      <c r="X21" s="28">
        <v>1763</v>
      </c>
      <c r="Y21" s="16">
        <f>X21/X22</f>
        <v>0.28430898242218999</v>
      </c>
      <c r="Z21" s="28">
        <v>1937</v>
      </c>
      <c r="AA21" s="16">
        <f>Z21/Z22</f>
        <v>0.2941533788914199</v>
      </c>
      <c r="AB21" s="28">
        <v>2202</v>
      </c>
      <c r="AC21" s="16">
        <f>AB21/AB22</f>
        <v>0.30364037506894648</v>
      </c>
      <c r="AD21" s="28">
        <v>2414</v>
      </c>
      <c r="AE21" s="16">
        <f>AD21/AD22</f>
        <v>0.30700750349739286</v>
      </c>
      <c r="AF21" s="28">
        <v>2580</v>
      </c>
      <c r="AG21" s="16">
        <f>AF21/AF22</f>
        <v>0.30630416716134395</v>
      </c>
    </row>
    <row r="22" spans="1:33" ht="16" thickBot="1" x14ac:dyDescent="0.4">
      <c r="A22" s="30" t="s">
        <v>7</v>
      </c>
      <c r="B22" s="31">
        <f t="shared" ref="B22:K22" si="2">SUM(B12:B21)</f>
        <v>2780</v>
      </c>
      <c r="C22" s="32">
        <f t="shared" si="2"/>
        <v>1</v>
      </c>
      <c r="D22" s="33">
        <f t="shared" si="2"/>
        <v>3159</v>
      </c>
      <c r="E22" s="34">
        <f t="shared" si="2"/>
        <v>1</v>
      </c>
      <c r="F22" s="33">
        <f t="shared" si="2"/>
        <v>3520</v>
      </c>
      <c r="G22" s="35">
        <f t="shared" si="2"/>
        <v>1</v>
      </c>
      <c r="H22" s="33">
        <f t="shared" si="2"/>
        <v>3817</v>
      </c>
      <c r="I22" s="35">
        <f t="shared" si="2"/>
        <v>1</v>
      </c>
      <c r="J22" s="33">
        <f t="shared" si="2"/>
        <v>3815</v>
      </c>
      <c r="K22" s="35">
        <f t="shared" si="2"/>
        <v>1</v>
      </c>
      <c r="L22" s="33">
        <f t="shared" ref="L22:Q22" si="3">SUM(L12:L21)</f>
        <v>4221</v>
      </c>
      <c r="M22" s="35">
        <f t="shared" si="3"/>
        <v>1</v>
      </c>
      <c r="N22" s="33">
        <f t="shared" si="3"/>
        <v>4165</v>
      </c>
      <c r="O22" s="35">
        <f t="shared" si="3"/>
        <v>1</v>
      </c>
      <c r="P22" s="33">
        <f t="shared" si="3"/>
        <v>4768</v>
      </c>
      <c r="Q22" s="35">
        <f t="shared" si="3"/>
        <v>1</v>
      </c>
      <c r="R22" s="33">
        <f t="shared" ref="R22:U22" si="4">SUM(R12:R21)</f>
        <v>5051</v>
      </c>
      <c r="S22" s="35">
        <f t="shared" si="4"/>
        <v>1</v>
      </c>
      <c r="T22" s="33">
        <f t="shared" si="4"/>
        <v>5331</v>
      </c>
      <c r="U22" s="35">
        <f t="shared" si="4"/>
        <v>1</v>
      </c>
      <c r="V22" s="33">
        <f t="shared" ref="V22:W22" si="5">SUM(V12:V21)</f>
        <v>5673</v>
      </c>
      <c r="W22" s="35">
        <f t="shared" si="5"/>
        <v>1</v>
      </c>
      <c r="X22" s="33">
        <f t="shared" ref="X22:Y22" si="6">SUM(X12:X21)</f>
        <v>6201</v>
      </c>
      <c r="Y22" s="35">
        <f t="shared" si="6"/>
        <v>1</v>
      </c>
      <c r="Z22" s="33">
        <f t="shared" ref="Z22:AA22" si="7">SUM(Z12:Z21)</f>
        <v>6585</v>
      </c>
      <c r="AA22" s="35">
        <f t="shared" si="7"/>
        <v>1</v>
      </c>
      <c r="AB22" s="33">
        <f t="shared" ref="AB22:AC22" si="8">SUM(AB12:AB21)</f>
        <v>7252</v>
      </c>
      <c r="AC22" s="35">
        <f t="shared" si="8"/>
        <v>1</v>
      </c>
      <c r="AD22" s="33">
        <f t="shared" ref="AD22:AE22" si="9">SUM(AD12:AD21)</f>
        <v>7863</v>
      </c>
      <c r="AE22" s="35">
        <f t="shared" si="9"/>
        <v>1</v>
      </c>
      <c r="AF22" s="33">
        <f t="shared" ref="AF22:AG22" si="10">SUM(AF12:AF21)</f>
        <v>8423</v>
      </c>
      <c r="AG22" s="35">
        <f t="shared" si="10"/>
        <v>1</v>
      </c>
    </row>
    <row r="23" spans="1:33" ht="8.25" customHeight="1" x14ac:dyDescent="0.35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22"/>
      <c r="S23" s="9"/>
    </row>
    <row r="24" spans="1:33" x14ac:dyDescent="0.35">
      <c r="A24" s="36" t="s">
        <v>81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33" x14ac:dyDescent="0.35">
      <c r="A25" s="36" t="s">
        <v>83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33" x14ac:dyDescent="0.35">
      <c r="A26" s="36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33" s="7" customFormat="1" x14ac:dyDescent="0.35">
      <c r="A27" s="11"/>
      <c r="B27" s="9"/>
      <c r="C27" s="9"/>
      <c r="D27" s="9"/>
      <c r="E27" s="9"/>
      <c r="F27" s="9"/>
      <c r="G27" s="9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37"/>
      <c r="S27" s="37"/>
    </row>
    <row r="28" spans="1:33" ht="21" x14ac:dyDescent="0.5">
      <c r="A28" s="55" t="s">
        <v>20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33" ht="16" thickBot="1" x14ac:dyDescent="0.4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33" ht="16" thickBot="1" x14ac:dyDescent="0.4">
      <c r="A30" s="9"/>
      <c r="B30" s="161" t="s">
        <v>35</v>
      </c>
      <c r="C30" s="162"/>
      <c r="D30" s="161" t="s">
        <v>53</v>
      </c>
      <c r="E30" s="162"/>
      <c r="F30" s="161" t="s">
        <v>54</v>
      </c>
      <c r="G30" s="162"/>
      <c r="H30" s="161" t="s">
        <v>55</v>
      </c>
      <c r="I30" s="162"/>
      <c r="J30" s="161" t="s">
        <v>56</v>
      </c>
      <c r="K30" s="162"/>
      <c r="L30" s="161" t="s">
        <v>66</v>
      </c>
      <c r="M30" s="162"/>
      <c r="N30" s="161" t="s">
        <v>86</v>
      </c>
      <c r="O30" s="162"/>
      <c r="P30" s="161" t="s">
        <v>88</v>
      </c>
      <c r="Q30" s="162"/>
      <c r="R30" s="161" t="s">
        <v>92</v>
      </c>
      <c r="S30" s="162"/>
      <c r="T30" s="161" t="s">
        <v>93</v>
      </c>
      <c r="U30" s="162"/>
      <c r="V30" s="161" t="s">
        <v>94</v>
      </c>
      <c r="W30" s="162"/>
      <c r="X30" s="161" t="s">
        <v>103</v>
      </c>
      <c r="Y30" s="162"/>
      <c r="Z30" s="161" t="s">
        <v>104</v>
      </c>
      <c r="AA30" s="162"/>
      <c r="AB30" s="161" t="s">
        <v>105</v>
      </c>
      <c r="AC30" s="162"/>
      <c r="AD30" s="161" t="s">
        <v>106</v>
      </c>
      <c r="AE30" s="162"/>
      <c r="AF30" s="161" t="s">
        <v>112</v>
      </c>
      <c r="AG30" s="162"/>
    </row>
    <row r="31" spans="1:33" x14ac:dyDescent="0.35">
      <c r="A31" s="135" t="s">
        <v>107</v>
      </c>
      <c r="B31" s="38">
        <v>272</v>
      </c>
      <c r="C31" s="16">
        <f>B31/875</f>
        <v>0.31085714285714283</v>
      </c>
      <c r="D31" s="38">
        <v>236</v>
      </c>
      <c r="E31" s="16">
        <f>D31/836</f>
        <v>0.28229665071770332</v>
      </c>
      <c r="F31" s="38">
        <v>230</v>
      </c>
      <c r="G31" s="16">
        <f>F31/797</f>
        <v>0.28858218318695106</v>
      </c>
      <c r="H31" s="38">
        <v>204</v>
      </c>
      <c r="I31" s="16">
        <f>H31/866</f>
        <v>0.23556581986143188</v>
      </c>
      <c r="J31" s="38">
        <v>173</v>
      </c>
      <c r="K31" s="16">
        <f>J31/901</f>
        <v>0.19200887902330743</v>
      </c>
      <c r="L31" s="38">
        <v>202</v>
      </c>
      <c r="M31" s="39">
        <f>L31/968</f>
        <v>0.20867768595041322</v>
      </c>
      <c r="N31" s="38">
        <v>184</v>
      </c>
      <c r="O31" s="39">
        <f>N31/1033</f>
        <v>0.1781219748305905</v>
      </c>
      <c r="P31" s="38">
        <v>218</v>
      </c>
      <c r="Q31" s="39">
        <f>P31/1055</f>
        <v>0.20663507109004739</v>
      </c>
      <c r="R31" s="38">
        <v>225</v>
      </c>
      <c r="S31" s="39">
        <v>0.20499999999999999</v>
      </c>
      <c r="T31" s="38">
        <v>236</v>
      </c>
      <c r="U31" s="39">
        <v>0.20799999999999999</v>
      </c>
      <c r="V31" s="38">
        <v>257</v>
      </c>
      <c r="W31" s="39">
        <f>V31/1164</f>
        <v>0.22079037800687284</v>
      </c>
      <c r="X31" s="38">
        <v>281</v>
      </c>
      <c r="Y31" s="39">
        <f>X31/1164</f>
        <v>0.24140893470790378</v>
      </c>
      <c r="Z31" s="38">
        <v>270</v>
      </c>
      <c r="AA31" s="39">
        <f>Z31/1164</f>
        <v>0.23195876288659795</v>
      </c>
      <c r="AB31" s="38">
        <v>290</v>
      </c>
      <c r="AC31" s="39">
        <f>AB31/1164</f>
        <v>0.24914089347079038</v>
      </c>
      <c r="AD31" s="38">
        <v>297</v>
      </c>
      <c r="AE31" s="39">
        <f>AD31/1164</f>
        <v>0.25515463917525771</v>
      </c>
      <c r="AF31" s="38">
        <v>318</v>
      </c>
      <c r="AG31" s="39">
        <f>AF31/1641</f>
        <v>0.19378427787934185</v>
      </c>
    </row>
    <row r="32" spans="1:33" x14ac:dyDescent="0.35">
      <c r="A32" s="26" t="s">
        <v>108</v>
      </c>
      <c r="B32" s="40">
        <v>1218</v>
      </c>
      <c r="C32" s="16">
        <f>B32/11900</f>
        <v>0.10235294117647059</v>
      </c>
      <c r="D32" s="40">
        <v>1349</v>
      </c>
      <c r="E32" s="16">
        <f>D32/11700</f>
        <v>0.1152991452991453</v>
      </c>
      <c r="F32" s="40">
        <v>1452</v>
      </c>
      <c r="G32" s="16">
        <f>F32/11659</f>
        <v>0.12453898276009949</v>
      </c>
      <c r="H32" s="40">
        <v>1546</v>
      </c>
      <c r="I32" s="16">
        <f>H32/11678</f>
        <v>0.1323856824798767</v>
      </c>
      <c r="J32" s="40">
        <v>1490</v>
      </c>
      <c r="K32" s="16">
        <f>J32/11764</f>
        <v>0.12665759945596736</v>
      </c>
      <c r="L32" s="40">
        <v>1677</v>
      </c>
      <c r="M32" s="39">
        <f>L32/12080</f>
        <v>0.13882450331125828</v>
      </c>
      <c r="N32" s="40">
        <v>1642</v>
      </c>
      <c r="O32" s="39">
        <f>N32/12293</f>
        <v>0.13357195151712356</v>
      </c>
      <c r="P32" s="40">
        <v>1779</v>
      </c>
      <c r="Q32" s="39">
        <f>P32/12238</f>
        <v>0.14536689001470829</v>
      </c>
      <c r="R32" s="40">
        <v>1836</v>
      </c>
      <c r="S32" s="39">
        <v>0.15</v>
      </c>
      <c r="T32" s="40">
        <v>1919</v>
      </c>
      <c r="U32" s="39">
        <v>0.158</v>
      </c>
      <c r="V32" s="40">
        <v>1988</v>
      </c>
      <c r="W32" s="39">
        <f>V32/12130</f>
        <v>0.16389117889530092</v>
      </c>
      <c r="X32" s="40">
        <v>2168</v>
      </c>
      <c r="Y32" s="39">
        <f>X32/12130</f>
        <v>0.17873042044517726</v>
      </c>
      <c r="Z32" s="40">
        <v>2243</v>
      </c>
      <c r="AA32" s="39">
        <f>Z32/12130</f>
        <v>0.18491343775762573</v>
      </c>
      <c r="AB32" s="38">
        <v>2373</v>
      </c>
      <c r="AC32" s="39">
        <f>AB32/12130</f>
        <v>0.19563066776586974</v>
      </c>
      <c r="AD32" s="38">
        <v>2545</v>
      </c>
      <c r="AE32" s="39">
        <f>AD32/12130</f>
        <v>0.20981038746908492</v>
      </c>
      <c r="AF32" s="38">
        <v>2756</v>
      </c>
      <c r="AG32" s="39">
        <f>AF32/14681</f>
        <v>0.18772563176895307</v>
      </c>
    </row>
    <row r="33" spans="1:33" x14ac:dyDescent="0.35">
      <c r="A33" s="26" t="s">
        <v>109</v>
      </c>
      <c r="B33" s="41">
        <v>763</v>
      </c>
      <c r="C33" s="16">
        <f>B33/30688</f>
        <v>2.4863138686131388E-2</v>
      </c>
      <c r="D33" s="41">
        <v>954</v>
      </c>
      <c r="E33" s="16">
        <f>D33/30542</f>
        <v>3.1235675463296444E-2</v>
      </c>
      <c r="F33" s="40">
        <v>1143</v>
      </c>
      <c r="G33" s="16">
        <f>F33/30366</f>
        <v>3.764078245406046E-2</v>
      </c>
      <c r="H33" s="40">
        <v>1328</v>
      </c>
      <c r="I33" s="16">
        <f>H33/30475</f>
        <v>4.357670221493027E-2</v>
      </c>
      <c r="J33" s="40">
        <v>1408</v>
      </c>
      <c r="K33" s="16">
        <f>J33/30433</f>
        <v>4.6265566983209015E-2</v>
      </c>
      <c r="L33" s="40">
        <v>1588</v>
      </c>
      <c r="M33" s="39">
        <f>L33/30820</f>
        <v>5.1524983776768334E-2</v>
      </c>
      <c r="N33" s="40">
        <v>1620</v>
      </c>
      <c r="O33" s="39">
        <f>N33/30797</f>
        <v>5.2602526220086369E-2</v>
      </c>
      <c r="P33" s="40">
        <v>1876</v>
      </c>
      <c r="Q33" s="39">
        <f>P33/30787</f>
        <v>6.0934810147140028E-2</v>
      </c>
      <c r="R33" s="40">
        <v>1978</v>
      </c>
      <c r="S33" s="39">
        <v>6.5000000000000002E-2</v>
      </c>
      <c r="T33" s="40">
        <v>2149</v>
      </c>
      <c r="U33" s="39">
        <v>7.0999999999999994E-2</v>
      </c>
      <c r="V33" s="40">
        <v>2291</v>
      </c>
      <c r="W33" s="39">
        <f>V33/30966</f>
        <v>7.3984369954143259E-2</v>
      </c>
      <c r="X33" s="40">
        <v>2482</v>
      </c>
      <c r="Y33" s="39">
        <f>X33/30966</f>
        <v>8.0152425240586453E-2</v>
      </c>
      <c r="Z33" s="40">
        <v>2715</v>
      </c>
      <c r="AA33" s="39">
        <f>Z33/30966</f>
        <v>8.7676806820383646E-2</v>
      </c>
      <c r="AB33" s="38">
        <v>3052</v>
      </c>
      <c r="AC33" s="39">
        <f>AB33/30966</f>
        <v>9.855971065039075E-2</v>
      </c>
      <c r="AD33" s="38">
        <v>3394</v>
      </c>
      <c r="AE33" s="39">
        <f>AD33/30966</f>
        <v>0.10960408189627333</v>
      </c>
      <c r="AF33" s="38">
        <v>3610</v>
      </c>
      <c r="AG33" s="39">
        <f>AF33/36926</f>
        <v>9.7763093755077718E-2</v>
      </c>
    </row>
    <row r="34" spans="1:33" x14ac:dyDescent="0.35">
      <c r="A34" s="26" t="s">
        <v>110</v>
      </c>
      <c r="B34" s="41">
        <v>379</v>
      </c>
      <c r="C34" s="16">
        <f>B34/32432</f>
        <v>1.1685989146521953E-2</v>
      </c>
      <c r="D34" s="41">
        <v>458</v>
      </c>
      <c r="E34" s="16">
        <f>D34/31267</f>
        <v>1.4648031470879841E-2</v>
      </c>
      <c r="F34" s="41">
        <v>505</v>
      </c>
      <c r="G34" s="16">
        <f>F34/30324</f>
        <v>1.6653475794750034E-2</v>
      </c>
      <c r="H34" s="41">
        <v>550</v>
      </c>
      <c r="I34" s="16">
        <f>H34/28789</f>
        <v>1.9104519087151342E-2</v>
      </c>
      <c r="J34" s="41">
        <v>565</v>
      </c>
      <c r="K34" s="16">
        <f>J34/27686</f>
        <v>2.0407426135953189E-2</v>
      </c>
      <c r="L34" s="41">
        <v>593</v>
      </c>
      <c r="M34" s="39">
        <f>L34/27230</f>
        <v>2.1777451340433344E-2</v>
      </c>
      <c r="N34" s="41">
        <v>568</v>
      </c>
      <c r="O34" s="39">
        <f>N34/25912</f>
        <v>2.1920345785736338E-2</v>
      </c>
      <c r="P34" s="41">
        <v>667</v>
      </c>
      <c r="Q34" s="39">
        <f>P34/25477</f>
        <v>2.6180476508223104E-2</v>
      </c>
      <c r="R34" s="41">
        <v>761</v>
      </c>
      <c r="S34" s="39">
        <v>0.03</v>
      </c>
      <c r="T34" s="41">
        <v>798</v>
      </c>
      <c r="U34" s="39">
        <v>3.2000000000000001E-2</v>
      </c>
      <c r="V34" s="41">
        <v>887</v>
      </c>
      <c r="W34" s="39">
        <f>V34/25773</f>
        <v>3.4415861560547857E-2</v>
      </c>
      <c r="X34" s="41">
        <v>966</v>
      </c>
      <c r="Y34" s="39">
        <f>X34/25773</f>
        <v>3.7481084856244906E-2</v>
      </c>
      <c r="Z34" s="41">
        <v>1089</v>
      </c>
      <c r="AA34" s="39">
        <f>Z34/25773</f>
        <v>4.2253521126760563E-2</v>
      </c>
      <c r="AB34" s="38">
        <v>1258</v>
      </c>
      <c r="AC34" s="39">
        <f>AB34/25773</f>
        <v>4.8810770961859311E-2</v>
      </c>
      <c r="AD34" s="38">
        <v>1355</v>
      </c>
      <c r="AE34" s="39">
        <f>AD34/25773</f>
        <v>5.2574399565436698E-2</v>
      </c>
      <c r="AF34" s="38">
        <v>1445</v>
      </c>
      <c r="AG34" s="39">
        <f>AF34/29586</f>
        <v>4.8840667883458394E-2</v>
      </c>
    </row>
    <row r="35" spans="1:33" x14ac:dyDescent="0.35">
      <c r="A35" s="26" t="s">
        <v>111</v>
      </c>
      <c r="B35" s="41">
        <v>144</v>
      </c>
      <c r="C35" s="16">
        <f>B35/4839</f>
        <v>2.9758214507129573E-2</v>
      </c>
      <c r="D35" s="41">
        <v>160</v>
      </c>
      <c r="E35" s="16">
        <f>D35/4386</f>
        <v>3.6479708162334701E-2</v>
      </c>
      <c r="F35" s="41">
        <v>180</v>
      </c>
      <c r="G35" s="16">
        <f>F35/3955</f>
        <v>4.5512010113780026E-2</v>
      </c>
      <c r="H35" s="41">
        <v>185</v>
      </c>
      <c r="I35" s="16">
        <f>H35/3823</f>
        <v>4.8391315720638241E-2</v>
      </c>
      <c r="J35" s="41">
        <v>174</v>
      </c>
      <c r="K35" s="16">
        <f>J35/3655</f>
        <v>4.7606019151846785E-2</v>
      </c>
      <c r="L35" s="41">
        <v>155</v>
      </c>
      <c r="M35" s="39">
        <f>L35/3486</f>
        <v>4.4463568559954099E-2</v>
      </c>
      <c r="N35" s="41">
        <v>137</v>
      </c>
      <c r="O35" s="39">
        <f>N35/3368</f>
        <v>4.0676959619952491E-2</v>
      </c>
      <c r="P35" s="41">
        <v>219</v>
      </c>
      <c r="Q35" s="39">
        <f>P35/3382</f>
        <v>6.4754583086930814E-2</v>
      </c>
      <c r="R35" s="41">
        <v>240</v>
      </c>
      <c r="S35" s="39">
        <v>6.9000000000000006E-2</v>
      </c>
      <c r="T35" s="41">
        <v>223</v>
      </c>
      <c r="U35" s="39">
        <v>6.3E-2</v>
      </c>
      <c r="V35" s="41">
        <v>243</v>
      </c>
      <c r="W35" s="39">
        <f>V35/3830</f>
        <v>6.3446475195822458E-2</v>
      </c>
      <c r="X35" s="41">
        <v>298</v>
      </c>
      <c r="Y35" s="39">
        <f>X35/3830</f>
        <v>7.7806788511749353E-2</v>
      </c>
      <c r="Z35" s="41">
        <v>267</v>
      </c>
      <c r="AA35" s="39">
        <f>Z35/3830</f>
        <v>6.9712793733681458E-2</v>
      </c>
      <c r="AB35" s="38">
        <v>277</v>
      </c>
      <c r="AC35" s="39">
        <f>AB35/3830</f>
        <v>7.232375979112271E-2</v>
      </c>
      <c r="AD35" s="38">
        <v>270</v>
      </c>
      <c r="AE35" s="39">
        <f>AD35/3830</f>
        <v>7.0496083550913843E-2</v>
      </c>
      <c r="AF35" s="38">
        <v>293</v>
      </c>
      <c r="AG35" s="39">
        <f>AF35/3627</f>
        <v>8.0783016266887234E-2</v>
      </c>
    </row>
    <row r="36" spans="1:33" x14ac:dyDescent="0.35">
      <c r="A36" s="26" t="s">
        <v>6</v>
      </c>
      <c r="B36" s="41">
        <v>4</v>
      </c>
      <c r="C36" s="16">
        <f>B36/1083</f>
        <v>3.6934441366574329E-3</v>
      </c>
      <c r="D36" s="41">
        <v>2</v>
      </c>
      <c r="E36" s="16">
        <f>D36/759</f>
        <v>2.635046113306983E-3</v>
      </c>
      <c r="F36" s="41">
        <v>10</v>
      </c>
      <c r="G36" s="16">
        <f>F36/713</f>
        <v>1.4025245441795231E-2</v>
      </c>
      <c r="H36" s="41">
        <v>4</v>
      </c>
      <c r="I36" s="16">
        <f>H36/666</f>
        <v>6.006006006006006E-3</v>
      </c>
      <c r="J36" s="41">
        <v>5</v>
      </c>
      <c r="K36" s="16">
        <f>J36/527</f>
        <v>9.4876660341555973E-3</v>
      </c>
      <c r="L36" s="41">
        <v>3</v>
      </c>
      <c r="M36" s="39">
        <f>L36/394</f>
        <v>7.6142131979695434E-3</v>
      </c>
      <c r="N36" s="41">
        <v>6</v>
      </c>
      <c r="O36" s="39">
        <f>N36/374</f>
        <v>1.6042780748663103E-2</v>
      </c>
      <c r="P36" s="41">
        <v>8</v>
      </c>
      <c r="Q36" s="39">
        <f>P36/372</f>
        <v>2.1505376344086023E-2</v>
      </c>
      <c r="R36" s="41">
        <v>11</v>
      </c>
      <c r="S36" s="39">
        <v>3.4000000000000002E-2</v>
      </c>
      <c r="T36" s="41">
        <v>6</v>
      </c>
      <c r="U36" s="39">
        <v>2.1999999999999999E-2</v>
      </c>
      <c r="V36" s="41">
        <v>6</v>
      </c>
      <c r="W36" s="39">
        <f>V36/220</f>
        <v>2.7272727272727271E-2</v>
      </c>
      <c r="X36" s="41">
        <v>5</v>
      </c>
      <c r="Y36" s="39">
        <f>X36/220</f>
        <v>2.2727272727272728E-2</v>
      </c>
      <c r="Z36" s="41">
        <v>1</v>
      </c>
      <c r="AA36" s="39">
        <f>Z36/220</f>
        <v>4.5454545454545452E-3</v>
      </c>
      <c r="AB36" s="38">
        <v>2</v>
      </c>
      <c r="AC36" s="39">
        <f>AB36/220</f>
        <v>9.0909090909090905E-3</v>
      </c>
      <c r="AD36" s="38">
        <v>2</v>
      </c>
      <c r="AE36" s="39">
        <f>AD36/220</f>
        <v>9.0909090909090905E-3</v>
      </c>
      <c r="AF36" s="38">
        <v>1</v>
      </c>
      <c r="AG36" s="39">
        <f>AF36/209</f>
        <v>4.7846889952153108E-3</v>
      </c>
    </row>
    <row r="37" spans="1:33" ht="16" thickBot="1" x14ac:dyDescent="0.4">
      <c r="A37" s="136" t="s">
        <v>75</v>
      </c>
      <c r="B37" s="42"/>
      <c r="C37" s="43"/>
      <c r="D37" s="44"/>
      <c r="E37" s="43"/>
      <c r="F37" s="44"/>
      <c r="G37" s="43"/>
      <c r="H37" s="44"/>
      <c r="I37" s="43"/>
      <c r="J37" s="44"/>
      <c r="K37" s="43"/>
      <c r="L37" s="44">
        <v>3</v>
      </c>
      <c r="M37" s="39">
        <f>L37/271</f>
        <v>1.107011070110701E-2</v>
      </c>
      <c r="N37" s="44">
        <v>8</v>
      </c>
      <c r="O37" s="39">
        <f>N37/233</f>
        <v>3.4334763948497854E-2</v>
      </c>
      <c r="P37" s="44">
        <v>1</v>
      </c>
      <c r="Q37" s="39">
        <f>P37/213</f>
        <v>4.6948356807511738E-3</v>
      </c>
      <c r="R37" s="44">
        <v>0</v>
      </c>
      <c r="S37" s="39">
        <f>R37/213</f>
        <v>0</v>
      </c>
      <c r="T37" s="44">
        <v>0</v>
      </c>
      <c r="U37" s="39">
        <f>T37/213</f>
        <v>0</v>
      </c>
      <c r="V37" s="44">
        <v>1</v>
      </c>
      <c r="W37" s="39">
        <f>V37/146</f>
        <v>6.8493150684931503E-3</v>
      </c>
      <c r="X37" s="44">
        <v>1</v>
      </c>
      <c r="Y37" s="39">
        <f>X37/146</f>
        <v>6.8493150684931503E-3</v>
      </c>
      <c r="Z37" s="44">
        <v>0</v>
      </c>
      <c r="AA37" s="39">
        <f>Z37/146</f>
        <v>0</v>
      </c>
      <c r="AB37" s="38">
        <v>0</v>
      </c>
      <c r="AC37" s="39">
        <f>AB37/146</f>
        <v>0</v>
      </c>
      <c r="AD37" s="38">
        <v>0</v>
      </c>
      <c r="AE37" s="39">
        <f>AD37/146</f>
        <v>0</v>
      </c>
      <c r="AF37" s="38">
        <v>0</v>
      </c>
      <c r="AG37" s="39">
        <v>0</v>
      </c>
    </row>
    <row r="38" spans="1:33" ht="16" thickBot="1" x14ac:dyDescent="0.4">
      <c r="A38" s="45" t="s">
        <v>7</v>
      </c>
      <c r="B38" s="33">
        <f>SUM(B31:B37)</f>
        <v>2780</v>
      </c>
      <c r="C38" s="46">
        <f>B38/82246</f>
        <v>3.3801035916640326E-2</v>
      </c>
      <c r="D38" s="33">
        <f>SUM(D31:D37)</f>
        <v>3159</v>
      </c>
      <c r="E38" s="46">
        <f>D38/79803</f>
        <v>3.9584978008345553E-2</v>
      </c>
      <c r="F38" s="33">
        <f>SUM(F31:F37)</f>
        <v>3520</v>
      </c>
      <c r="G38" s="46">
        <f>F38/77814</f>
        <v>4.5236075770426917E-2</v>
      </c>
      <c r="H38" s="33">
        <f>SUM(H31:H37)</f>
        <v>3817</v>
      </c>
      <c r="I38" s="46">
        <f>H38/76297</f>
        <v>5.0028179351743841E-2</v>
      </c>
      <c r="J38" s="33">
        <f>SUM(J31:J37)</f>
        <v>3815</v>
      </c>
      <c r="K38" s="46">
        <f>J38/75329</f>
        <v>5.06445060999084E-2</v>
      </c>
      <c r="L38" s="33">
        <f>SUM(L31:L37)</f>
        <v>4221</v>
      </c>
      <c r="M38" s="46">
        <f>L38/75249</f>
        <v>5.6093768687955986E-2</v>
      </c>
      <c r="N38" s="33">
        <f>SUM(N31:N37)</f>
        <v>4165</v>
      </c>
      <c r="O38" s="46">
        <f>N38/74010</f>
        <v>5.6276178894743956E-2</v>
      </c>
      <c r="P38" s="33">
        <f>SUM(P31:P37)</f>
        <v>4768</v>
      </c>
      <c r="Q38" s="46">
        <f>P38/73569</f>
        <v>6.4809906346423085E-2</v>
      </c>
      <c r="R38" s="33">
        <f>SUM(R31:R37)</f>
        <v>5051</v>
      </c>
      <c r="S38" s="46">
        <v>6.9000000000000006E-2</v>
      </c>
      <c r="T38" s="33">
        <f>SUM(T31:T37)</f>
        <v>5331</v>
      </c>
      <c r="U38" s="46">
        <v>7.2999999999999995E-2</v>
      </c>
      <c r="V38" s="33">
        <f>SUM(V31:V37)</f>
        <v>5673</v>
      </c>
      <c r="W38" s="46">
        <f>V38/74229</f>
        <v>7.6425655741017659E-2</v>
      </c>
      <c r="X38" s="33">
        <f>SUM(X31:X37)</f>
        <v>6201</v>
      </c>
      <c r="Y38" s="46">
        <f>X38/74229</f>
        <v>8.35387786444651E-2</v>
      </c>
      <c r="Z38" s="33">
        <f>SUM(Z31:Z37)</f>
        <v>6585</v>
      </c>
      <c r="AA38" s="46">
        <f>Z38/74229</f>
        <v>8.8711958937881419E-2</v>
      </c>
      <c r="AB38" s="33">
        <f>SUM(AB31:AB37)</f>
        <v>7252</v>
      </c>
      <c r="AC38" s="46">
        <f>AB38/74229</f>
        <v>9.7697665332956124E-2</v>
      </c>
      <c r="AD38" s="33">
        <f>SUM(AD31:AD37)</f>
        <v>7863</v>
      </c>
      <c r="AE38" s="46">
        <f>AD38/74229</f>
        <v>0.10592894960190762</v>
      </c>
      <c r="AF38" s="33">
        <f>SUM(AF31:AF37)</f>
        <v>8423</v>
      </c>
      <c r="AG38" s="153">
        <f>AF38/86759</f>
        <v>9.7085028642561577E-2</v>
      </c>
    </row>
    <row r="39" spans="1:33" x14ac:dyDescent="0.35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44"/>
      <c r="T39" s="141"/>
      <c r="U39" s="141"/>
      <c r="W39"/>
    </row>
    <row r="40" spans="1:33" x14ac:dyDescent="0.35">
      <c r="A40" s="1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33" x14ac:dyDescent="0.35">
      <c r="A41" s="1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33" x14ac:dyDescent="0.3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33" ht="21" x14ac:dyDescent="0.5">
      <c r="A43" s="174" t="s">
        <v>67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7"/>
      <c r="S43" s="177"/>
    </row>
    <row r="44" spans="1:33" ht="21" x14ac:dyDescent="0.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47"/>
      <c r="S44" s="47"/>
    </row>
    <row r="45" spans="1:33" ht="16" thickBot="1" x14ac:dyDescent="0.4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33" ht="16" thickBot="1" x14ac:dyDescent="0.4">
      <c r="A46" s="11"/>
      <c r="B46" s="161" t="s">
        <v>35</v>
      </c>
      <c r="C46" s="162"/>
      <c r="D46" s="161" t="s">
        <v>53</v>
      </c>
      <c r="E46" s="162"/>
      <c r="F46" s="161" t="s">
        <v>54</v>
      </c>
      <c r="G46" s="162"/>
      <c r="H46" s="161" t="s">
        <v>55</v>
      </c>
      <c r="I46" s="162"/>
      <c r="J46" s="161" t="s">
        <v>56</v>
      </c>
      <c r="K46" s="162"/>
      <c r="L46" s="161" t="s">
        <v>66</v>
      </c>
      <c r="M46" s="162"/>
      <c r="N46" s="161" t="s">
        <v>86</v>
      </c>
      <c r="O46" s="162"/>
      <c r="P46" s="161" t="s">
        <v>88</v>
      </c>
      <c r="Q46" s="162"/>
      <c r="R46" s="161" t="s">
        <v>92</v>
      </c>
      <c r="S46" s="162"/>
      <c r="T46" s="161" t="s">
        <v>93</v>
      </c>
      <c r="U46" s="162"/>
      <c r="V46" s="161" t="s">
        <v>94</v>
      </c>
      <c r="W46" s="162"/>
      <c r="X46" s="161" t="s">
        <v>103</v>
      </c>
      <c r="Y46" s="162"/>
      <c r="Z46" s="161" t="s">
        <v>104</v>
      </c>
      <c r="AA46" s="162"/>
      <c r="AB46" s="161" t="s">
        <v>105</v>
      </c>
      <c r="AC46" s="162"/>
      <c r="AD46" s="161" t="s">
        <v>106</v>
      </c>
      <c r="AE46" s="162"/>
      <c r="AF46" s="161" t="s">
        <v>112</v>
      </c>
      <c r="AG46" s="162"/>
    </row>
    <row r="47" spans="1:33" x14ac:dyDescent="0.35">
      <c r="A47" s="11"/>
      <c r="B47" s="163">
        <v>59</v>
      </c>
      <c r="C47" s="164"/>
      <c r="D47" s="163">
        <v>67</v>
      </c>
      <c r="E47" s="164"/>
      <c r="F47" s="163">
        <v>70</v>
      </c>
      <c r="G47" s="164"/>
      <c r="H47" s="163">
        <v>61</v>
      </c>
      <c r="I47" s="164"/>
      <c r="J47" s="163">
        <v>59</v>
      </c>
      <c r="K47" s="164"/>
      <c r="L47" s="163">
        <v>48</v>
      </c>
      <c r="M47" s="164"/>
      <c r="N47" s="163">
        <v>49</v>
      </c>
      <c r="O47" s="164"/>
      <c r="P47" s="163">
        <v>50</v>
      </c>
      <c r="Q47" s="164"/>
      <c r="R47" s="163">
        <v>52</v>
      </c>
      <c r="S47" s="164"/>
      <c r="T47" s="163">
        <v>55</v>
      </c>
      <c r="U47" s="164"/>
      <c r="V47" s="163">
        <v>49</v>
      </c>
      <c r="W47" s="164"/>
      <c r="X47" s="163">
        <v>43</v>
      </c>
      <c r="Y47" s="164"/>
      <c r="Z47" s="163">
        <v>48</v>
      </c>
      <c r="AA47" s="164"/>
      <c r="AB47" s="163">
        <v>49</v>
      </c>
      <c r="AC47" s="164"/>
      <c r="AD47" s="163">
        <v>50</v>
      </c>
      <c r="AE47" s="164"/>
      <c r="AF47" s="163">
        <v>42</v>
      </c>
      <c r="AG47" s="164"/>
    </row>
    <row r="48" spans="1:33" x14ac:dyDescent="0.35">
      <c r="A48" s="11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9"/>
      <c r="O48" s="9"/>
      <c r="P48" s="9"/>
      <c r="Q48" s="9"/>
      <c r="R48" s="9"/>
      <c r="S48" s="9"/>
    </row>
    <row r="49" spans="1:35" x14ac:dyDescent="0.35">
      <c r="A49" s="11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9"/>
      <c r="O49" s="9"/>
      <c r="P49" s="9"/>
      <c r="Q49" s="9"/>
      <c r="R49" s="9"/>
      <c r="S49" s="9"/>
    </row>
    <row r="50" spans="1:35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35" ht="21" x14ac:dyDescent="0.5">
      <c r="A51" s="174" t="s">
        <v>84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</row>
    <row r="52" spans="1:35" x14ac:dyDescent="0.35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35" ht="16" thickBot="1" x14ac:dyDescent="0.4">
      <c r="A53" s="9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35" ht="16.5" customHeight="1" thickBot="1" x14ac:dyDescent="0.4">
      <c r="A54" s="140" t="s">
        <v>52</v>
      </c>
      <c r="B54" s="169" t="s">
        <v>9</v>
      </c>
      <c r="C54" s="170"/>
      <c r="D54" s="173" t="s">
        <v>35</v>
      </c>
      <c r="E54" s="166"/>
      <c r="F54" s="165" t="s">
        <v>53</v>
      </c>
      <c r="G54" s="173"/>
      <c r="H54" s="165" t="s">
        <v>54</v>
      </c>
      <c r="I54" s="166"/>
      <c r="J54" s="165" t="s">
        <v>55</v>
      </c>
      <c r="K54" s="173"/>
      <c r="L54" s="165" t="s">
        <v>56</v>
      </c>
      <c r="M54" s="173"/>
      <c r="N54" s="165" t="s">
        <v>66</v>
      </c>
      <c r="O54" s="166"/>
      <c r="P54" s="165" t="s">
        <v>86</v>
      </c>
      <c r="Q54" s="166"/>
      <c r="R54" s="165" t="s">
        <v>88</v>
      </c>
      <c r="S54" s="166"/>
      <c r="T54" s="165" t="s">
        <v>92</v>
      </c>
      <c r="U54" s="166"/>
      <c r="V54" s="165" t="s">
        <v>93</v>
      </c>
      <c r="W54" s="166"/>
      <c r="X54" s="165" t="s">
        <v>94</v>
      </c>
      <c r="Y54" s="166"/>
      <c r="Z54" s="165" t="s">
        <v>103</v>
      </c>
      <c r="AA54" s="166"/>
      <c r="AB54" s="165" t="s">
        <v>104</v>
      </c>
      <c r="AC54" s="166"/>
      <c r="AD54" s="165" t="s">
        <v>105</v>
      </c>
      <c r="AE54" s="166"/>
      <c r="AF54" s="165" t="s">
        <v>106</v>
      </c>
      <c r="AG54" s="166"/>
      <c r="AH54" s="165" t="s">
        <v>112</v>
      </c>
      <c r="AI54" s="166"/>
    </row>
    <row r="55" spans="1:35" ht="24.5" thickBot="1" x14ac:dyDescent="0.4">
      <c r="A55" s="137"/>
      <c r="B55" s="171"/>
      <c r="C55" s="172"/>
      <c r="D55" s="57" t="s">
        <v>21</v>
      </c>
      <c r="E55" s="62" t="s">
        <v>22</v>
      </c>
      <c r="F55" s="61" t="s">
        <v>21</v>
      </c>
      <c r="G55" s="67" t="s">
        <v>22</v>
      </c>
      <c r="H55" s="61" t="s">
        <v>21</v>
      </c>
      <c r="I55" s="62" t="s">
        <v>22</v>
      </c>
      <c r="J55" s="61" t="s">
        <v>21</v>
      </c>
      <c r="K55" s="67" t="s">
        <v>22</v>
      </c>
      <c r="L55" s="61" t="s">
        <v>21</v>
      </c>
      <c r="M55" s="67" t="s">
        <v>22</v>
      </c>
      <c r="N55" s="61" t="s">
        <v>21</v>
      </c>
      <c r="O55" s="62" t="s">
        <v>22</v>
      </c>
      <c r="P55" s="61" t="s">
        <v>21</v>
      </c>
      <c r="Q55" s="62" t="s">
        <v>22</v>
      </c>
      <c r="R55" s="61" t="s">
        <v>21</v>
      </c>
      <c r="S55" s="62" t="s">
        <v>22</v>
      </c>
      <c r="T55" s="61" t="s">
        <v>21</v>
      </c>
      <c r="U55" s="62" t="s">
        <v>22</v>
      </c>
      <c r="V55" s="61" t="s">
        <v>21</v>
      </c>
      <c r="W55" s="62" t="s">
        <v>22</v>
      </c>
      <c r="X55" s="61" t="s">
        <v>21</v>
      </c>
      <c r="Y55" s="62" t="s">
        <v>22</v>
      </c>
      <c r="Z55" s="61" t="s">
        <v>21</v>
      </c>
      <c r="AA55" s="62" t="s">
        <v>22</v>
      </c>
      <c r="AB55" s="61" t="s">
        <v>21</v>
      </c>
      <c r="AC55" s="62" t="s">
        <v>22</v>
      </c>
      <c r="AD55" s="61" t="s">
        <v>21</v>
      </c>
      <c r="AE55" s="62" t="s">
        <v>22</v>
      </c>
      <c r="AF55" s="61" t="s">
        <v>21</v>
      </c>
      <c r="AG55" s="62" t="s">
        <v>22</v>
      </c>
      <c r="AH55" s="61" t="s">
        <v>21</v>
      </c>
      <c r="AI55" s="62" t="s">
        <v>22</v>
      </c>
    </row>
    <row r="56" spans="1:35" x14ac:dyDescent="0.35">
      <c r="A56" s="138" t="s">
        <v>36</v>
      </c>
      <c r="B56" s="180">
        <v>0</v>
      </c>
      <c r="C56" s="181"/>
      <c r="D56" s="58">
        <v>12</v>
      </c>
      <c r="E56" s="64">
        <f>B56*D56</f>
        <v>0</v>
      </c>
      <c r="F56" s="63">
        <v>11</v>
      </c>
      <c r="G56" s="68">
        <f t="shared" ref="G56:G71" si="11">B56*F56</f>
        <v>0</v>
      </c>
      <c r="H56" s="63">
        <v>8</v>
      </c>
      <c r="I56" s="66">
        <f t="shared" ref="I56:I75" si="12">H56*B56</f>
        <v>0</v>
      </c>
      <c r="J56" s="63">
        <v>6</v>
      </c>
      <c r="K56" s="69">
        <f t="shared" ref="K56:K75" si="13">J56*B56</f>
        <v>0</v>
      </c>
      <c r="L56" s="63">
        <v>6</v>
      </c>
      <c r="M56" s="69">
        <f t="shared" ref="M56:M77" si="14">L56*B56</f>
        <v>0</v>
      </c>
      <c r="N56" s="63">
        <v>6</v>
      </c>
      <c r="O56" s="66">
        <f t="shared" ref="O56:O78" si="15">N56*B56</f>
        <v>0</v>
      </c>
      <c r="P56" s="63">
        <v>9</v>
      </c>
      <c r="Q56" s="66">
        <f>P56*B56</f>
        <v>0</v>
      </c>
      <c r="R56" s="63">
        <v>4</v>
      </c>
      <c r="S56" s="66">
        <f>R56*B56</f>
        <v>0</v>
      </c>
      <c r="T56" s="63">
        <v>7</v>
      </c>
      <c r="U56" s="66">
        <f>T56*$B56</f>
        <v>0</v>
      </c>
      <c r="V56" s="63">
        <v>5</v>
      </c>
      <c r="W56" s="66">
        <f>V56*$B56</f>
        <v>0</v>
      </c>
      <c r="X56" s="63">
        <v>3</v>
      </c>
      <c r="Y56" s="66">
        <f>X56*$B56</f>
        <v>0</v>
      </c>
      <c r="Z56" s="63">
        <v>2</v>
      </c>
      <c r="AA56" s="66">
        <f>Z56*$B56</f>
        <v>0</v>
      </c>
      <c r="AB56" s="63">
        <v>3</v>
      </c>
      <c r="AC56" s="66">
        <f>AB56*$B56</f>
        <v>0</v>
      </c>
      <c r="AD56" s="63">
        <v>1</v>
      </c>
      <c r="AE56" s="66">
        <f>AD56*$B56</f>
        <v>0</v>
      </c>
      <c r="AF56" s="63">
        <v>3</v>
      </c>
      <c r="AG56" s="66">
        <f>AF56*$B56</f>
        <v>0</v>
      </c>
      <c r="AH56" s="63">
        <v>1</v>
      </c>
      <c r="AI56" s="66">
        <f>AH56*$B56</f>
        <v>0</v>
      </c>
    </row>
    <row r="57" spans="1:35" x14ac:dyDescent="0.35">
      <c r="A57" s="138" t="s">
        <v>37</v>
      </c>
      <c r="B57" s="154">
        <v>0.05</v>
      </c>
      <c r="C57" s="155"/>
      <c r="D57" s="59">
        <v>29</v>
      </c>
      <c r="E57" s="66">
        <f t="shared" ref="E57:E71" si="16">B57*D57</f>
        <v>1.4500000000000002</v>
      </c>
      <c r="F57" s="65">
        <v>26</v>
      </c>
      <c r="G57" s="69">
        <f t="shared" si="11"/>
        <v>1.3</v>
      </c>
      <c r="H57" s="65">
        <v>24</v>
      </c>
      <c r="I57" s="66">
        <f t="shared" si="12"/>
        <v>1.2000000000000002</v>
      </c>
      <c r="J57" s="65">
        <v>22</v>
      </c>
      <c r="K57" s="69">
        <f t="shared" si="13"/>
        <v>1.1000000000000001</v>
      </c>
      <c r="L57" s="65">
        <v>18</v>
      </c>
      <c r="M57" s="69">
        <f t="shared" si="14"/>
        <v>0.9</v>
      </c>
      <c r="N57" s="65">
        <v>15</v>
      </c>
      <c r="O57" s="66">
        <f t="shared" si="15"/>
        <v>0.75</v>
      </c>
      <c r="P57" s="65">
        <v>16</v>
      </c>
      <c r="Q57" s="66">
        <f t="shared" ref="Q57:Q79" si="17">P57*B57</f>
        <v>0.8</v>
      </c>
      <c r="R57" s="65">
        <v>17</v>
      </c>
      <c r="S57" s="66">
        <f t="shared" ref="S57:S81" si="18">R57*B57</f>
        <v>0.85000000000000009</v>
      </c>
      <c r="T57" s="65">
        <v>9</v>
      </c>
      <c r="U57" s="66">
        <f t="shared" ref="U57:U82" si="19">T57*$B57</f>
        <v>0.45</v>
      </c>
      <c r="V57" s="65">
        <v>9</v>
      </c>
      <c r="W57" s="66">
        <f t="shared" ref="W57:W89" si="20">V57*$B57</f>
        <v>0.45</v>
      </c>
      <c r="X57" s="65">
        <v>9</v>
      </c>
      <c r="Y57" s="66">
        <f t="shared" ref="Y57:Y90" si="21">X57*$B57</f>
        <v>0.45</v>
      </c>
      <c r="Z57" s="63">
        <v>9</v>
      </c>
      <c r="AA57" s="66">
        <f t="shared" ref="AA57:AA90" si="22">Z57*$B57</f>
        <v>0.45</v>
      </c>
      <c r="AB57" s="63">
        <v>5</v>
      </c>
      <c r="AC57" s="66">
        <f t="shared" ref="AC57:AC93" si="23">AB57*$B57</f>
        <v>0.25</v>
      </c>
      <c r="AD57" s="63">
        <v>8</v>
      </c>
      <c r="AE57" s="66">
        <f t="shared" ref="AE57:AE99" si="24">AD57*$B57</f>
        <v>0.4</v>
      </c>
      <c r="AF57" s="63">
        <v>6</v>
      </c>
      <c r="AG57" s="66">
        <f t="shared" ref="AG57:AG106" si="25">AF57*$B57</f>
        <v>0.30000000000000004</v>
      </c>
      <c r="AH57" s="63">
        <v>9</v>
      </c>
      <c r="AI57" s="66">
        <f t="shared" ref="AI57:AI110" si="26">AH57*$B57</f>
        <v>0.45</v>
      </c>
    </row>
    <row r="58" spans="1:35" x14ac:dyDescent="0.35">
      <c r="A58" s="138" t="s">
        <v>38</v>
      </c>
      <c r="B58" s="154">
        <v>0.1</v>
      </c>
      <c r="C58" s="155"/>
      <c r="D58" s="59">
        <v>26</v>
      </c>
      <c r="E58" s="66">
        <f t="shared" si="16"/>
        <v>2.6</v>
      </c>
      <c r="F58" s="65">
        <v>28</v>
      </c>
      <c r="G58" s="69">
        <f t="shared" si="11"/>
        <v>2.8000000000000003</v>
      </c>
      <c r="H58" s="65">
        <v>23</v>
      </c>
      <c r="I58" s="66">
        <f t="shared" si="12"/>
        <v>2.3000000000000003</v>
      </c>
      <c r="J58" s="65">
        <v>17</v>
      </c>
      <c r="K58" s="69">
        <f t="shared" si="13"/>
        <v>1.7000000000000002</v>
      </c>
      <c r="L58" s="65">
        <v>15</v>
      </c>
      <c r="M58" s="69">
        <f t="shared" si="14"/>
        <v>1.5</v>
      </c>
      <c r="N58" s="65">
        <v>22</v>
      </c>
      <c r="O58" s="66">
        <f t="shared" si="15"/>
        <v>2.2000000000000002</v>
      </c>
      <c r="P58" s="65">
        <v>18</v>
      </c>
      <c r="Q58" s="66">
        <f t="shared" si="17"/>
        <v>1.8</v>
      </c>
      <c r="R58" s="65">
        <v>14</v>
      </c>
      <c r="S58" s="66">
        <f t="shared" si="18"/>
        <v>1.4000000000000001</v>
      </c>
      <c r="T58" s="65">
        <v>14</v>
      </c>
      <c r="U58" s="66">
        <f t="shared" si="19"/>
        <v>1.4000000000000001</v>
      </c>
      <c r="V58" s="65">
        <v>15</v>
      </c>
      <c r="W58" s="66">
        <f t="shared" si="20"/>
        <v>1.5</v>
      </c>
      <c r="X58" s="65">
        <v>13</v>
      </c>
      <c r="Y58" s="66">
        <f t="shared" si="21"/>
        <v>1.3</v>
      </c>
      <c r="Z58" s="63">
        <v>12</v>
      </c>
      <c r="AA58" s="66">
        <f t="shared" si="22"/>
        <v>1.2000000000000002</v>
      </c>
      <c r="AB58" s="63">
        <v>10</v>
      </c>
      <c r="AC58" s="66">
        <f t="shared" si="23"/>
        <v>1</v>
      </c>
      <c r="AD58" s="63">
        <v>4</v>
      </c>
      <c r="AE58" s="66">
        <f t="shared" si="24"/>
        <v>0.4</v>
      </c>
      <c r="AF58" s="63">
        <v>5</v>
      </c>
      <c r="AG58" s="66">
        <f t="shared" si="25"/>
        <v>0.5</v>
      </c>
      <c r="AH58" s="63">
        <v>5</v>
      </c>
      <c r="AI58" s="66">
        <f t="shared" si="26"/>
        <v>0.5</v>
      </c>
    </row>
    <row r="59" spans="1:35" x14ac:dyDescent="0.35">
      <c r="A59" s="138" t="s">
        <v>39</v>
      </c>
      <c r="B59" s="154">
        <v>0.15</v>
      </c>
      <c r="C59" s="155"/>
      <c r="D59" s="59">
        <v>15</v>
      </c>
      <c r="E59" s="66">
        <f t="shared" si="16"/>
        <v>2.25</v>
      </c>
      <c r="F59" s="65">
        <v>13</v>
      </c>
      <c r="G59" s="69">
        <f t="shared" si="11"/>
        <v>1.95</v>
      </c>
      <c r="H59" s="65">
        <v>10</v>
      </c>
      <c r="I59" s="66">
        <f t="shared" si="12"/>
        <v>1.5</v>
      </c>
      <c r="J59" s="65">
        <v>15</v>
      </c>
      <c r="K59" s="69">
        <f t="shared" si="13"/>
        <v>2.25</v>
      </c>
      <c r="L59" s="65">
        <v>17</v>
      </c>
      <c r="M59" s="69">
        <f t="shared" si="14"/>
        <v>2.5499999999999998</v>
      </c>
      <c r="N59" s="65">
        <v>13</v>
      </c>
      <c r="O59" s="66">
        <f t="shared" si="15"/>
        <v>1.95</v>
      </c>
      <c r="P59" s="65">
        <v>12</v>
      </c>
      <c r="Q59" s="66">
        <f t="shared" si="17"/>
        <v>1.7999999999999998</v>
      </c>
      <c r="R59" s="65">
        <v>15</v>
      </c>
      <c r="S59" s="66">
        <f t="shared" si="18"/>
        <v>2.25</v>
      </c>
      <c r="T59" s="65">
        <v>14</v>
      </c>
      <c r="U59" s="66">
        <f t="shared" si="19"/>
        <v>2.1</v>
      </c>
      <c r="V59" s="65">
        <v>12</v>
      </c>
      <c r="W59" s="66">
        <f t="shared" si="20"/>
        <v>1.7999999999999998</v>
      </c>
      <c r="X59" s="65">
        <v>10</v>
      </c>
      <c r="Y59" s="66">
        <f t="shared" si="21"/>
        <v>1.5</v>
      </c>
      <c r="Z59" s="63">
        <v>12</v>
      </c>
      <c r="AA59" s="66">
        <f t="shared" si="22"/>
        <v>1.7999999999999998</v>
      </c>
      <c r="AB59" s="63">
        <v>12</v>
      </c>
      <c r="AC59" s="66">
        <f t="shared" si="23"/>
        <v>1.7999999999999998</v>
      </c>
      <c r="AD59" s="63">
        <v>11</v>
      </c>
      <c r="AE59" s="66">
        <f t="shared" si="24"/>
        <v>1.65</v>
      </c>
      <c r="AF59" s="63">
        <v>9</v>
      </c>
      <c r="AG59" s="66">
        <f t="shared" si="25"/>
        <v>1.3499999999999999</v>
      </c>
      <c r="AH59" s="63">
        <v>5</v>
      </c>
      <c r="AI59" s="66">
        <f t="shared" si="26"/>
        <v>0.75</v>
      </c>
    </row>
    <row r="60" spans="1:35" x14ac:dyDescent="0.35">
      <c r="A60" s="138" t="s">
        <v>40</v>
      </c>
      <c r="B60" s="154">
        <v>0.2</v>
      </c>
      <c r="C60" s="155"/>
      <c r="D60" s="59">
        <v>15</v>
      </c>
      <c r="E60" s="66">
        <f t="shared" si="16"/>
        <v>3</v>
      </c>
      <c r="F60" s="65">
        <v>12</v>
      </c>
      <c r="G60" s="69">
        <f t="shared" si="11"/>
        <v>2.4000000000000004</v>
      </c>
      <c r="H60" s="65">
        <v>12</v>
      </c>
      <c r="I60" s="66">
        <f t="shared" si="12"/>
        <v>2.4000000000000004</v>
      </c>
      <c r="J60" s="65">
        <v>9</v>
      </c>
      <c r="K60" s="69">
        <f t="shared" si="13"/>
        <v>1.8</v>
      </c>
      <c r="L60" s="65">
        <v>11</v>
      </c>
      <c r="M60" s="69">
        <f t="shared" si="14"/>
        <v>2.2000000000000002</v>
      </c>
      <c r="N60" s="65">
        <v>7</v>
      </c>
      <c r="O60" s="66">
        <f t="shared" si="15"/>
        <v>1.4000000000000001</v>
      </c>
      <c r="P60" s="65">
        <v>9</v>
      </c>
      <c r="Q60" s="66">
        <f t="shared" si="17"/>
        <v>1.8</v>
      </c>
      <c r="R60" s="65">
        <v>12</v>
      </c>
      <c r="S60" s="66">
        <f t="shared" si="18"/>
        <v>2.4000000000000004</v>
      </c>
      <c r="T60" s="65">
        <v>13</v>
      </c>
      <c r="U60" s="66">
        <f t="shared" si="19"/>
        <v>2.6</v>
      </c>
      <c r="V60" s="65">
        <v>13</v>
      </c>
      <c r="W60" s="66">
        <f t="shared" si="20"/>
        <v>2.6</v>
      </c>
      <c r="X60" s="65">
        <v>16</v>
      </c>
      <c r="Y60" s="66">
        <f t="shared" si="21"/>
        <v>3.2</v>
      </c>
      <c r="Z60" s="63">
        <v>12</v>
      </c>
      <c r="AA60" s="66">
        <f t="shared" si="22"/>
        <v>2.4000000000000004</v>
      </c>
      <c r="AB60" s="63">
        <v>13</v>
      </c>
      <c r="AC60" s="66">
        <f t="shared" si="23"/>
        <v>2.6</v>
      </c>
      <c r="AD60" s="63">
        <v>11</v>
      </c>
      <c r="AE60" s="66">
        <f t="shared" si="24"/>
        <v>2.2000000000000002</v>
      </c>
      <c r="AF60" s="63">
        <v>9</v>
      </c>
      <c r="AG60" s="66">
        <f t="shared" si="25"/>
        <v>1.8</v>
      </c>
      <c r="AH60" s="63">
        <v>9</v>
      </c>
      <c r="AI60" s="66">
        <f t="shared" si="26"/>
        <v>1.8</v>
      </c>
    </row>
    <row r="61" spans="1:35" x14ac:dyDescent="0.35">
      <c r="A61" s="138" t="s">
        <v>41</v>
      </c>
      <c r="B61" s="154">
        <v>0.25</v>
      </c>
      <c r="C61" s="155"/>
      <c r="D61" s="59">
        <v>4</v>
      </c>
      <c r="E61" s="66">
        <f t="shared" si="16"/>
        <v>1</v>
      </c>
      <c r="F61" s="65">
        <v>8</v>
      </c>
      <c r="G61" s="69">
        <f t="shared" si="11"/>
        <v>2</v>
      </c>
      <c r="H61" s="65">
        <v>11</v>
      </c>
      <c r="I61" s="66">
        <f t="shared" si="12"/>
        <v>2.75</v>
      </c>
      <c r="J61" s="65">
        <v>11</v>
      </c>
      <c r="K61" s="69">
        <f t="shared" si="13"/>
        <v>2.75</v>
      </c>
      <c r="L61" s="65">
        <v>9</v>
      </c>
      <c r="M61" s="69">
        <f t="shared" si="14"/>
        <v>2.25</v>
      </c>
      <c r="N61" s="65">
        <v>7</v>
      </c>
      <c r="O61" s="66">
        <f t="shared" si="15"/>
        <v>1.75</v>
      </c>
      <c r="P61" s="65">
        <v>6</v>
      </c>
      <c r="Q61" s="66">
        <f t="shared" si="17"/>
        <v>1.5</v>
      </c>
      <c r="R61" s="65">
        <v>5</v>
      </c>
      <c r="S61" s="66">
        <f t="shared" si="18"/>
        <v>1.25</v>
      </c>
      <c r="T61" s="65">
        <v>7</v>
      </c>
      <c r="U61" s="66">
        <f t="shared" si="19"/>
        <v>1.75</v>
      </c>
      <c r="V61" s="65">
        <v>10</v>
      </c>
      <c r="W61" s="66">
        <f t="shared" si="20"/>
        <v>2.5</v>
      </c>
      <c r="X61" s="65">
        <v>11</v>
      </c>
      <c r="Y61" s="66">
        <f t="shared" si="21"/>
        <v>2.75</v>
      </c>
      <c r="Z61" s="63">
        <v>14</v>
      </c>
      <c r="AA61" s="66">
        <f t="shared" si="22"/>
        <v>3.5</v>
      </c>
      <c r="AB61" s="63">
        <v>9</v>
      </c>
      <c r="AC61" s="66">
        <f t="shared" si="23"/>
        <v>2.25</v>
      </c>
      <c r="AD61" s="63">
        <v>10</v>
      </c>
      <c r="AE61" s="66">
        <f t="shared" si="24"/>
        <v>2.5</v>
      </c>
      <c r="AF61" s="63">
        <v>9</v>
      </c>
      <c r="AG61" s="66">
        <f t="shared" si="25"/>
        <v>2.25</v>
      </c>
      <c r="AH61" s="63">
        <v>8</v>
      </c>
      <c r="AI61" s="66">
        <f t="shared" si="26"/>
        <v>2</v>
      </c>
    </row>
    <row r="62" spans="1:35" x14ac:dyDescent="0.35">
      <c r="A62" s="138" t="s">
        <v>42</v>
      </c>
      <c r="B62" s="154">
        <v>0.3</v>
      </c>
      <c r="C62" s="155"/>
      <c r="D62" s="59">
        <v>4</v>
      </c>
      <c r="E62" s="66">
        <f t="shared" si="16"/>
        <v>1.2</v>
      </c>
      <c r="F62" s="65">
        <v>6</v>
      </c>
      <c r="G62" s="69">
        <f t="shared" si="11"/>
        <v>1.7999999999999998</v>
      </c>
      <c r="H62" s="65">
        <v>10</v>
      </c>
      <c r="I62" s="66">
        <f t="shared" si="12"/>
        <v>3</v>
      </c>
      <c r="J62" s="65">
        <v>3</v>
      </c>
      <c r="K62" s="69">
        <f t="shared" si="13"/>
        <v>0.89999999999999991</v>
      </c>
      <c r="L62" s="65">
        <v>8</v>
      </c>
      <c r="M62" s="69">
        <f t="shared" si="14"/>
        <v>2.4</v>
      </c>
      <c r="N62" s="65">
        <v>11</v>
      </c>
      <c r="O62" s="66">
        <f t="shared" si="15"/>
        <v>3.3</v>
      </c>
      <c r="P62" s="65">
        <v>12</v>
      </c>
      <c r="Q62" s="66">
        <f t="shared" si="17"/>
        <v>3.5999999999999996</v>
      </c>
      <c r="R62" s="65">
        <v>5</v>
      </c>
      <c r="S62" s="66">
        <f t="shared" si="18"/>
        <v>1.5</v>
      </c>
      <c r="T62" s="65">
        <v>9</v>
      </c>
      <c r="U62" s="66">
        <f t="shared" si="19"/>
        <v>2.6999999999999997</v>
      </c>
      <c r="V62" s="65">
        <v>7</v>
      </c>
      <c r="W62" s="66">
        <f t="shared" si="20"/>
        <v>2.1</v>
      </c>
      <c r="X62" s="65">
        <v>8</v>
      </c>
      <c r="Y62" s="66">
        <f t="shared" si="21"/>
        <v>2.4</v>
      </c>
      <c r="Z62" s="63">
        <v>4</v>
      </c>
      <c r="AA62" s="66">
        <f t="shared" si="22"/>
        <v>1.2</v>
      </c>
      <c r="AB62" s="63">
        <v>11</v>
      </c>
      <c r="AC62" s="66">
        <f t="shared" si="23"/>
        <v>3.3</v>
      </c>
      <c r="AD62" s="63">
        <v>14</v>
      </c>
      <c r="AE62" s="66">
        <f t="shared" si="24"/>
        <v>4.2</v>
      </c>
      <c r="AF62" s="63">
        <v>9</v>
      </c>
      <c r="AG62" s="66">
        <f t="shared" si="25"/>
        <v>2.6999999999999997</v>
      </c>
      <c r="AH62" s="63">
        <v>9</v>
      </c>
      <c r="AI62" s="66">
        <f t="shared" si="26"/>
        <v>2.6999999999999997</v>
      </c>
    </row>
    <row r="63" spans="1:35" x14ac:dyDescent="0.35">
      <c r="A63" s="138" t="s">
        <v>43</v>
      </c>
      <c r="B63" s="154">
        <v>0.35</v>
      </c>
      <c r="C63" s="155"/>
      <c r="D63" s="59">
        <v>3</v>
      </c>
      <c r="E63" s="66">
        <f t="shared" si="16"/>
        <v>1.0499999999999998</v>
      </c>
      <c r="F63" s="65">
        <v>4</v>
      </c>
      <c r="G63" s="69">
        <f t="shared" si="11"/>
        <v>1.4</v>
      </c>
      <c r="H63" s="65">
        <v>4</v>
      </c>
      <c r="I63" s="66">
        <f t="shared" si="12"/>
        <v>1.4</v>
      </c>
      <c r="J63" s="65">
        <v>9</v>
      </c>
      <c r="K63" s="69">
        <f t="shared" si="13"/>
        <v>3.15</v>
      </c>
      <c r="L63" s="65">
        <v>2</v>
      </c>
      <c r="M63" s="69">
        <f t="shared" si="14"/>
        <v>0.7</v>
      </c>
      <c r="N63" s="65">
        <v>7</v>
      </c>
      <c r="O63" s="66">
        <f t="shared" si="15"/>
        <v>2.4499999999999997</v>
      </c>
      <c r="P63" s="65">
        <v>6</v>
      </c>
      <c r="Q63" s="66">
        <f t="shared" si="17"/>
        <v>2.0999999999999996</v>
      </c>
      <c r="R63" s="65">
        <v>7</v>
      </c>
      <c r="S63" s="66">
        <f t="shared" si="18"/>
        <v>2.4499999999999997</v>
      </c>
      <c r="T63" s="65">
        <v>1</v>
      </c>
      <c r="U63" s="66">
        <f t="shared" si="19"/>
        <v>0.35</v>
      </c>
      <c r="V63" s="65">
        <v>4</v>
      </c>
      <c r="W63" s="66">
        <f t="shared" si="20"/>
        <v>1.4</v>
      </c>
      <c r="X63" s="65">
        <v>6</v>
      </c>
      <c r="Y63" s="66">
        <f t="shared" si="21"/>
        <v>2.0999999999999996</v>
      </c>
      <c r="Z63" s="63">
        <v>3</v>
      </c>
      <c r="AA63" s="66">
        <f t="shared" si="22"/>
        <v>1.0499999999999998</v>
      </c>
      <c r="AB63" s="63">
        <v>5</v>
      </c>
      <c r="AC63" s="66">
        <f t="shared" si="23"/>
        <v>1.75</v>
      </c>
      <c r="AD63" s="63">
        <v>6</v>
      </c>
      <c r="AE63" s="66">
        <f t="shared" si="24"/>
        <v>2.0999999999999996</v>
      </c>
      <c r="AF63" s="63">
        <v>10</v>
      </c>
      <c r="AG63" s="66">
        <f t="shared" si="25"/>
        <v>3.5</v>
      </c>
      <c r="AH63" s="63">
        <v>9</v>
      </c>
      <c r="AI63" s="66">
        <f t="shared" si="26"/>
        <v>3.15</v>
      </c>
    </row>
    <row r="64" spans="1:35" x14ac:dyDescent="0.35">
      <c r="A64" s="138" t="s">
        <v>44</v>
      </c>
      <c r="B64" s="154">
        <v>0.4</v>
      </c>
      <c r="C64" s="155"/>
      <c r="D64" s="59">
        <v>3</v>
      </c>
      <c r="E64" s="66">
        <f t="shared" si="16"/>
        <v>1.2000000000000002</v>
      </c>
      <c r="F64" s="65">
        <v>3</v>
      </c>
      <c r="G64" s="69">
        <f t="shared" si="11"/>
        <v>1.2000000000000002</v>
      </c>
      <c r="H64" s="65">
        <v>4</v>
      </c>
      <c r="I64" s="66">
        <f t="shared" si="12"/>
        <v>1.6</v>
      </c>
      <c r="J64" s="65">
        <v>5</v>
      </c>
      <c r="K64" s="69">
        <f t="shared" si="13"/>
        <v>2</v>
      </c>
      <c r="L64" s="65">
        <v>12</v>
      </c>
      <c r="M64" s="69">
        <f t="shared" si="14"/>
        <v>4.8000000000000007</v>
      </c>
      <c r="N64" s="65">
        <v>5</v>
      </c>
      <c r="O64" s="66">
        <f t="shared" si="15"/>
        <v>2</v>
      </c>
      <c r="P64" s="65">
        <v>1</v>
      </c>
      <c r="Q64" s="66">
        <f t="shared" si="17"/>
        <v>0.4</v>
      </c>
      <c r="R64" s="65">
        <v>9</v>
      </c>
      <c r="S64" s="66">
        <f t="shared" si="18"/>
        <v>3.6</v>
      </c>
      <c r="T64" s="65">
        <v>9</v>
      </c>
      <c r="U64" s="66">
        <f t="shared" si="19"/>
        <v>3.6</v>
      </c>
      <c r="V64" s="65">
        <v>6</v>
      </c>
      <c r="W64" s="66">
        <f t="shared" si="20"/>
        <v>2.4000000000000004</v>
      </c>
      <c r="X64" s="65">
        <v>3</v>
      </c>
      <c r="Y64" s="66">
        <f t="shared" si="21"/>
        <v>1.2000000000000002</v>
      </c>
      <c r="Z64" s="63">
        <v>7</v>
      </c>
      <c r="AA64" s="66">
        <f t="shared" si="22"/>
        <v>2.8000000000000003</v>
      </c>
      <c r="AB64" s="63">
        <v>6</v>
      </c>
      <c r="AC64" s="66">
        <f t="shared" si="23"/>
        <v>2.4000000000000004</v>
      </c>
      <c r="AD64" s="63">
        <v>6</v>
      </c>
      <c r="AE64" s="66">
        <f t="shared" si="24"/>
        <v>2.4000000000000004</v>
      </c>
      <c r="AF64" s="63">
        <v>6</v>
      </c>
      <c r="AG64" s="66">
        <f t="shared" si="25"/>
        <v>2.4000000000000004</v>
      </c>
      <c r="AH64" s="63">
        <v>5</v>
      </c>
      <c r="AI64" s="66">
        <f t="shared" si="26"/>
        <v>2</v>
      </c>
    </row>
    <row r="65" spans="1:35" x14ac:dyDescent="0.35">
      <c r="A65" s="138" t="s">
        <v>45</v>
      </c>
      <c r="B65" s="154">
        <v>0.45</v>
      </c>
      <c r="C65" s="155"/>
      <c r="D65" s="59">
        <v>2</v>
      </c>
      <c r="E65" s="66">
        <f t="shared" si="16"/>
        <v>0.9</v>
      </c>
      <c r="F65" s="65">
        <v>2</v>
      </c>
      <c r="G65" s="69">
        <f t="shared" si="11"/>
        <v>0.9</v>
      </c>
      <c r="H65" s="65">
        <v>3</v>
      </c>
      <c r="I65" s="66">
        <f t="shared" si="12"/>
        <v>1.35</v>
      </c>
      <c r="J65" s="65">
        <v>5</v>
      </c>
      <c r="K65" s="69">
        <f t="shared" si="13"/>
        <v>2.25</v>
      </c>
      <c r="L65" s="65">
        <v>3</v>
      </c>
      <c r="M65" s="69">
        <f t="shared" si="14"/>
        <v>1.35</v>
      </c>
      <c r="N65" s="65">
        <v>2</v>
      </c>
      <c r="O65" s="66">
        <f t="shared" si="15"/>
        <v>0.9</v>
      </c>
      <c r="P65" s="65">
        <v>2</v>
      </c>
      <c r="Q65" s="66">
        <f t="shared" si="17"/>
        <v>0.9</v>
      </c>
      <c r="R65" s="65">
        <v>3</v>
      </c>
      <c r="S65" s="66">
        <f t="shared" si="18"/>
        <v>1.35</v>
      </c>
      <c r="T65" s="65">
        <v>8</v>
      </c>
      <c r="U65" s="66">
        <f t="shared" si="19"/>
        <v>3.6</v>
      </c>
      <c r="V65" s="65">
        <v>4</v>
      </c>
      <c r="W65" s="66">
        <f t="shared" si="20"/>
        <v>1.8</v>
      </c>
      <c r="X65" s="65">
        <v>4</v>
      </c>
      <c r="Y65" s="66">
        <f t="shared" si="21"/>
        <v>1.8</v>
      </c>
      <c r="Z65" s="63">
        <v>6</v>
      </c>
      <c r="AA65" s="66">
        <f t="shared" si="22"/>
        <v>2.7</v>
      </c>
      <c r="AB65" s="63">
        <v>3</v>
      </c>
      <c r="AC65" s="66">
        <f t="shared" si="23"/>
        <v>1.35</v>
      </c>
      <c r="AD65" s="63">
        <v>4</v>
      </c>
      <c r="AE65" s="66">
        <f t="shared" si="24"/>
        <v>1.8</v>
      </c>
      <c r="AF65" s="63">
        <v>2</v>
      </c>
      <c r="AG65" s="66">
        <f t="shared" si="25"/>
        <v>0.9</v>
      </c>
      <c r="AH65" s="63">
        <v>5</v>
      </c>
      <c r="AI65" s="66">
        <f t="shared" si="26"/>
        <v>2.25</v>
      </c>
    </row>
    <row r="66" spans="1:35" x14ac:dyDescent="0.35">
      <c r="A66" s="138" t="s">
        <v>46</v>
      </c>
      <c r="B66" s="154">
        <v>0.5</v>
      </c>
      <c r="C66" s="155"/>
      <c r="D66" s="59">
        <v>2</v>
      </c>
      <c r="E66" s="66">
        <f t="shared" si="16"/>
        <v>1</v>
      </c>
      <c r="F66" s="65">
        <v>3</v>
      </c>
      <c r="G66" s="69">
        <f t="shared" si="11"/>
        <v>1.5</v>
      </c>
      <c r="H66" s="65">
        <v>1</v>
      </c>
      <c r="I66" s="66">
        <f t="shared" si="12"/>
        <v>0.5</v>
      </c>
      <c r="J66" s="65">
        <v>3</v>
      </c>
      <c r="K66" s="69">
        <f t="shared" si="13"/>
        <v>1.5</v>
      </c>
      <c r="L66" s="65">
        <v>3</v>
      </c>
      <c r="M66" s="69">
        <f t="shared" si="14"/>
        <v>1.5</v>
      </c>
      <c r="N66" s="65">
        <v>5</v>
      </c>
      <c r="O66" s="66">
        <f t="shared" si="15"/>
        <v>2.5</v>
      </c>
      <c r="P66" s="65">
        <v>7</v>
      </c>
      <c r="Q66" s="66">
        <f t="shared" si="17"/>
        <v>3.5</v>
      </c>
      <c r="R66" s="65">
        <v>3</v>
      </c>
      <c r="S66" s="66">
        <f t="shared" si="18"/>
        <v>1.5</v>
      </c>
      <c r="T66" s="65">
        <v>2</v>
      </c>
      <c r="U66" s="66">
        <f t="shared" si="19"/>
        <v>1</v>
      </c>
      <c r="V66" s="65">
        <v>7</v>
      </c>
      <c r="W66" s="66">
        <f t="shared" si="20"/>
        <v>3.5</v>
      </c>
      <c r="X66" s="65">
        <v>7</v>
      </c>
      <c r="Y66" s="66">
        <f t="shared" si="21"/>
        <v>3.5</v>
      </c>
      <c r="Z66" s="63">
        <v>5</v>
      </c>
      <c r="AA66" s="66">
        <f t="shared" si="22"/>
        <v>2.5</v>
      </c>
      <c r="AB66" s="63">
        <v>3</v>
      </c>
      <c r="AC66" s="66">
        <f t="shared" si="23"/>
        <v>1.5</v>
      </c>
      <c r="AD66" s="63">
        <v>5</v>
      </c>
      <c r="AE66" s="66">
        <f t="shared" si="24"/>
        <v>2.5</v>
      </c>
      <c r="AF66" s="63">
        <v>5</v>
      </c>
      <c r="AG66" s="66">
        <f t="shared" si="25"/>
        <v>2.5</v>
      </c>
      <c r="AH66" s="63">
        <v>6</v>
      </c>
      <c r="AI66" s="66">
        <f t="shared" si="26"/>
        <v>3</v>
      </c>
    </row>
    <row r="67" spans="1:35" x14ac:dyDescent="0.35">
      <c r="A67" s="138" t="s">
        <v>47</v>
      </c>
      <c r="B67" s="154">
        <v>0.55000000000000004</v>
      </c>
      <c r="C67" s="155"/>
      <c r="D67" s="59">
        <v>0</v>
      </c>
      <c r="E67" s="64">
        <f t="shared" si="16"/>
        <v>0</v>
      </c>
      <c r="F67" s="65">
        <v>0</v>
      </c>
      <c r="G67" s="68">
        <f t="shared" si="11"/>
        <v>0</v>
      </c>
      <c r="H67" s="65">
        <v>2</v>
      </c>
      <c r="I67" s="66">
        <f t="shared" si="12"/>
        <v>1.1000000000000001</v>
      </c>
      <c r="J67" s="65">
        <v>2</v>
      </c>
      <c r="K67" s="69">
        <f t="shared" si="13"/>
        <v>1.1000000000000001</v>
      </c>
      <c r="L67" s="65">
        <v>1</v>
      </c>
      <c r="M67" s="69">
        <f t="shared" si="14"/>
        <v>0.55000000000000004</v>
      </c>
      <c r="N67" s="65">
        <v>3</v>
      </c>
      <c r="O67" s="66">
        <f t="shared" si="15"/>
        <v>1.6500000000000001</v>
      </c>
      <c r="P67" s="65">
        <v>4</v>
      </c>
      <c r="Q67" s="66">
        <f t="shared" si="17"/>
        <v>2.2000000000000002</v>
      </c>
      <c r="R67" s="65">
        <v>1</v>
      </c>
      <c r="S67" s="66">
        <f t="shared" si="18"/>
        <v>0.55000000000000004</v>
      </c>
      <c r="T67" s="65">
        <v>2</v>
      </c>
      <c r="U67" s="66">
        <f t="shared" si="19"/>
        <v>1.1000000000000001</v>
      </c>
      <c r="V67" s="65">
        <v>1</v>
      </c>
      <c r="W67" s="66">
        <f t="shared" si="20"/>
        <v>0.55000000000000004</v>
      </c>
      <c r="X67" s="65">
        <v>4</v>
      </c>
      <c r="Y67" s="66">
        <f t="shared" si="21"/>
        <v>2.2000000000000002</v>
      </c>
      <c r="Z67" s="63">
        <v>2</v>
      </c>
      <c r="AA67" s="66">
        <f t="shared" si="22"/>
        <v>1.1000000000000001</v>
      </c>
      <c r="AB67" s="63">
        <v>7</v>
      </c>
      <c r="AC67" s="66">
        <f t="shared" si="23"/>
        <v>3.8500000000000005</v>
      </c>
      <c r="AD67" s="63">
        <v>3</v>
      </c>
      <c r="AE67" s="66">
        <f t="shared" si="24"/>
        <v>1.6500000000000001</v>
      </c>
      <c r="AF67" s="63">
        <v>6</v>
      </c>
      <c r="AG67" s="66">
        <f t="shared" si="25"/>
        <v>3.3000000000000003</v>
      </c>
      <c r="AH67" s="63">
        <v>3</v>
      </c>
      <c r="AI67" s="66">
        <f t="shared" si="26"/>
        <v>1.6500000000000001</v>
      </c>
    </row>
    <row r="68" spans="1:35" x14ac:dyDescent="0.35">
      <c r="A68" s="138" t="s">
        <v>48</v>
      </c>
      <c r="B68" s="154">
        <v>0.6</v>
      </c>
      <c r="C68" s="155"/>
      <c r="D68" s="59">
        <v>3</v>
      </c>
      <c r="E68" s="66">
        <f t="shared" si="16"/>
        <v>1.7999999999999998</v>
      </c>
      <c r="F68" s="65">
        <v>3</v>
      </c>
      <c r="G68" s="69">
        <f t="shared" si="11"/>
        <v>1.7999999999999998</v>
      </c>
      <c r="H68" s="65">
        <v>1</v>
      </c>
      <c r="I68" s="66">
        <f t="shared" si="12"/>
        <v>0.6</v>
      </c>
      <c r="J68" s="65">
        <v>1</v>
      </c>
      <c r="K68" s="69">
        <f t="shared" si="13"/>
        <v>0.6</v>
      </c>
      <c r="L68" s="65">
        <v>3</v>
      </c>
      <c r="M68" s="69">
        <f t="shared" si="14"/>
        <v>1.7999999999999998</v>
      </c>
      <c r="N68" s="65">
        <v>3</v>
      </c>
      <c r="O68" s="66">
        <f t="shared" si="15"/>
        <v>1.7999999999999998</v>
      </c>
      <c r="P68" s="65">
        <v>5</v>
      </c>
      <c r="Q68" s="66">
        <f t="shared" si="17"/>
        <v>3</v>
      </c>
      <c r="R68" s="65">
        <v>6</v>
      </c>
      <c r="S68" s="66">
        <f t="shared" si="18"/>
        <v>3.5999999999999996</v>
      </c>
      <c r="T68" s="65">
        <v>4</v>
      </c>
      <c r="U68" s="66">
        <f t="shared" si="19"/>
        <v>2.4</v>
      </c>
      <c r="V68" s="65">
        <v>3</v>
      </c>
      <c r="W68" s="66">
        <f t="shared" si="20"/>
        <v>1.7999999999999998</v>
      </c>
      <c r="X68" s="65">
        <v>3</v>
      </c>
      <c r="Y68" s="66">
        <f t="shared" si="21"/>
        <v>1.7999999999999998</v>
      </c>
      <c r="Z68" s="63">
        <v>5</v>
      </c>
      <c r="AA68" s="66">
        <f t="shared" si="22"/>
        <v>3</v>
      </c>
      <c r="AB68" s="63">
        <v>2</v>
      </c>
      <c r="AC68" s="66">
        <f t="shared" si="23"/>
        <v>1.2</v>
      </c>
      <c r="AD68" s="63">
        <v>5</v>
      </c>
      <c r="AE68" s="66">
        <f t="shared" si="24"/>
        <v>3</v>
      </c>
      <c r="AF68" s="63">
        <v>5</v>
      </c>
      <c r="AG68" s="66">
        <f t="shared" si="25"/>
        <v>3</v>
      </c>
      <c r="AH68" s="63">
        <v>3</v>
      </c>
      <c r="AI68" s="66">
        <f t="shared" si="26"/>
        <v>1.7999999999999998</v>
      </c>
    </row>
    <row r="69" spans="1:35" x14ac:dyDescent="0.35">
      <c r="A69" s="138" t="s">
        <v>49</v>
      </c>
      <c r="B69" s="154">
        <v>0.65</v>
      </c>
      <c r="C69" s="155"/>
      <c r="D69" s="59">
        <v>2</v>
      </c>
      <c r="E69" s="66">
        <f t="shared" si="16"/>
        <v>1.3</v>
      </c>
      <c r="F69" s="65">
        <v>0</v>
      </c>
      <c r="G69" s="68">
        <f t="shared" si="11"/>
        <v>0</v>
      </c>
      <c r="H69" s="65">
        <v>1</v>
      </c>
      <c r="I69" s="66">
        <f t="shared" si="12"/>
        <v>0.65</v>
      </c>
      <c r="J69" s="65">
        <v>0</v>
      </c>
      <c r="K69" s="69">
        <f t="shared" si="13"/>
        <v>0</v>
      </c>
      <c r="L69" s="65">
        <v>1</v>
      </c>
      <c r="M69" s="69">
        <f t="shared" si="14"/>
        <v>0.65</v>
      </c>
      <c r="N69" s="65">
        <v>0</v>
      </c>
      <c r="O69" s="66">
        <f t="shared" si="15"/>
        <v>0</v>
      </c>
      <c r="P69" s="65">
        <v>1</v>
      </c>
      <c r="Q69" s="66">
        <f t="shared" si="17"/>
        <v>0.65</v>
      </c>
      <c r="R69" s="65">
        <v>4</v>
      </c>
      <c r="S69" s="66">
        <f t="shared" si="18"/>
        <v>2.6</v>
      </c>
      <c r="T69" s="65">
        <v>4</v>
      </c>
      <c r="U69" s="66">
        <f t="shared" si="19"/>
        <v>2.6</v>
      </c>
      <c r="V69" s="65">
        <v>7</v>
      </c>
      <c r="W69" s="66">
        <f t="shared" si="20"/>
        <v>4.55</v>
      </c>
      <c r="X69" s="65">
        <v>6</v>
      </c>
      <c r="Y69" s="66">
        <f t="shared" si="21"/>
        <v>3.9000000000000004</v>
      </c>
      <c r="Z69" s="63">
        <v>4</v>
      </c>
      <c r="AA69" s="66">
        <f t="shared" si="22"/>
        <v>2.6</v>
      </c>
      <c r="AB69" s="63">
        <v>5</v>
      </c>
      <c r="AC69" s="66">
        <f t="shared" si="23"/>
        <v>3.25</v>
      </c>
      <c r="AD69" s="63">
        <v>2</v>
      </c>
      <c r="AE69" s="66">
        <f t="shared" si="24"/>
        <v>1.3</v>
      </c>
      <c r="AF69" s="63">
        <v>4</v>
      </c>
      <c r="AG69" s="66">
        <f t="shared" si="25"/>
        <v>2.6</v>
      </c>
      <c r="AH69" s="63">
        <v>6</v>
      </c>
      <c r="AI69" s="66">
        <f t="shared" si="26"/>
        <v>3.9000000000000004</v>
      </c>
    </row>
    <row r="70" spans="1:35" x14ac:dyDescent="0.35">
      <c r="A70" s="138" t="s">
        <v>50</v>
      </c>
      <c r="B70" s="154">
        <v>0.7</v>
      </c>
      <c r="C70" s="155"/>
      <c r="D70" s="59">
        <v>1</v>
      </c>
      <c r="E70" s="66">
        <f t="shared" si="16"/>
        <v>0.7</v>
      </c>
      <c r="F70" s="65">
        <v>2</v>
      </c>
      <c r="G70" s="69">
        <f t="shared" si="11"/>
        <v>1.4</v>
      </c>
      <c r="H70" s="65">
        <v>1</v>
      </c>
      <c r="I70" s="66">
        <f t="shared" si="12"/>
        <v>0.7</v>
      </c>
      <c r="J70" s="65">
        <v>1</v>
      </c>
      <c r="K70" s="69">
        <f t="shared" si="13"/>
        <v>0.7</v>
      </c>
      <c r="L70" s="65">
        <v>1</v>
      </c>
      <c r="M70" s="69">
        <f t="shared" si="14"/>
        <v>0.7</v>
      </c>
      <c r="N70" s="65">
        <v>3</v>
      </c>
      <c r="O70" s="66">
        <f t="shared" si="15"/>
        <v>2.0999999999999996</v>
      </c>
      <c r="P70" s="65">
        <v>1</v>
      </c>
      <c r="Q70" s="66">
        <f t="shared" si="17"/>
        <v>0.7</v>
      </c>
      <c r="R70" s="65">
        <v>1</v>
      </c>
      <c r="S70" s="66">
        <f t="shared" si="18"/>
        <v>0.7</v>
      </c>
      <c r="T70" s="65">
        <v>2</v>
      </c>
      <c r="U70" s="66">
        <f t="shared" si="19"/>
        <v>1.4</v>
      </c>
      <c r="V70" s="65">
        <v>2</v>
      </c>
      <c r="W70" s="66">
        <f t="shared" si="20"/>
        <v>1.4</v>
      </c>
      <c r="X70" s="65">
        <v>1</v>
      </c>
      <c r="Y70" s="66">
        <f t="shared" si="21"/>
        <v>0.7</v>
      </c>
      <c r="Z70" s="63">
        <v>2</v>
      </c>
      <c r="AA70" s="66">
        <f t="shared" si="22"/>
        <v>1.4</v>
      </c>
      <c r="AB70" s="63">
        <v>3</v>
      </c>
      <c r="AC70" s="66">
        <f t="shared" si="23"/>
        <v>2.0999999999999996</v>
      </c>
      <c r="AD70" s="63">
        <v>6</v>
      </c>
      <c r="AE70" s="66">
        <f t="shared" si="24"/>
        <v>4.1999999999999993</v>
      </c>
      <c r="AF70" s="63">
        <v>5</v>
      </c>
      <c r="AG70" s="66">
        <f t="shared" si="25"/>
        <v>3.5</v>
      </c>
      <c r="AH70" s="63">
        <v>2</v>
      </c>
      <c r="AI70" s="66">
        <f t="shared" si="26"/>
        <v>1.4</v>
      </c>
    </row>
    <row r="71" spans="1:35" ht="16" thickBot="1" x14ac:dyDescent="0.4">
      <c r="A71" s="138" t="s">
        <v>51</v>
      </c>
      <c r="B71" s="154">
        <v>0.75</v>
      </c>
      <c r="C71" s="155"/>
      <c r="D71" s="60">
        <v>1</v>
      </c>
      <c r="E71" s="73">
        <f t="shared" si="16"/>
        <v>0.75</v>
      </c>
      <c r="F71" s="71">
        <v>1</v>
      </c>
      <c r="G71" s="82">
        <f t="shared" si="11"/>
        <v>0.75</v>
      </c>
      <c r="H71" s="71">
        <v>2</v>
      </c>
      <c r="I71" s="66">
        <f t="shared" si="12"/>
        <v>1.5</v>
      </c>
      <c r="J71" s="71">
        <v>1</v>
      </c>
      <c r="K71" s="69">
        <f t="shared" si="13"/>
        <v>0.75</v>
      </c>
      <c r="L71" s="71">
        <v>1</v>
      </c>
      <c r="M71" s="69">
        <f t="shared" si="14"/>
        <v>0.75</v>
      </c>
      <c r="N71" s="71">
        <v>0</v>
      </c>
      <c r="O71" s="66">
        <f t="shared" si="15"/>
        <v>0</v>
      </c>
      <c r="P71" s="71">
        <v>1</v>
      </c>
      <c r="Q71" s="66">
        <f t="shared" si="17"/>
        <v>0.75</v>
      </c>
      <c r="R71" s="71">
        <v>1</v>
      </c>
      <c r="S71" s="66">
        <f t="shared" si="18"/>
        <v>0.75</v>
      </c>
      <c r="T71" s="71">
        <v>2</v>
      </c>
      <c r="U71" s="66">
        <f t="shared" si="19"/>
        <v>1.5</v>
      </c>
      <c r="V71" s="71">
        <v>1</v>
      </c>
      <c r="W71" s="66">
        <f t="shared" si="20"/>
        <v>0.75</v>
      </c>
      <c r="X71" s="71">
        <v>1</v>
      </c>
      <c r="Y71" s="66">
        <f t="shared" si="21"/>
        <v>0.75</v>
      </c>
      <c r="Z71" s="63">
        <v>4</v>
      </c>
      <c r="AA71" s="66">
        <f t="shared" si="22"/>
        <v>3</v>
      </c>
      <c r="AB71" s="63">
        <v>2</v>
      </c>
      <c r="AC71" s="66">
        <f t="shared" si="23"/>
        <v>1.5</v>
      </c>
      <c r="AD71" s="63">
        <v>2</v>
      </c>
      <c r="AE71" s="66">
        <f t="shared" si="24"/>
        <v>1.5</v>
      </c>
      <c r="AF71" s="63">
        <v>2</v>
      </c>
      <c r="AG71" s="66">
        <f t="shared" si="25"/>
        <v>1.5</v>
      </c>
      <c r="AH71" s="63">
        <v>4</v>
      </c>
      <c r="AI71" s="66">
        <f t="shared" si="26"/>
        <v>3</v>
      </c>
    </row>
    <row r="72" spans="1:35" x14ac:dyDescent="0.35">
      <c r="A72" s="138" t="s">
        <v>0</v>
      </c>
      <c r="B72" s="154">
        <v>0.8</v>
      </c>
      <c r="C72" s="155"/>
      <c r="D72" s="84"/>
      <c r="E72" s="86"/>
      <c r="F72" s="85"/>
      <c r="G72" s="86"/>
      <c r="H72" s="59">
        <v>1</v>
      </c>
      <c r="I72" s="66">
        <f t="shared" si="12"/>
        <v>0.8</v>
      </c>
      <c r="J72" s="65">
        <v>1</v>
      </c>
      <c r="K72" s="69">
        <f t="shared" si="13"/>
        <v>0.8</v>
      </c>
      <c r="L72" s="65">
        <v>0</v>
      </c>
      <c r="M72" s="69">
        <f t="shared" si="14"/>
        <v>0</v>
      </c>
      <c r="N72" s="65">
        <v>1</v>
      </c>
      <c r="O72" s="66">
        <f t="shared" si="15"/>
        <v>0.8</v>
      </c>
      <c r="P72" s="65">
        <v>2</v>
      </c>
      <c r="Q72" s="66">
        <f t="shared" si="17"/>
        <v>1.6</v>
      </c>
      <c r="R72" s="65">
        <v>2</v>
      </c>
      <c r="S72" s="66">
        <f t="shared" si="18"/>
        <v>1.6</v>
      </c>
      <c r="T72" s="65">
        <v>1</v>
      </c>
      <c r="U72" s="66">
        <f t="shared" si="19"/>
        <v>0.8</v>
      </c>
      <c r="V72" s="65">
        <v>3</v>
      </c>
      <c r="W72" s="66">
        <f t="shared" si="20"/>
        <v>2.4000000000000004</v>
      </c>
      <c r="X72" s="65">
        <v>1</v>
      </c>
      <c r="Y72" s="66">
        <f t="shared" si="21"/>
        <v>0.8</v>
      </c>
      <c r="Z72" s="63">
        <v>2</v>
      </c>
      <c r="AA72" s="66">
        <f t="shared" si="22"/>
        <v>1.6</v>
      </c>
      <c r="AB72" s="63">
        <v>3</v>
      </c>
      <c r="AC72" s="66">
        <f t="shared" si="23"/>
        <v>2.4000000000000004</v>
      </c>
      <c r="AD72" s="63">
        <v>0</v>
      </c>
      <c r="AE72" s="66">
        <f t="shared" si="24"/>
        <v>0</v>
      </c>
      <c r="AF72" s="63">
        <v>2</v>
      </c>
      <c r="AG72" s="66">
        <f t="shared" si="25"/>
        <v>1.6</v>
      </c>
      <c r="AH72" s="63">
        <v>2</v>
      </c>
      <c r="AI72" s="66">
        <f t="shared" si="26"/>
        <v>1.6</v>
      </c>
    </row>
    <row r="73" spans="1:35" x14ac:dyDescent="0.35">
      <c r="A73" s="138" t="s">
        <v>1</v>
      </c>
      <c r="B73" s="154">
        <v>0.85</v>
      </c>
      <c r="C73" s="155"/>
      <c r="D73" s="83"/>
      <c r="E73" s="87"/>
      <c r="F73" s="80"/>
      <c r="G73" s="87"/>
      <c r="H73" s="59">
        <v>1</v>
      </c>
      <c r="I73" s="66">
        <f t="shared" si="12"/>
        <v>0.85</v>
      </c>
      <c r="J73" s="65">
        <v>2</v>
      </c>
      <c r="K73" s="69">
        <f t="shared" si="13"/>
        <v>1.7</v>
      </c>
      <c r="L73" s="65">
        <v>2</v>
      </c>
      <c r="M73" s="69">
        <f t="shared" si="14"/>
        <v>1.7</v>
      </c>
      <c r="N73" s="65">
        <v>2</v>
      </c>
      <c r="O73" s="66">
        <f t="shared" si="15"/>
        <v>1.7</v>
      </c>
      <c r="P73" s="65">
        <v>0</v>
      </c>
      <c r="Q73" s="66">
        <f t="shared" si="17"/>
        <v>0</v>
      </c>
      <c r="R73" s="65">
        <v>1</v>
      </c>
      <c r="S73" s="66">
        <f t="shared" si="18"/>
        <v>0.85</v>
      </c>
      <c r="T73" s="65">
        <v>1</v>
      </c>
      <c r="U73" s="66">
        <f t="shared" si="19"/>
        <v>0.85</v>
      </c>
      <c r="V73" s="65">
        <v>0</v>
      </c>
      <c r="W73" s="66">
        <f t="shared" si="20"/>
        <v>0</v>
      </c>
      <c r="X73" s="65">
        <v>2</v>
      </c>
      <c r="Y73" s="66">
        <f t="shared" si="21"/>
        <v>1.7</v>
      </c>
      <c r="Z73" s="63">
        <v>0</v>
      </c>
      <c r="AA73" s="66">
        <f t="shared" si="22"/>
        <v>0</v>
      </c>
      <c r="AB73" s="63">
        <v>1</v>
      </c>
      <c r="AC73" s="66">
        <f t="shared" si="23"/>
        <v>0.85</v>
      </c>
      <c r="AD73" s="63">
        <v>2</v>
      </c>
      <c r="AE73" s="66">
        <f t="shared" si="24"/>
        <v>1.7</v>
      </c>
      <c r="AF73" s="63">
        <v>1</v>
      </c>
      <c r="AG73" s="66">
        <f t="shared" si="25"/>
        <v>0.85</v>
      </c>
      <c r="AH73" s="63">
        <v>5</v>
      </c>
      <c r="AI73" s="66">
        <f t="shared" si="26"/>
        <v>4.25</v>
      </c>
    </row>
    <row r="74" spans="1:35" x14ac:dyDescent="0.35">
      <c r="A74" s="138" t="s">
        <v>2</v>
      </c>
      <c r="B74" s="154">
        <v>0.9</v>
      </c>
      <c r="C74" s="155"/>
      <c r="D74" s="83"/>
      <c r="E74" s="87"/>
      <c r="F74" s="80"/>
      <c r="G74" s="87"/>
      <c r="H74" s="59">
        <v>0</v>
      </c>
      <c r="I74" s="66">
        <f t="shared" si="12"/>
        <v>0</v>
      </c>
      <c r="J74" s="65">
        <v>2</v>
      </c>
      <c r="K74" s="69">
        <f t="shared" si="13"/>
        <v>1.8</v>
      </c>
      <c r="L74" s="65">
        <v>0</v>
      </c>
      <c r="M74" s="69">
        <f t="shared" si="14"/>
        <v>0</v>
      </c>
      <c r="N74" s="65">
        <v>2</v>
      </c>
      <c r="O74" s="66">
        <f t="shared" si="15"/>
        <v>1.8</v>
      </c>
      <c r="P74" s="65">
        <v>3</v>
      </c>
      <c r="Q74" s="66">
        <f t="shared" si="17"/>
        <v>2.7</v>
      </c>
      <c r="R74" s="65">
        <v>1</v>
      </c>
      <c r="S74" s="66">
        <f t="shared" si="18"/>
        <v>0.9</v>
      </c>
      <c r="T74" s="65">
        <v>2</v>
      </c>
      <c r="U74" s="66">
        <f t="shared" si="19"/>
        <v>1.8</v>
      </c>
      <c r="V74" s="65">
        <v>2</v>
      </c>
      <c r="W74" s="66">
        <f t="shared" si="20"/>
        <v>1.8</v>
      </c>
      <c r="X74" s="65">
        <v>1</v>
      </c>
      <c r="Y74" s="66">
        <f t="shared" si="21"/>
        <v>0.9</v>
      </c>
      <c r="Z74" s="63">
        <v>1</v>
      </c>
      <c r="AA74" s="66">
        <f t="shared" si="22"/>
        <v>0.9</v>
      </c>
      <c r="AB74" s="63">
        <v>2</v>
      </c>
      <c r="AC74" s="66">
        <f t="shared" si="23"/>
        <v>1.8</v>
      </c>
      <c r="AD74" s="63">
        <v>2</v>
      </c>
      <c r="AE74" s="66">
        <f t="shared" si="24"/>
        <v>1.8</v>
      </c>
      <c r="AF74" s="63">
        <v>0</v>
      </c>
      <c r="AG74" s="66">
        <f t="shared" si="25"/>
        <v>0</v>
      </c>
      <c r="AH74" s="63">
        <v>1</v>
      </c>
      <c r="AI74" s="66">
        <f t="shared" si="26"/>
        <v>0.9</v>
      </c>
    </row>
    <row r="75" spans="1:35" ht="16" thickBot="1" x14ac:dyDescent="0.4">
      <c r="A75" s="138" t="s">
        <v>3</v>
      </c>
      <c r="B75" s="154">
        <v>0.95</v>
      </c>
      <c r="C75" s="155"/>
      <c r="D75" s="83"/>
      <c r="E75" s="87"/>
      <c r="F75" s="80"/>
      <c r="G75" s="87"/>
      <c r="H75" s="60">
        <v>1</v>
      </c>
      <c r="I75" s="73">
        <f t="shared" si="12"/>
        <v>0.95</v>
      </c>
      <c r="J75" s="71">
        <v>1</v>
      </c>
      <c r="K75" s="82">
        <f t="shared" si="13"/>
        <v>0.95</v>
      </c>
      <c r="L75" s="71">
        <v>2</v>
      </c>
      <c r="M75" s="69">
        <f t="shared" si="14"/>
        <v>1.9</v>
      </c>
      <c r="N75" s="71">
        <v>0</v>
      </c>
      <c r="O75" s="66">
        <f t="shared" si="15"/>
        <v>0</v>
      </c>
      <c r="P75" s="71">
        <v>0</v>
      </c>
      <c r="Q75" s="66">
        <f t="shared" si="17"/>
        <v>0</v>
      </c>
      <c r="R75" s="71">
        <v>1</v>
      </c>
      <c r="S75" s="66">
        <f t="shared" si="18"/>
        <v>0.95</v>
      </c>
      <c r="T75" s="71">
        <v>1</v>
      </c>
      <c r="U75" s="66">
        <f t="shared" si="19"/>
        <v>0.95</v>
      </c>
      <c r="V75" s="71">
        <v>0</v>
      </c>
      <c r="W75" s="66">
        <f t="shared" si="20"/>
        <v>0</v>
      </c>
      <c r="X75" s="71">
        <v>1</v>
      </c>
      <c r="Y75" s="66">
        <f t="shared" si="21"/>
        <v>0.95</v>
      </c>
      <c r="Z75" s="63">
        <v>3</v>
      </c>
      <c r="AA75" s="66">
        <f t="shared" si="22"/>
        <v>2.8499999999999996</v>
      </c>
      <c r="AB75" s="63">
        <v>1</v>
      </c>
      <c r="AC75" s="66">
        <f t="shared" si="23"/>
        <v>0.95</v>
      </c>
      <c r="AD75" s="63">
        <v>1</v>
      </c>
      <c r="AE75" s="66">
        <f t="shared" si="24"/>
        <v>0.95</v>
      </c>
      <c r="AF75" s="63">
        <v>1</v>
      </c>
      <c r="AG75" s="66">
        <f t="shared" si="25"/>
        <v>0.95</v>
      </c>
      <c r="AH75" s="63">
        <v>1</v>
      </c>
      <c r="AI75" s="66">
        <f t="shared" si="26"/>
        <v>0.95</v>
      </c>
    </row>
    <row r="76" spans="1:35" x14ac:dyDescent="0.35">
      <c r="A76" s="138" t="s">
        <v>85</v>
      </c>
      <c r="B76" s="154">
        <v>1</v>
      </c>
      <c r="C76" s="155"/>
      <c r="D76" s="83"/>
      <c r="E76" s="87"/>
      <c r="F76" s="80"/>
      <c r="G76" s="81"/>
      <c r="H76" s="84"/>
      <c r="I76" s="86"/>
      <c r="J76" s="84"/>
      <c r="K76" s="86"/>
      <c r="L76" s="60">
        <v>0</v>
      </c>
      <c r="M76" s="69">
        <f t="shared" si="14"/>
        <v>0</v>
      </c>
      <c r="N76" s="71">
        <v>1</v>
      </c>
      <c r="O76" s="66">
        <f t="shared" si="15"/>
        <v>1</v>
      </c>
      <c r="P76" s="71">
        <v>0</v>
      </c>
      <c r="Q76" s="66">
        <f t="shared" si="17"/>
        <v>0</v>
      </c>
      <c r="R76" s="71">
        <v>2</v>
      </c>
      <c r="S76" s="66">
        <f t="shared" si="18"/>
        <v>2</v>
      </c>
      <c r="T76" s="71">
        <v>0</v>
      </c>
      <c r="U76" s="66">
        <f t="shared" si="19"/>
        <v>0</v>
      </c>
      <c r="V76" s="71">
        <v>1</v>
      </c>
      <c r="W76" s="66">
        <f t="shared" si="20"/>
        <v>1</v>
      </c>
      <c r="X76" s="71">
        <v>1</v>
      </c>
      <c r="Y76" s="66">
        <f t="shared" si="21"/>
        <v>1</v>
      </c>
      <c r="Z76" s="63">
        <v>1</v>
      </c>
      <c r="AA76" s="66">
        <f t="shared" si="22"/>
        <v>1</v>
      </c>
      <c r="AB76" s="63">
        <v>2</v>
      </c>
      <c r="AC76" s="66">
        <f t="shared" si="23"/>
        <v>2</v>
      </c>
      <c r="AD76" s="63">
        <v>4</v>
      </c>
      <c r="AE76" s="66">
        <f t="shared" si="24"/>
        <v>4</v>
      </c>
      <c r="AF76" s="63">
        <v>2</v>
      </c>
      <c r="AG76" s="66">
        <f t="shared" si="25"/>
        <v>2</v>
      </c>
      <c r="AH76" s="63">
        <v>2</v>
      </c>
      <c r="AI76" s="66">
        <f t="shared" si="26"/>
        <v>2</v>
      </c>
    </row>
    <row r="77" spans="1:35" ht="16" thickBot="1" x14ac:dyDescent="0.4">
      <c r="A77" s="138" t="s">
        <v>57</v>
      </c>
      <c r="B77" s="154">
        <v>1.05</v>
      </c>
      <c r="C77" s="155"/>
      <c r="D77" s="83"/>
      <c r="E77" s="87"/>
      <c r="F77" s="80"/>
      <c r="G77" s="81"/>
      <c r="H77" s="83"/>
      <c r="I77" s="87"/>
      <c r="J77" s="83"/>
      <c r="K77" s="87"/>
      <c r="L77" s="79">
        <v>1</v>
      </c>
      <c r="M77" s="70">
        <f t="shared" si="14"/>
        <v>1.05</v>
      </c>
      <c r="N77" s="71">
        <v>0</v>
      </c>
      <c r="O77" s="66">
        <f t="shared" si="15"/>
        <v>0</v>
      </c>
      <c r="P77" s="65">
        <v>1</v>
      </c>
      <c r="Q77" s="66">
        <f t="shared" si="17"/>
        <v>1.05</v>
      </c>
      <c r="R77" s="65">
        <v>1</v>
      </c>
      <c r="S77" s="66">
        <f t="shared" si="18"/>
        <v>1.05</v>
      </c>
      <c r="T77" s="65">
        <v>1</v>
      </c>
      <c r="U77" s="66">
        <f t="shared" si="19"/>
        <v>1.05</v>
      </c>
      <c r="V77" s="65">
        <v>0</v>
      </c>
      <c r="W77" s="66">
        <f t="shared" si="20"/>
        <v>0</v>
      </c>
      <c r="X77" s="65">
        <v>0</v>
      </c>
      <c r="Y77" s="66">
        <f t="shared" si="21"/>
        <v>0</v>
      </c>
      <c r="Z77" s="63">
        <v>0</v>
      </c>
      <c r="AA77" s="66">
        <f t="shared" si="22"/>
        <v>0</v>
      </c>
      <c r="AB77" s="63">
        <v>0</v>
      </c>
      <c r="AC77" s="66">
        <f t="shared" si="23"/>
        <v>0</v>
      </c>
      <c r="AD77" s="63">
        <v>2</v>
      </c>
      <c r="AE77" s="66">
        <f t="shared" si="24"/>
        <v>2.1</v>
      </c>
      <c r="AF77" s="63">
        <v>2</v>
      </c>
      <c r="AG77" s="66">
        <f t="shared" si="25"/>
        <v>2.1</v>
      </c>
      <c r="AH77" s="63">
        <v>1</v>
      </c>
      <c r="AI77" s="66">
        <f t="shared" si="26"/>
        <v>1.05</v>
      </c>
    </row>
    <row r="78" spans="1:35" x14ac:dyDescent="0.35">
      <c r="A78" s="139" t="s">
        <v>87</v>
      </c>
      <c r="B78" s="154">
        <v>1.1000000000000001</v>
      </c>
      <c r="C78" s="155"/>
      <c r="D78" s="83"/>
      <c r="E78" s="87"/>
      <c r="F78" s="80"/>
      <c r="G78" s="81"/>
      <c r="H78" s="83"/>
      <c r="I78" s="87"/>
      <c r="J78" s="83"/>
      <c r="K78" s="87"/>
      <c r="L78" s="80"/>
      <c r="M78" s="86"/>
      <c r="N78" s="59">
        <v>0</v>
      </c>
      <c r="O78" s="66">
        <f t="shared" si="15"/>
        <v>0</v>
      </c>
      <c r="P78" s="65">
        <v>1</v>
      </c>
      <c r="Q78" s="66">
        <f t="shared" si="17"/>
        <v>1.1000000000000001</v>
      </c>
      <c r="R78" s="65">
        <v>0</v>
      </c>
      <c r="S78" s="66">
        <f t="shared" si="18"/>
        <v>0</v>
      </c>
      <c r="T78" s="65">
        <v>1</v>
      </c>
      <c r="U78" s="66">
        <f t="shared" si="19"/>
        <v>1.1000000000000001</v>
      </c>
      <c r="V78" s="65">
        <v>0</v>
      </c>
      <c r="W78" s="66">
        <f t="shared" si="20"/>
        <v>0</v>
      </c>
      <c r="X78" s="65">
        <v>1</v>
      </c>
      <c r="Y78" s="66">
        <f t="shared" si="21"/>
        <v>1.1000000000000001</v>
      </c>
      <c r="Z78" s="63">
        <v>1</v>
      </c>
      <c r="AA78" s="66">
        <f t="shared" si="22"/>
        <v>1.1000000000000001</v>
      </c>
      <c r="AB78" s="63">
        <v>2</v>
      </c>
      <c r="AC78" s="66">
        <f t="shared" si="23"/>
        <v>2.2000000000000002</v>
      </c>
      <c r="AD78" s="63">
        <v>0</v>
      </c>
      <c r="AE78" s="66">
        <f t="shared" si="24"/>
        <v>0</v>
      </c>
      <c r="AF78" s="63">
        <v>1</v>
      </c>
      <c r="AG78" s="66">
        <f t="shared" si="25"/>
        <v>1.1000000000000001</v>
      </c>
      <c r="AH78" s="63">
        <v>1</v>
      </c>
      <c r="AI78" s="66">
        <f t="shared" si="26"/>
        <v>1.1000000000000001</v>
      </c>
    </row>
    <row r="79" spans="1:35" ht="16" thickBot="1" x14ac:dyDescent="0.4">
      <c r="A79" s="139" t="s">
        <v>72</v>
      </c>
      <c r="B79" s="154">
        <v>1.1499999999999999</v>
      </c>
      <c r="C79" s="155"/>
      <c r="D79" s="83"/>
      <c r="E79" s="87"/>
      <c r="F79" s="80"/>
      <c r="G79" s="81"/>
      <c r="H79" s="83"/>
      <c r="I79" s="87"/>
      <c r="J79" s="83"/>
      <c r="K79" s="87"/>
      <c r="L79" s="80"/>
      <c r="M79" s="81"/>
      <c r="N79" s="72">
        <v>2</v>
      </c>
      <c r="O79" s="73">
        <f>N79*B79</f>
        <v>2.2999999999999998</v>
      </c>
      <c r="P79" s="72">
        <v>0</v>
      </c>
      <c r="Q79" s="69">
        <f t="shared" si="17"/>
        <v>0</v>
      </c>
      <c r="R79" s="65">
        <v>0</v>
      </c>
      <c r="S79" s="66">
        <f t="shared" si="18"/>
        <v>0</v>
      </c>
      <c r="T79" s="65">
        <v>0</v>
      </c>
      <c r="U79" s="66">
        <f t="shared" si="19"/>
        <v>0</v>
      </c>
      <c r="V79" s="65">
        <v>1</v>
      </c>
      <c r="W79" s="66">
        <f t="shared" si="20"/>
        <v>1.1499999999999999</v>
      </c>
      <c r="X79" s="65">
        <v>1</v>
      </c>
      <c r="Y79" s="66">
        <f t="shared" si="21"/>
        <v>1.1499999999999999</v>
      </c>
      <c r="Z79" s="63">
        <v>1</v>
      </c>
      <c r="AA79" s="66">
        <f t="shared" si="22"/>
        <v>1.1499999999999999</v>
      </c>
      <c r="AB79" s="63">
        <v>2</v>
      </c>
      <c r="AC79" s="66">
        <f t="shared" si="23"/>
        <v>2.2999999999999998</v>
      </c>
      <c r="AD79" s="63">
        <v>0</v>
      </c>
      <c r="AE79" s="66">
        <f t="shared" si="24"/>
        <v>0</v>
      </c>
      <c r="AF79" s="63">
        <v>2</v>
      </c>
      <c r="AG79" s="66">
        <f t="shared" si="25"/>
        <v>2.2999999999999998</v>
      </c>
      <c r="AH79" s="63">
        <v>3</v>
      </c>
      <c r="AI79" s="66">
        <f t="shared" si="26"/>
        <v>3.4499999999999997</v>
      </c>
    </row>
    <row r="80" spans="1:35" x14ac:dyDescent="0.35">
      <c r="A80" s="139" t="s">
        <v>89</v>
      </c>
      <c r="B80" s="154">
        <v>1.2</v>
      </c>
      <c r="C80" s="155"/>
      <c r="D80" s="83"/>
      <c r="E80" s="87"/>
      <c r="F80" s="83"/>
      <c r="G80" s="87"/>
      <c r="H80" s="83"/>
      <c r="I80" s="87"/>
      <c r="J80" s="83"/>
      <c r="K80" s="87"/>
      <c r="L80" s="80"/>
      <c r="M80" s="81"/>
      <c r="N80" s="84"/>
      <c r="O80" s="86"/>
      <c r="P80" s="84"/>
      <c r="Q80" s="86"/>
      <c r="R80" s="65">
        <v>0</v>
      </c>
      <c r="S80" s="66">
        <f t="shared" si="18"/>
        <v>0</v>
      </c>
      <c r="T80" s="65">
        <v>1</v>
      </c>
      <c r="U80" s="66">
        <f t="shared" si="19"/>
        <v>1.2</v>
      </c>
      <c r="V80" s="65">
        <v>1</v>
      </c>
      <c r="W80" s="66">
        <f t="shared" si="20"/>
        <v>1.2</v>
      </c>
      <c r="X80" s="65">
        <v>0</v>
      </c>
      <c r="Y80" s="66">
        <f t="shared" si="21"/>
        <v>0</v>
      </c>
      <c r="Z80" s="63">
        <v>0</v>
      </c>
      <c r="AA80" s="66">
        <f t="shared" si="22"/>
        <v>0</v>
      </c>
      <c r="AB80" s="63">
        <v>1</v>
      </c>
      <c r="AC80" s="66">
        <f t="shared" si="23"/>
        <v>1.2</v>
      </c>
      <c r="AD80" s="63">
        <v>0</v>
      </c>
      <c r="AE80" s="66">
        <f t="shared" si="24"/>
        <v>0</v>
      </c>
      <c r="AF80" s="63">
        <v>3</v>
      </c>
      <c r="AG80" s="66">
        <f t="shared" si="25"/>
        <v>3.5999999999999996</v>
      </c>
      <c r="AH80" s="63">
        <v>2</v>
      </c>
      <c r="AI80" s="66">
        <f t="shared" si="26"/>
        <v>2.4</v>
      </c>
    </row>
    <row r="81" spans="1:35" x14ac:dyDescent="0.35">
      <c r="A81" s="138" t="s">
        <v>90</v>
      </c>
      <c r="B81" s="154">
        <v>1.25</v>
      </c>
      <c r="C81" s="155"/>
      <c r="D81" s="83"/>
      <c r="E81" s="87"/>
      <c r="F81" s="83"/>
      <c r="G81" s="87"/>
      <c r="H81" s="83"/>
      <c r="I81" s="87"/>
      <c r="J81" s="83"/>
      <c r="K81" s="87"/>
      <c r="L81" s="80"/>
      <c r="M81" s="81"/>
      <c r="N81" s="83"/>
      <c r="O81" s="87"/>
      <c r="P81" s="83"/>
      <c r="Q81" s="87"/>
      <c r="R81" s="65">
        <v>1</v>
      </c>
      <c r="S81" s="66">
        <f t="shared" si="18"/>
        <v>1.25</v>
      </c>
      <c r="T81" s="65">
        <v>1</v>
      </c>
      <c r="U81" s="66">
        <f t="shared" si="19"/>
        <v>1.25</v>
      </c>
      <c r="V81" s="65">
        <v>0</v>
      </c>
      <c r="W81" s="66">
        <f t="shared" si="20"/>
        <v>0</v>
      </c>
      <c r="X81" s="65">
        <v>1</v>
      </c>
      <c r="Y81" s="66">
        <f t="shared" si="21"/>
        <v>1.25</v>
      </c>
      <c r="Z81" s="63">
        <v>1</v>
      </c>
      <c r="AA81" s="66">
        <f t="shared" si="22"/>
        <v>1.25</v>
      </c>
      <c r="AB81" s="63">
        <v>0</v>
      </c>
      <c r="AC81" s="66">
        <f t="shared" si="23"/>
        <v>0</v>
      </c>
      <c r="AD81" s="63">
        <v>1</v>
      </c>
      <c r="AE81" s="66">
        <f t="shared" si="24"/>
        <v>1.25</v>
      </c>
      <c r="AF81" s="63">
        <v>1</v>
      </c>
      <c r="AG81" s="66">
        <f t="shared" si="25"/>
        <v>1.25</v>
      </c>
      <c r="AH81" s="63">
        <v>1</v>
      </c>
      <c r="AI81" s="66">
        <f t="shared" si="26"/>
        <v>1.25</v>
      </c>
    </row>
    <row r="82" spans="1:35" ht="16" thickBot="1" x14ac:dyDescent="0.4">
      <c r="A82" s="138" t="s">
        <v>91</v>
      </c>
      <c r="B82" s="154">
        <v>1.3</v>
      </c>
      <c r="C82" s="155"/>
      <c r="D82" s="83"/>
      <c r="E82" s="87"/>
      <c r="F82" s="83"/>
      <c r="G82" s="87"/>
      <c r="H82" s="83"/>
      <c r="I82" s="87"/>
      <c r="J82" s="83"/>
      <c r="K82" s="87"/>
      <c r="L82" s="80"/>
      <c r="M82" s="81"/>
      <c r="N82" s="83"/>
      <c r="O82" s="87"/>
      <c r="P82" s="83"/>
      <c r="Q82" s="87"/>
      <c r="R82" s="134">
        <v>1</v>
      </c>
      <c r="S82" s="143">
        <f t="shared" ref="S82" si="27">R82*B82</f>
        <v>1.3</v>
      </c>
      <c r="T82" s="134">
        <v>1</v>
      </c>
      <c r="U82" s="143">
        <f t="shared" si="19"/>
        <v>1.3</v>
      </c>
      <c r="V82" s="65">
        <v>0</v>
      </c>
      <c r="W82" s="66">
        <f t="shared" si="20"/>
        <v>0</v>
      </c>
      <c r="X82" s="65">
        <v>0</v>
      </c>
      <c r="Y82" s="66">
        <f t="shared" si="21"/>
        <v>0</v>
      </c>
      <c r="Z82" s="63">
        <v>0</v>
      </c>
      <c r="AA82" s="66">
        <f t="shared" si="22"/>
        <v>0</v>
      </c>
      <c r="AB82" s="63">
        <v>0</v>
      </c>
      <c r="AC82" s="66">
        <f t="shared" si="23"/>
        <v>0</v>
      </c>
      <c r="AD82" s="63">
        <v>0</v>
      </c>
      <c r="AE82" s="66">
        <f t="shared" si="24"/>
        <v>0</v>
      </c>
      <c r="AF82" s="63">
        <v>0</v>
      </c>
      <c r="AG82" s="66">
        <f t="shared" si="25"/>
        <v>0</v>
      </c>
      <c r="AH82" s="63">
        <v>0</v>
      </c>
      <c r="AI82" s="66">
        <f t="shared" si="26"/>
        <v>0</v>
      </c>
    </row>
    <row r="83" spans="1:35" x14ac:dyDescent="0.35">
      <c r="A83" s="138" t="s">
        <v>95</v>
      </c>
      <c r="B83" s="154">
        <v>1.35</v>
      </c>
      <c r="C83" s="155"/>
      <c r="D83" s="83"/>
      <c r="E83" s="87"/>
      <c r="F83" s="83"/>
      <c r="G83" s="87"/>
      <c r="H83" s="83"/>
      <c r="I83" s="87"/>
      <c r="J83" s="83"/>
      <c r="K83" s="87"/>
      <c r="L83" s="80"/>
      <c r="M83" s="81"/>
      <c r="N83" s="83"/>
      <c r="O83" s="87"/>
      <c r="P83" s="83"/>
      <c r="Q83" s="87"/>
      <c r="R83" s="83"/>
      <c r="S83" s="87"/>
      <c r="T83" s="83"/>
      <c r="U83" s="87"/>
      <c r="V83" s="65">
        <v>2</v>
      </c>
      <c r="W83" s="66">
        <f t="shared" si="20"/>
        <v>2.7</v>
      </c>
      <c r="X83" s="65">
        <v>0</v>
      </c>
      <c r="Y83" s="66">
        <f t="shared" si="21"/>
        <v>0</v>
      </c>
      <c r="Z83" s="63">
        <v>0</v>
      </c>
      <c r="AA83" s="66">
        <f t="shared" si="22"/>
        <v>0</v>
      </c>
      <c r="AB83" s="63">
        <v>0</v>
      </c>
      <c r="AC83" s="66">
        <f t="shared" si="23"/>
        <v>0</v>
      </c>
      <c r="AD83" s="63">
        <v>0</v>
      </c>
      <c r="AE83" s="66">
        <f t="shared" si="24"/>
        <v>0</v>
      </c>
      <c r="AF83" s="63">
        <v>1</v>
      </c>
      <c r="AG83" s="66">
        <f t="shared" si="25"/>
        <v>1.35</v>
      </c>
      <c r="AH83" s="63">
        <v>0</v>
      </c>
      <c r="AI83" s="66">
        <f t="shared" si="26"/>
        <v>0</v>
      </c>
    </row>
    <row r="84" spans="1:35" x14ac:dyDescent="0.35">
      <c r="A84" s="138" t="s">
        <v>96</v>
      </c>
      <c r="B84" s="154">
        <v>1.4</v>
      </c>
      <c r="C84" s="155"/>
      <c r="D84" s="83"/>
      <c r="E84" s="87"/>
      <c r="F84" s="83"/>
      <c r="G84" s="87"/>
      <c r="H84" s="83"/>
      <c r="I84" s="87"/>
      <c r="J84" s="83"/>
      <c r="K84" s="87"/>
      <c r="L84" s="80"/>
      <c r="M84" s="81"/>
      <c r="N84" s="83"/>
      <c r="O84" s="87"/>
      <c r="P84" s="83"/>
      <c r="Q84" s="87"/>
      <c r="R84" s="83"/>
      <c r="S84" s="87"/>
      <c r="T84" s="83"/>
      <c r="U84" s="87"/>
      <c r="V84" s="71">
        <v>0</v>
      </c>
      <c r="W84" s="66">
        <f t="shared" si="20"/>
        <v>0</v>
      </c>
      <c r="X84" s="71">
        <v>0</v>
      </c>
      <c r="Y84" s="66">
        <f t="shared" si="21"/>
        <v>0</v>
      </c>
      <c r="Z84" s="63">
        <v>0</v>
      </c>
      <c r="AA84" s="66">
        <f t="shared" si="22"/>
        <v>0</v>
      </c>
      <c r="AB84" s="63">
        <v>0</v>
      </c>
      <c r="AC84" s="66">
        <f t="shared" si="23"/>
        <v>0</v>
      </c>
      <c r="AD84" s="63">
        <v>2</v>
      </c>
      <c r="AE84" s="66">
        <f t="shared" si="24"/>
        <v>2.8</v>
      </c>
      <c r="AF84" s="63">
        <v>0</v>
      </c>
      <c r="AG84" s="66">
        <f t="shared" si="25"/>
        <v>0</v>
      </c>
      <c r="AH84" s="63">
        <v>0</v>
      </c>
      <c r="AI84" s="66">
        <f t="shared" si="26"/>
        <v>0</v>
      </c>
    </row>
    <row r="85" spans="1:35" x14ac:dyDescent="0.35">
      <c r="A85" s="138" t="s">
        <v>97</v>
      </c>
      <c r="B85" s="154">
        <v>1.45</v>
      </c>
      <c r="C85" s="155"/>
      <c r="D85" s="83"/>
      <c r="E85" s="87"/>
      <c r="F85" s="83"/>
      <c r="G85" s="87"/>
      <c r="H85" s="83"/>
      <c r="I85" s="87"/>
      <c r="J85" s="83"/>
      <c r="K85" s="87"/>
      <c r="L85" s="80"/>
      <c r="M85" s="81"/>
      <c r="N85" s="83"/>
      <c r="O85" s="87"/>
      <c r="P85" s="83"/>
      <c r="Q85" s="87"/>
      <c r="R85" s="83"/>
      <c r="S85" s="87"/>
      <c r="T85" s="83"/>
      <c r="U85" s="87"/>
      <c r="V85" s="71">
        <v>0</v>
      </c>
      <c r="W85" s="66">
        <f t="shared" si="20"/>
        <v>0</v>
      </c>
      <c r="X85" s="71">
        <v>0</v>
      </c>
      <c r="Y85" s="66">
        <f t="shared" si="21"/>
        <v>0</v>
      </c>
      <c r="Z85" s="63">
        <v>0</v>
      </c>
      <c r="AA85" s="66">
        <f t="shared" si="22"/>
        <v>0</v>
      </c>
      <c r="AB85" s="63">
        <v>0</v>
      </c>
      <c r="AC85" s="66">
        <f t="shared" si="23"/>
        <v>0</v>
      </c>
      <c r="AD85" s="63">
        <v>0</v>
      </c>
      <c r="AE85" s="66">
        <f t="shared" si="24"/>
        <v>0</v>
      </c>
      <c r="AF85" s="63">
        <v>0</v>
      </c>
      <c r="AG85" s="66">
        <f t="shared" si="25"/>
        <v>0</v>
      </c>
      <c r="AH85" s="63">
        <v>2</v>
      </c>
      <c r="AI85" s="66">
        <f t="shared" si="26"/>
        <v>2.9</v>
      </c>
    </row>
    <row r="86" spans="1:35" x14ac:dyDescent="0.35">
      <c r="A86" s="138" t="s">
        <v>98</v>
      </c>
      <c r="B86" s="154">
        <v>1.5</v>
      </c>
      <c r="C86" s="155"/>
      <c r="D86" s="83"/>
      <c r="E86" s="87"/>
      <c r="F86" s="83"/>
      <c r="G86" s="87"/>
      <c r="H86" s="83"/>
      <c r="I86" s="87"/>
      <c r="J86" s="83"/>
      <c r="K86" s="87"/>
      <c r="L86" s="80"/>
      <c r="M86" s="81"/>
      <c r="N86" s="83"/>
      <c r="O86" s="87"/>
      <c r="P86" s="83"/>
      <c r="Q86" s="87"/>
      <c r="R86" s="83"/>
      <c r="S86" s="87"/>
      <c r="T86" s="83"/>
      <c r="U86" s="87"/>
      <c r="V86" s="71">
        <v>0</v>
      </c>
      <c r="W86" s="66">
        <f t="shared" si="20"/>
        <v>0</v>
      </c>
      <c r="X86" s="71">
        <v>0</v>
      </c>
      <c r="Y86" s="66">
        <f t="shared" si="21"/>
        <v>0</v>
      </c>
      <c r="Z86" s="63">
        <v>0</v>
      </c>
      <c r="AA86" s="66">
        <f t="shared" si="22"/>
        <v>0</v>
      </c>
      <c r="AB86" s="63">
        <v>0</v>
      </c>
      <c r="AC86" s="66">
        <f t="shared" si="23"/>
        <v>0</v>
      </c>
      <c r="AD86" s="63">
        <v>1</v>
      </c>
      <c r="AE86" s="66">
        <f t="shared" si="24"/>
        <v>1.5</v>
      </c>
      <c r="AF86" s="63">
        <v>2</v>
      </c>
      <c r="AG86" s="66">
        <f t="shared" si="25"/>
        <v>3</v>
      </c>
      <c r="AH86" s="63">
        <v>0</v>
      </c>
      <c r="AI86" s="66">
        <f t="shared" si="26"/>
        <v>0</v>
      </c>
    </row>
    <row r="87" spans="1:35" x14ac:dyDescent="0.35">
      <c r="A87" s="138" t="s">
        <v>99</v>
      </c>
      <c r="B87" s="154">
        <v>1.55</v>
      </c>
      <c r="C87" s="155"/>
      <c r="D87" s="83"/>
      <c r="E87" s="87"/>
      <c r="F87" s="83"/>
      <c r="G87" s="87"/>
      <c r="H87" s="83"/>
      <c r="I87" s="87"/>
      <c r="J87" s="83"/>
      <c r="K87" s="87"/>
      <c r="L87" s="80"/>
      <c r="M87" s="81"/>
      <c r="N87" s="83"/>
      <c r="O87" s="87"/>
      <c r="P87" s="83"/>
      <c r="Q87" s="87"/>
      <c r="R87" s="83"/>
      <c r="S87" s="87"/>
      <c r="T87" s="83"/>
      <c r="U87" s="87"/>
      <c r="V87" s="71">
        <v>0</v>
      </c>
      <c r="W87" s="66">
        <f t="shared" si="20"/>
        <v>0</v>
      </c>
      <c r="X87" s="71">
        <v>0</v>
      </c>
      <c r="Y87" s="66">
        <f t="shared" si="21"/>
        <v>0</v>
      </c>
      <c r="Z87" s="63">
        <v>1</v>
      </c>
      <c r="AA87" s="66">
        <f t="shared" si="22"/>
        <v>1.55</v>
      </c>
      <c r="AB87" s="63">
        <v>0</v>
      </c>
      <c r="AC87" s="66">
        <f t="shared" si="23"/>
        <v>0</v>
      </c>
      <c r="AD87" s="63">
        <v>0</v>
      </c>
      <c r="AE87" s="66">
        <f t="shared" si="24"/>
        <v>0</v>
      </c>
      <c r="AF87" s="63">
        <v>0</v>
      </c>
      <c r="AG87" s="66">
        <f t="shared" si="25"/>
        <v>0</v>
      </c>
      <c r="AH87" s="63">
        <v>0</v>
      </c>
      <c r="AI87" s="66">
        <f t="shared" si="26"/>
        <v>0</v>
      </c>
    </row>
    <row r="88" spans="1:35" x14ac:dyDescent="0.35">
      <c r="A88" s="138" t="s">
        <v>100</v>
      </c>
      <c r="B88" s="154">
        <v>1.6</v>
      </c>
      <c r="C88" s="155"/>
      <c r="D88" s="83"/>
      <c r="E88" s="87"/>
      <c r="F88" s="83"/>
      <c r="G88" s="87"/>
      <c r="H88" s="83"/>
      <c r="I88" s="87"/>
      <c r="J88" s="83"/>
      <c r="K88" s="87"/>
      <c r="L88" s="80"/>
      <c r="M88" s="81"/>
      <c r="N88" s="83"/>
      <c r="O88" s="87"/>
      <c r="P88" s="83"/>
      <c r="Q88" s="87"/>
      <c r="R88" s="83"/>
      <c r="S88" s="87"/>
      <c r="T88" s="83"/>
      <c r="U88" s="87"/>
      <c r="V88" s="71">
        <v>0</v>
      </c>
      <c r="W88" s="66">
        <f t="shared" si="20"/>
        <v>0</v>
      </c>
      <c r="X88" s="71">
        <v>0</v>
      </c>
      <c r="Y88" s="66">
        <f t="shared" si="21"/>
        <v>0</v>
      </c>
      <c r="Z88" s="63">
        <v>0</v>
      </c>
      <c r="AA88" s="66">
        <f t="shared" si="22"/>
        <v>0</v>
      </c>
      <c r="AB88" s="63">
        <v>0</v>
      </c>
      <c r="AC88" s="66">
        <f t="shared" si="23"/>
        <v>0</v>
      </c>
      <c r="AD88" s="63">
        <v>0</v>
      </c>
      <c r="AE88" s="66">
        <f t="shared" si="24"/>
        <v>0</v>
      </c>
      <c r="AF88" s="63">
        <v>0</v>
      </c>
      <c r="AG88" s="66">
        <f t="shared" si="25"/>
        <v>0</v>
      </c>
      <c r="AH88" s="63">
        <v>0</v>
      </c>
      <c r="AI88" s="66">
        <f t="shared" si="26"/>
        <v>0</v>
      </c>
    </row>
    <row r="89" spans="1:35" ht="16" thickBot="1" x14ac:dyDescent="0.4">
      <c r="A89" s="138" t="s">
        <v>101</v>
      </c>
      <c r="B89" s="154">
        <v>1.65</v>
      </c>
      <c r="C89" s="155"/>
      <c r="D89" s="83"/>
      <c r="E89" s="87"/>
      <c r="F89" s="83"/>
      <c r="G89" s="87"/>
      <c r="H89" s="83"/>
      <c r="I89" s="87"/>
      <c r="J89" s="83"/>
      <c r="K89" s="87"/>
      <c r="L89" s="80"/>
      <c r="M89" s="81"/>
      <c r="N89" s="83"/>
      <c r="O89" s="87"/>
      <c r="P89" s="83"/>
      <c r="Q89" s="87"/>
      <c r="R89" s="83"/>
      <c r="S89" s="87"/>
      <c r="T89" s="83"/>
      <c r="U89" s="87"/>
      <c r="V89" s="134">
        <v>1</v>
      </c>
      <c r="W89" s="143">
        <f t="shared" si="20"/>
        <v>1.65</v>
      </c>
      <c r="X89" s="71">
        <v>2</v>
      </c>
      <c r="Y89" s="66">
        <f t="shared" si="21"/>
        <v>3.3</v>
      </c>
      <c r="Z89" s="63">
        <v>0</v>
      </c>
      <c r="AA89" s="66">
        <f t="shared" si="22"/>
        <v>0</v>
      </c>
      <c r="AB89" s="63">
        <v>0</v>
      </c>
      <c r="AC89" s="66">
        <f t="shared" si="23"/>
        <v>0</v>
      </c>
      <c r="AD89" s="63">
        <v>0</v>
      </c>
      <c r="AE89" s="66">
        <f t="shared" si="24"/>
        <v>0</v>
      </c>
      <c r="AF89" s="63">
        <v>1</v>
      </c>
      <c r="AG89" s="66">
        <f t="shared" si="25"/>
        <v>1.65</v>
      </c>
      <c r="AH89" s="63">
        <v>0</v>
      </c>
      <c r="AI89" s="66">
        <f t="shared" si="26"/>
        <v>0</v>
      </c>
    </row>
    <row r="90" spans="1:35" ht="16" thickBot="1" x14ac:dyDescent="0.4">
      <c r="A90" s="138" t="s">
        <v>102</v>
      </c>
      <c r="B90" s="154">
        <v>1.7</v>
      </c>
      <c r="C90" s="155"/>
      <c r="D90" s="83"/>
      <c r="E90" s="87"/>
      <c r="F90" s="83"/>
      <c r="G90" s="87"/>
      <c r="H90" s="83"/>
      <c r="I90" s="87"/>
      <c r="J90" s="83"/>
      <c r="K90" s="87"/>
      <c r="L90" s="80"/>
      <c r="M90" s="81"/>
      <c r="N90" s="83"/>
      <c r="O90" s="87"/>
      <c r="P90" s="83"/>
      <c r="Q90" s="87"/>
      <c r="R90" s="83"/>
      <c r="S90" s="87"/>
      <c r="T90" s="83"/>
      <c r="U90" s="87"/>
      <c r="V90" s="83"/>
      <c r="W90" s="87"/>
      <c r="X90" s="134">
        <v>1</v>
      </c>
      <c r="Y90" s="143">
        <f t="shared" si="21"/>
        <v>1.7</v>
      </c>
      <c r="Z90" s="63">
        <v>0</v>
      </c>
      <c r="AA90" s="66">
        <f t="shared" si="22"/>
        <v>0</v>
      </c>
      <c r="AB90" s="63">
        <v>1</v>
      </c>
      <c r="AC90" s="66">
        <f t="shared" si="23"/>
        <v>1.7</v>
      </c>
      <c r="AD90" s="63">
        <v>1</v>
      </c>
      <c r="AE90" s="66">
        <f t="shared" si="24"/>
        <v>1.7</v>
      </c>
      <c r="AF90" s="63">
        <v>0</v>
      </c>
      <c r="AG90" s="66">
        <f t="shared" si="25"/>
        <v>0</v>
      </c>
      <c r="AH90" s="63">
        <v>1</v>
      </c>
      <c r="AI90" s="66">
        <f t="shared" si="26"/>
        <v>1.7</v>
      </c>
    </row>
    <row r="91" spans="1:35" x14ac:dyDescent="0.35">
      <c r="A91" s="138" t="s">
        <v>113</v>
      </c>
      <c r="B91" s="154">
        <v>1.75</v>
      </c>
      <c r="C91" s="155"/>
      <c r="D91" s="83"/>
      <c r="E91" s="87"/>
      <c r="F91" s="83"/>
      <c r="G91" s="87"/>
      <c r="H91" s="83"/>
      <c r="I91" s="87"/>
      <c r="J91" s="83"/>
      <c r="K91" s="87"/>
      <c r="L91" s="80"/>
      <c r="M91" s="81"/>
      <c r="N91" s="83"/>
      <c r="O91" s="87"/>
      <c r="P91" s="83"/>
      <c r="Q91" s="87"/>
      <c r="R91" s="83"/>
      <c r="S91" s="87"/>
      <c r="T91" s="83"/>
      <c r="U91" s="87"/>
      <c r="V91" s="83"/>
      <c r="W91" s="87"/>
      <c r="X91" s="83"/>
      <c r="Y91" s="87"/>
      <c r="Z91" s="63">
        <v>1</v>
      </c>
      <c r="AA91" s="66">
        <f t="shared" ref="AA91:AA93" si="28">Z91*$B91</f>
        <v>1.75</v>
      </c>
      <c r="AB91" s="63">
        <v>0</v>
      </c>
      <c r="AC91" s="66">
        <f t="shared" si="23"/>
        <v>0</v>
      </c>
      <c r="AD91" s="63">
        <v>0</v>
      </c>
      <c r="AE91" s="66">
        <f t="shared" si="24"/>
        <v>0</v>
      </c>
      <c r="AF91" s="63">
        <v>0</v>
      </c>
      <c r="AG91" s="66">
        <f t="shared" si="25"/>
        <v>0</v>
      </c>
      <c r="AH91" s="63">
        <v>0</v>
      </c>
      <c r="AI91" s="66">
        <f t="shared" si="26"/>
        <v>0</v>
      </c>
    </row>
    <row r="92" spans="1:35" x14ac:dyDescent="0.35">
      <c r="A92" s="138" t="s">
        <v>114</v>
      </c>
      <c r="B92" s="154">
        <v>1.8</v>
      </c>
      <c r="C92" s="155"/>
      <c r="D92" s="83"/>
      <c r="E92" s="87"/>
      <c r="F92" s="83"/>
      <c r="G92" s="87"/>
      <c r="H92" s="83"/>
      <c r="I92" s="87"/>
      <c r="J92" s="83"/>
      <c r="K92" s="87"/>
      <c r="L92" s="80"/>
      <c r="M92" s="81"/>
      <c r="N92" s="83"/>
      <c r="O92" s="87"/>
      <c r="P92" s="83"/>
      <c r="Q92" s="87"/>
      <c r="R92" s="83"/>
      <c r="S92" s="87"/>
      <c r="T92" s="83"/>
      <c r="U92" s="87"/>
      <c r="V92" s="83"/>
      <c r="W92" s="87"/>
      <c r="X92" s="83"/>
      <c r="Y92" s="87"/>
      <c r="Z92" s="63">
        <v>0</v>
      </c>
      <c r="AA92" s="66">
        <f t="shared" si="28"/>
        <v>0</v>
      </c>
      <c r="AB92" s="63">
        <v>1</v>
      </c>
      <c r="AC92" s="66">
        <f t="shared" si="23"/>
        <v>1.8</v>
      </c>
      <c r="AD92" s="63">
        <v>0</v>
      </c>
      <c r="AE92" s="66">
        <f t="shared" si="24"/>
        <v>0</v>
      </c>
      <c r="AF92" s="63">
        <v>0</v>
      </c>
      <c r="AG92" s="66">
        <f t="shared" si="25"/>
        <v>0</v>
      </c>
      <c r="AH92" s="63">
        <v>0</v>
      </c>
      <c r="AI92" s="66">
        <f t="shared" si="26"/>
        <v>0</v>
      </c>
    </row>
    <row r="93" spans="1:35" x14ac:dyDescent="0.35">
      <c r="A93" s="138" t="s">
        <v>115</v>
      </c>
      <c r="B93" s="154">
        <v>1.85</v>
      </c>
      <c r="C93" s="155"/>
      <c r="D93" s="83"/>
      <c r="E93" s="87"/>
      <c r="F93" s="83"/>
      <c r="G93" s="87"/>
      <c r="H93" s="83"/>
      <c r="I93" s="87"/>
      <c r="J93" s="83"/>
      <c r="K93" s="87"/>
      <c r="L93" s="80"/>
      <c r="M93" s="81"/>
      <c r="N93" s="83"/>
      <c r="O93" s="87"/>
      <c r="P93" s="83"/>
      <c r="Q93" s="87"/>
      <c r="R93" s="83"/>
      <c r="S93" s="87"/>
      <c r="T93" s="83"/>
      <c r="U93" s="87"/>
      <c r="V93" s="83"/>
      <c r="W93" s="87"/>
      <c r="X93" s="83"/>
      <c r="Y93" s="87"/>
      <c r="Z93" s="63">
        <v>1</v>
      </c>
      <c r="AA93" s="66">
        <f t="shared" si="28"/>
        <v>1.85</v>
      </c>
      <c r="AB93" s="63">
        <v>0</v>
      </c>
      <c r="AC93" s="66">
        <f t="shared" si="23"/>
        <v>0</v>
      </c>
      <c r="AD93" s="63">
        <v>0</v>
      </c>
      <c r="AE93" s="66">
        <f t="shared" si="24"/>
        <v>0</v>
      </c>
      <c r="AF93" s="63">
        <v>0</v>
      </c>
      <c r="AG93" s="66">
        <f t="shared" si="25"/>
        <v>0</v>
      </c>
      <c r="AH93" s="63">
        <v>0</v>
      </c>
      <c r="AI93" s="66">
        <f t="shared" si="26"/>
        <v>0</v>
      </c>
    </row>
    <row r="94" spans="1:35" x14ac:dyDescent="0.35">
      <c r="A94" s="138" t="s">
        <v>116</v>
      </c>
      <c r="B94" s="154">
        <v>1.9</v>
      </c>
      <c r="C94" s="155"/>
      <c r="D94" s="83"/>
      <c r="E94" s="87"/>
      <c r="F94" s="83"/>
      <c r="G94" s="87"/>
      <c r="H94" s="83"/>
      <c r="I94" s="87"/>
      <c r="J94" s="83"/>
      <c r="K94" s="87"/>
      <c r="L94" s="80"/>
      <c r="M94" s="81"/>
      <c r="N94" s="83"/>
      <c r="O94" s="87"/>
      <c r="P94" s="83"/>
      <c r="Q94" s="87"/>
      <c r="R94" s="83"/>
      <c r="S94" s="87"/>
      <c r="T94" s="83"/>
      <c r="U94" s="87"/>
      <c r="V94" s="83"/>
      <c r="W94" s="87"/>
      <c r="X94" s="83"/>
      <c r="Y94" s="87"/>
      <c r="Z94" s="63">
        <v>1</v>
      </c>
      <c r="AA94" s="66">
        <f t="shared" ref="AA94" si="29">Z94*$B94</f>
        <v>1.9</v>
      </c>
      <c r="AB94" s="63">
        <v>2</v>
      </c>
      <c r="AC94" s="66">
        <f t="shared" ref="AC94" si="30">AB94*$B94</f>
        <v>3.8</v>
      </c>
      <c r="AD94" s="63">
        <v>0</v>
      </c>
      <c r="AE94" s="66">
        <f t="shared" ref="AE94:AE97" si="31">AD94*$B94</f>
        <v>0</v>
      </c>
      <c r="AF94" s="63">
        <v>1</v>
      </c>
      <c r="AG94" s="66">
        <f t="shared" si="25"/>
        <v>1.9</v>
      </c>
      <c r="AH94" s="63">
        <v>1</v>
      </c>
      <c r="AI94" s="66">
        <f t="shared" si="26"/>
        <v>1.9</v>
      </c>
    </row>
    <row r="95" spans="1:35" x14ac:dyDescent="0.35">
      <c r="A95" s="138" t="s">
        <v>117</v>
      </c>
      <c r="B95" s="154">
        <v>1.95</v>
      </c>
      <c r="C95" s="155"/>
      <c r="D95" s="83"/>
      <c r="E95" s="87"/>
      <c r="F95" s="83"/>
      <c r="G95" s="87"/>
      <c r="H95" s="83"/>
      <c r="I95" s="87"/>
      <c r="J95" s="83"/>
      <c r="K95" s="87"/>
      <c r="L95" s="80"/>
      <c r="M95" s="81"/>
      <c r="N95" s="83"/>
      <c r="O95" s="87"/>
      <c r="P95" s="83"/>
      <c r="Q95" s="87"/>
      <c r="R95" s="83"/>
      <c r="S95" s="87"/>
      <c r="T95" s="83"/>
      <c r="U95" s="87"/>
      <c r="V95" s="83"/>
      <c r="W95" s="87"/>
      <c r="X95" s="83"/>
      <c r="Y95" s="87"/>
      <c r="Z95" s="83"/>
      <c r="AA95" s="87"/>
      <c r="AB95" s="83"/>
      <c r="AC95" s="87"/>
      <c r="AD95" s="63">
        <v>1</v>
      </c>
      <c r="AE95" s="66">
        <f t="shared" si="31"/>
        <v>1.95</v>
      </c>
      <c r="AF95" s="63">
        <v>0</v>
      </c>
      <c r="AG95" s="66">
        <f t="shared" si="25"/>
        <v>0</v>
      </c>
      <c r="AH95" s="63">
        <v>1</v>
      </c>
      <c r="AI95" s="66">
        <f t="shared" si="26"/>
        <v>1.95</v>
      </c>
    </row>
    <row r="96" spans="1:35" x14ac:dyDescent="0.35">
      <c r="A96" s="138" t="s">
        <v>118</v>
      </c>
      <c r="B96" s="154">
        <v>2</v>
      </c>
      <c r="C96" s="155"/>
      <c r="D96" s="83"/>
      <c r="E96" s="87"/>
      <c r="F96" s="83"/>
      <c r="G96" s="87"/>
      <c r="H96" s="83"/>
      <c r="I96" s="87"/>
      <c r="J96" s="83"/>
      <c r="K96" s="87"/>
      <c r="L96" s="80"/>
      <c r="M96" s="81"/>
      <c r="N96" s="83"/>
      <c r="O96" s="87"/>
      <c r="P96" s="83"/>
      <c r="Q96" s="87"/>
      <c r="R96" s="83"/>
      <c r="S96" s="87"/>
      <c r="T96" s="83"/>
      <c r="U96" s="87"/>
      <c r="V96" s="83"/>
      <c r="W96" s="87"/>
      <c r="X96" s="83"/>
      <c r="Y96" s="87"/>
      <c r="Z96" s="83"/>
      <c r="AA96" s="87"/>
      <c r="AB96" s="83"/>
      <c r="AC96" s="87"/>
      <c r="AD96" s="63">
        <v>0</v>
      </c>
      <c r="AE96" s="66">
        <f t="shared" si="31"/>
        <v>0</v>
      </c>
      <c r="AF96" s="63">
        <v>0</v>
      </c>
      <c r="AG96" s="66">
        <f t="shared" si="25"/>
        <v>0</v>
      </c>
      <c r="AH96" s="63">
        <v>1</v>
      </c>
      <c r="AI96" s="66">
        <f t="shared" si="26"/>
        <v>2</v>
      </c>
    </row>
    <row r="97" spans="1:35" x14ac:dyDescent="0.35">
      <c r="A97" s="138" t="s">
        <v>119</v>
      </c>
      <c r="B97" s="154">
        <v>2.0499999999999998</v>
      </c>
      <c r="C97" s="155"/>
      <c r="D97" s="83"/>
      <c r="E97" s="87"/>
      <c r="F97" s="83"/>
      <c r="G97" s="87"/>
      <c r="H97" s="83"/>
      <c r="I97" s="87"/>
      <c r="J97" s="83"/>
      <c r="K97" s="87"/>
      <c r="L97" s="80"/>
      <c r="M97" s="81"/>
      <c r="N97" s="83"/>
      <c r="O97" s="87"/>
      <c r="P97" s="83"/>
      <c r="Q97" s="87"/>
      <c r="R97" s="83"/>
      <c r="S97" s="87"/>
      <c r="T97" s="83"/>
      <c r="U97" s="87"/>
      <c r="V97" s="83"/>
      <c r="W97" s="87"/>
      <c r="X97" s="83"/>
      <c r="Y97" s="87"/>
      <c r="Z97" s="83"/>
      <c r="AA97" s="87"/>
      <c r="AB97" s="83"/>
      <c r="AC97" s="87"/>
      <c r="AD97" s="63">
        <v>1</v>
      </c>
      <c r="AE97" s="66">
        <f t="shared" si="31"/>
        <v>2.0499999999999998</v>
      </c>
      <c r="AF97" s="63">
        <v>0</v>
      </c>
      <c r="AG97" s="66">
        <f t="shared" si="25"/>
        <v>0</v>
      </c>
      <c r="AH97" s="63">
        <v>0</v>
      </c>
      <c r="AI97" s="66">
        <f t="shared" si="26"/>
        <v>0</v>
      </c>
    </row>
    <row r="98" spans="1:35" x14ac:dyDescent="0.35">
      <c r="A98" s="138" t="s">
        <v>120</v>
      </c>
      <c r="B98" s="154">
        <v>2.1</v>
      </c>
      <c r="C98" s="155"/>
      <c r="D98" s="83"/>
      <c r="E98" s="87"/>
      <c r="F98" s="83"/>
      <c r="G98" s="87"/>
      <c r="H98" s="83"/>
      <c r="I98" s="87"/>
      <c r="J98" s="83"/>
      <c r="K98" s="87"/>
      <c r="L98" s="80"/>
      <c r="M98" s="81"/>
      <c r="N98" s="83"/>
      <c r="O98" s="87"/>
      <c r="P98" s="83"/>
      <c r="Q98" s="87"/>
      <c r="R98" s="83"/>
      <c r="S98" s="87"/>
      <c r="T98" s="83"/>
      <c r="U98" s="87"/>
      <c r="V98" s="83"/>
      <c r="W98" s="87"/>
      <c r="X98" s="83"/>
      <c r="Y98" s="87"/>
      <c r="Z98" s="83"/>
      <c r="AA98" s="87"/>
      <c r="AB98" s="83"/>
      <c r="AC98" s="87"/>
      <c r="AD98" s="63">
        <v>0</v>
      </c>
      <c r="AE98" s="66">
        <f t="shared" si="24"/>
        <v>0</v>
      </c>
      <c r="AF98" s="63">
        <v>0</v>
      </c>
      <c r="AG98" s="66">
        <f t="shared" si="25"/>
        <v>0</v>
      </c>
      <c r="AH98" s="63">
        <v>0</v>
      </c>
      <c r="AI98" s="66">
        <f t="shared" si="26"/>
        <v>0</v>
      </c>
    </row>
    <row r="99" spans="1:35" x14ac:dyDescent="0.35">
      <c r="A99" s="138" t="s">
        <v>121</v>
      </c>
      <c r="B99" s="154">
        <v>2.15</v>
      </c>
      <c r="C99" s="155"/>
      <c r="D99" s="83"/>
      <c r="E99" s="87"/>
      <c r="F99" s="83"/>
      <c r="G99" s="87"/>
      <c r="H99" s="83"/>
      <c r="I99" s="87"/>
      <c r="J99" s="83"/>
      <c r="K99" s="87"/>
      <c r="L99" s="80"/>
      <c r="M99" s="81"/>
      <c r="N99" s="83"/>
      <c r="O99" s="87"/>
      <c r="P99" s="83"/>
      <c r="Q99" s="87"/>
      <c r="R99" s="83"/>
      <c r="S99" s="87"/>
      <c r="T99" s="83"/>
      <c r="U99" s="87"/>
      <c r="V99" s="83"/>
      <c r="W99" s="87"/>
      <c r="X99" s="83"/>
      <c r="Y99" s="87"/>
      <c r="Z99" s="83"/>
      <c r="AA99" s="87"/>
      <c r="AB99" s="83"/>
      <c r="AC99" s="87"/>
      <c r="AD99" s="63">
        <v>0</v>
      </c>
      <c r="AE99" s="66">
        <f t="shared" si="24"/>
        <v>0</v>
      </c>
      <c r="AF99" s="63">
        <v>1</v>
      </c>
      <c r="AG99" s="66">
        <f t="shared" si="25"/>
        <v>2.15</v>
      </c>
      <c r="AH99" s="63">
        <v>1</v>
      </c>
      <c r="AI99" s="66">
        <f t="shared" si="26"/>
        <v>2.15</v>
      </c>
    </row>
    <row r="100" spans="1:35" x14ac:dyDescent="0.35">
      <c r="A100" s="138" t="s">
        <v>122</v>
      </c>
      <c r="B100" s="154">
        <v>2.2000000000000002</v>
      </c>
      <c r="C100" s="155"/>
      <c r="D100" s="83"/>
      <c r="E100" s="87"/>
      <c r="F100" s="83"/>
      <c r="G100" s="87"/>
      <c r="H100" s="83"/>
      <c r="I100" s="87"/>
      <c r="J100" s="83"/>
      <c r="K100" s="87"/>
      <c r="L100" s="80"/>
      <c r="M100" s="81"/>
      <c r="N100" s="83"/>
      <c r="O100" s="87"/>
      <c r="P100" s="83"/>
      <c r="Q100" s="87"/>
      <c r="R100" s="83"/>
      <c r="S100" s="87"/>
      <c r="T100" s="83"/>
      <c r="U100" s="87"/>
      <c r="V100" s="83"/>
      <c r="W100" s="87"/>
      <c r="X100" s="83"/>
      <c r="Y100" s="87"/>
      <c r="Z100" s="83"/>
      <c r="AA100" s="87"/>
      <c r="AB100" s="83"/>
      <c r="AC100" s="87"/>
      <c r="AD100" s="63">
        <v>1</v>
      </c>
      <c r="AE100" s="66">
        <f t="shared" ref="AE100" si="32">AD100*$B100</f>
        <v>2.2000000000000002</v>
      </c>
      <c r="AF100" s="63">
        <v>0</v>
      </c>
      <c r="AG100" s="66">
        <f t="shared" si="25"/>
        <v>0</v>
      </c>
      <c r="AH100" s="63">
        <v>0</v>
      </c>
      <c r="AI100" s="66">
        <f t="shared" si="26"/>
        <v>0</v>
      </c>
    </row>
    <row r="101" spans="1:35" x14ac:dyDescent="0.35">
      <c r="A101" s="138" t="s">
        <v>123</v>
      </c>
      <c r="B101" s="154">
        <v>2.25</v>
      </c>
      <c r="C101" s="155"/>
      <c r="D101" s="83"/>
      <c r="E101" s="87"/>
      <c r="F101" s="83"/>
      <c r="G101" s="87"/>
      <c r="H101" s="83"/>
      <c r="I101" s="87"/>
      <c r="J101" s="83"/>
      <c r="K101" s="87"/>
      <c r="L101" s="80"/>
      <c r="M101" s="81"/>
      <c r="N101" s="83"/>
      <c r="O101" s="87"/>
      <c r="P101" s="83"/>
      <c r="Q101" s="87"/>
      <c r="R101" s="83"/>
      <c r="S101" s="87"/>
      <c r="T101" s="83"/>
      <c r="U101" s="87"/>
      <c r="V101" s="83"/>
      <c r="W101" s="87"/>
      <c r="X101" s="83"/>
      <c r="Y101" s="87"/>
      <c r="Z101" s="83"/>
      <c r="AA101" s="87"/>
      <c r="AB101" s="83"/>
      <c r="AC101" s="87"/>
      <c r="AD101" s="83"/>
      <c r="AE101" s="87"/>
      <c r="AF101" s="63">
        <v>0</v>
      </c>
      <c r="AG101" s="66">
        <f t="shared" si="25"/>
        <v>0</v>
      </c>
      <c r="AH101" s="63">
        <v>0</v>
      </c>
      <c r="AI101" s="66">
        <f t="shared" si="26"/>
        <v>0</v>
      </c>
    </row>
    <row r="102" spans="1:35" x14ac:dyDescent="0.35">
      <c r="A102" s="138" t="s">
        <v>124</v>
      </c>
      <c r="B102" s="154">
        <v>2.2999999999999998</v>
      </c>
      <c r="C102" s="155"/>
      <c r="D102" s="83"/>
      <c r="E102" s="87"/>
      <c r="F102" s="83"/>
      <c r="G102" s="87"/>
      <c r="H102" s="83"/>
      <c r="I102" s="87"/>
      <c r="J102" s="83"/>
      <c r="K102" s="87"/>
      <c r="L102" s="80"/>
      <c r="M102" s="81"/>
      <c r="N102" s="83"/>
      <c r="O102" s="87"/>
      <c r="P102" s="83"/>
      <c r="Q102" s="87"/>
      <c r="R102" s="83"/>
      <c r="S102" s="87"/>
      <c r="T102" s="83"/>
      <c r="U102" s="87"/>
      <c r="V102" s="83"/>
      <c r="W102" s="87"/>
      <c r="X102" s="83"/>
      <c r="Y102" s="87"/>
      <c r="Z102" s="83"/>
      <c r="AA102" s="87"/>
      <c r="AB102" s="83"/>
      <c r="AC102" s="87"/>
      <c r="AD102" s="83"/>
      <c r="AE102" s="87"/>
      <c r="AF102" s="63">
        <v>0</v>
      </c>
      <c r="AG102" s="66">
        <f t="shared" si="25"/>
        <v>0</v>
      </c>
      <c r="AH102" s="63">
        <v>0</v>
      </c>
      <c r="AI102" s="66">
        <f t="shared" si="26"/>
        <v>0</v>
      </c>
    </row>
    <row r="103" spans="1:35" x14ac:dyDescent="0.35">
      <c r="A103" s="138" t="s">
        <v>125</v>
      </c>
      <c r="B103" s="154">
        <v>2.35</v>
      </c>
      <c r="C103" s="155"/>
      <c r="D103" s="83"/>
      <c r="E103" s="87"/>
      <c r="F103" s="83"/>
      <c r="G103" s="87"/>
      <c r="H103" s="83"/>
      <c r="I103" s="87"/>
      <c r="J103" s="83"/>
      <c r="K103" s="87"/>
      <c r="L103" s="80"/>
      <c r="M103" s="81"/>
      <c r="N103" s="83"/>
      <c r="O103" s="87"/>
      <c r="P103" s="83"/>
      <c r="Q103" s="87"/>
      <c r="R103" s="83"/>
      <c r="S103" s="87"/>
      <c r="T103" s="83"/>
      <c r="U103" s="87"/>
      <c r="V103" s="83"/>
      <c r="W103" s="87"/>
      <c r="X103" s="83"/>
      <c r="Y103" s="87"/>
      <c r="Z103" s="83"/>
      <c r="AA103" s="87"/>
      <c r="AB103" s="83"/>
      <c r="AC103" s="87"/>
      <c r="AD103" s="83"/>
      <c r="AE103" s="87"/>
      <c r="AF103" s="63">
        <v>0</v>
      </c>
      <c r="AG103" s="66">
        <f t="shared" si="25"/>
        <v>0</v>
      </c>
      <c r="AH103" s="63">
        <v>0</v>
      </c>
      <c r="AI103" s="66">
        <f t="shared" si="26"/>
        <v>0</v>
      </c>
    </row>
    <row r="104" spans="1:35" x14ac:dyDescent="0.35">
      <c r="A104" s="138" t="s">
        <v>126</v>
      </c>
      <c r="B104" s="154">
        <v>2.4</v>
      </c>
      <c r="C104" s="155"/>
      <c r="D104" s="83"/>
      <c r="E104" s="87"/>
      <c r="F104" s="83"/>
      <c r="G104" s="87"/>
      <c r="H104" s="83"/>
      <c r="I104" s="87"/>
      <c r="J104" s="83"/>
      <c r="K104" s="87"/>
      <c r="L104" s="80"/>
      <c r="M104" s="81"/>
      <c r="N104" s="83"/>
      <c r="O104" s="87"/>
      <c r="P104" s="83"/>
      <c r="Q104" s="87"/>
      <c r="R104" s="83"/>
      <c r="S104" s="87"/>
      <c r="T104" s="83"/>
      <c r="U104" s="87"/>
      <c r="V104" s="83"/>
      <c r="W104" s="87"/>
      <c r="X104" s="83"/>
      <c r="Y104" s="87"/>
      <c r="Z104" s="83"/>
      <c r="AA104" s="87"/>
      <c r="AB104" s="83"/>
      <c r="AC104" s="87"/>
      <c r="AD104" s="83"/>
      <c r="AE104" s="87"/>
      <c r="AF104" s="63">
        <v>0</v>
      </c>
      <c r="AG104" s="66">
        <f t="shared" si="25"/>
        <v>0</v>
      </c>
      <c r="AH104" s="63">
        <v>0</v>
      </c>
      <c r="AI104" s="66">
        <f t="shared" si="26"/>
        <v>0</v>
      </c>
    </row>
    <row r="105" spans="1:35" x14ac:dyDescent="0.35">
      <c r="A105" s="138" t="s">
        <v>127</v>
      </c>
      <c r="B105" s="154">
        <v>2.4500000000000002</v>
      </c>
      <c r="C105" s="155"/>
      <c r="D105" s="83"/>
      <c r="E105" s="87"/>
      <c r="F105" s="83"/>
      <c r="G105" s="87"/>
      <c r="H105" s="83"/>
      <c r="I105" s="87"/>
      <c r="J105" s="83"/>
      <c r="K105" s="87"/>
      <c r="L105" s="80"/>
      <c r="M105" s="81"/>
      <c r="N105" s="83"/>
      <c r="O105" s="87"/>
      <c r="P105" s="83"/>
      <c r="Q105" s="87"/>
      <c r="R105" s="83"/>
      <c r="S105" s="87"/>
      <c r="T105" s="83"/>
      <c r="U105" s="87"/>
      <c r="V105" s="83"/>
      <c r="W105" s="87"/>
      <c r="X105" s="83"/>
      <c r="Y105" s="87"/>
      <c r="Z105" s="83"/>
      <c r="AA105" s="87"/>
      <c r="AB105" s="83"/>
      <c r="AC105" s="87"/>
      <c r="AD105" s="83"/>
      <c r="AE105" s="87"/>
      <c r="AF105" s="63">
        <v>0</v>
      </c>
      <c r="AG105" s="66">
        <f t="shared" si="25"/>
        <v>0</v>
      </c>
      <c r="AH105" s="63">
        <v>0</v>
      </c>
      <c r="AI105" s="66">
        <f t="shared" si="26"/>
        <v>0</v>
      </c>
    </row>
    <row r="106" spans="1:35" x14ac:dyDescent="0.35">
      <c r="A106" s="138" t="s">
        <v>128</v>
      </c>
      <c r="B106" s="154">
        <v>2.5</v>
      </c>
      <c r="C106" s="155"/>
      <c r="D106" s="83"/>
      <c r="E106" s="87"/>
      <c r="F106" s="83"/>
      <c r="G106" s="87"/>
      <c r="H106" s="83"/>
      <c r="I106" s="87"/>
      <c r="J106" s="83"/>
      <c r="K106" s="87"/>
      <c r="L106" s="80"/>
      <c r="M106" s="81"/>
      <c r="N106" s="83"/>
      <c r="O106" s="87"/>
      <c r="P106" s="83"/>
      <c r="Q106" s="87"/>
      <c r="R106" s="83"/>
      <c r="S106" s="87"/>
      <c r="T106" s="83"/>
      <c r="U106" s="87"/>
      <c r="V106" s="83"/>
      <c r="W106" s="87"/>
      <c r="X106" s="83"/>
      <c r="Y106" s="87"/>
      <c r="Z106" s="83"/>
      <c r="AA106" s="87"/>
      <c r="AB106" s="83"/>
      <c r="AC106" s="87"/>
      <c r="AD106" s="83"/>
      <c r="AE106" s="87"/>
      <c r="AF106" s="63">
        <v>1</v>
      </c>
      <c r="AG106" s="66">
        <f t="shared" si="25"/>
        <v>2.5</v>
      </c>
      <c r="AH106" s="63">
        <v>0</v>
      </c>
      <c r="AI106" s="66">
        <f t="shared" si="26"/>
        <v>0</v>
      </c>
    </row>
    <row r="107" spans="1:35" x14ac:dyDescent="0.35">
      <c r="A107" s="138" t="s">
        <v>129</v>
      </c>
      <c r="B107" s="154">
        <v>2.5499999999999998</v>
      </c>
      <c r="C107" s="155"/>
      <c r="D107" s="83"/>
      <c r="E107" s="87"/>
      <c r="F107" s="83"/>
      <c r="G107" s="87"/>
      <c r="H107" s="83"/>
      <c r="I107" s="87"/>
      <c r="J107" s="83"/>
      <c r="K107" s="87"/>
      <c r="L107" s="80"/>
      <c r="M107" s="81"/>
      <c r="N107" s="83"/>
      <c r="O107" s="87"/>
      <c r="P107" s="83"/>
      <c r="Q107" s="87"/>
      <c r="R107" s="83"/>
      <c r="S107" s="87"/>
      <c r="T107" s="83"/>
      <c r="U107" s="87"/>
      <c r="V107" s="83"/>
      <c r="W107" s="87"/>
      <c r="X107" s="83"/>
      <c r="Y107" s="87"/>
      <c r="Z107" s="83"/>
      <c r="AA107" s="87"/>
      <c r="AB107" s="83"/>
      <c r="AC107" s="87"/>
      <c r="AD107" s="83"/>
      <c r="AE107" s="87"/>
      <c r="AF107" s="63"/>
      <c r="AG107" s="66"/>
      <c r="AH107" s="63">
        <v>0</v>
      </c>
      <c r="AI107" s="66">
        <f t="shared" si="26"/>
        <v>0</v>
      </c>
    </row>
    <row r="108" spans="1:35" x14ac:dyDescent="0.35">
      <c r="A108" s="138" t="s">
        <v>130</v>
      </c>
      <c r="B108" s="154">
        <v>2.6</v>
      </c>
      <c r="C108" s="155"/>
      <c r="D108" s="83"/>
      <c r="E108" s="87"/>
      <c r="F108" s="83"/>
      <c r="G108" s="87"/>
      <c r="H108" s="83"/>
      <c r="I108" s="87"/>
      <c r="J108" s="83"/>
      <c r="K108" s="87"/>
      <c r="L108" s="80"/>
      <c r="M108" s="81"/>
      <c r="N108" s="83"/>
      <c r="O108" s="87"/>
      <c r="P108" s="83"/>
      <c r="Q108" s="87"/>
      <c r="R108" s="83"/>
      <c r="S108" s="87"/>
      <c r="T108" s="83"/>
      <c r="U108" s="87"/>
      <c r="V108" s="83"/>
      <c r="W108" s="87"/>
      <c r="X108" s="83"/>
      <c r="Y108" s="87"/>
      <c r="Z108" s="83"/>
      <c r="AA108" s="87"/>
      <c r="AB108" s="83"/>
      <c r="AC108" s="87"/>
      <c r="AD108" s="83"/>
      <c r="AE108" s="87"/>
      <c r="AF108" s="63"/>
      <c r="AG108" s="66"/>
      <c r="AH108" s="63">
        <v>0</v>
      </c>
      <c r="AI108" s="66">
        <f t="shared" si="26"/>
        <v>0</v>
      </c>
    </row>
    <row r="109" spans="1:35" x14ac:dyDescent="0.35">
      <c r="A109" s="138" t="s">
        <v>131</v>
      </c>
      <c r="B109" s="154">
        <v>2.65</v>
      </c>
      <c r="C109" s="155"/>
      <c r="D109" s="83"/>
      <c r="E109" s="87"/>
      <c r="F109" s="83"/>
      <c r="G109" s="87"/>
      <c r="H109" s="83"/>
      <c r="I109" s="87"/>
      <c r="J109" s="83"/>
      <c r="K109" s="87"/>
      <c r="L109" s="80"/>
      <c r="M109" s="81"/>
      <c r="N109" s="83"/>
      <c r="O109" s="87"/>
      <c r="P109" s="83"/>
      <c r="Q109" s="87"/>
      <c r="R109" s="83"/>
      <c r="S109" s="87"/>
      <c r="T109" s="83"/>
      <c r="U109" s="87"/>
      <c r="V109" s="83"/>
      <c r="W109" s="87"/>
      <c r="X109" s="83"/>
      <c r="Y109" s="87"/>
      <c r="Z109" s="83"/>
      <c r="AA109" s="87"/>
      <c r="AB109" s="83"/>
      <c r="AC109" s="87"/>
      <c r="AD109" s="83"/>
      <c r="AE109" s="87"/>
      <c r="AF109" s="63"/>
      <c r="AG109" s="66"/>
      <c r="AH109" s="63">
        <v>0</v>
      </c>
      <c r="AI109" s="66">
        <f t="shared" si="26"/>
        <v>0</v>
      </c>
    </row>
    <row r="110" spans="1:35" ht="16" thickBot="1" x14ac:dyDescent="0.4">
      <c r="A110" s="138" t="s">
        <v>132</v>
      </c>
      <c r="B110" s="154">
        <v>2.7</v>
      </c>
      <c r="C110" s="155"/>
      <c r="D110" s="83"/>
      <c r="E110" s="87"/>
      <c r="F110" s="83"/>
      <c r="G110" s="87"/>
      <c r="H110" s="83"/>
      <c r="I110" s="87"/>
      <c r="J110" s="83"/>
      <c r="K110" s="87"/>
      <c r="L110" s="80"/>
      <c r="M110" s="81"/>
      <c r="N110" s="83"/>
      <c r="O110" s="87"/>
      <c r="P110" s="83"/>
      <c r="Q110" s="87"/>
      <c r="R110" s="83"/>
      <c r="S110" s="87"/>
      <c r="T110" s="83"/>
      <c r="U110" s="87"/>
      <c r="V110" s="83"/>
      <c r="W110" s="87"/>
      <c r="X110" s="83"/>
      <c r="Y110" s="87"/>
      <c r="Z110" s="83"/>
      <c r="AA110" s="87"/>
      <c r="AB110" s="83"/>
      <c r="AC110" s="87"/>
      <c r="AD110" s="83"/>
      <c r="AE110" s="87"/>
      <c r="AF110" s="63"/>
      <c r="AG110" s="66"/>
      <c r="AH110" s="63">
        <v>1</v>
      </c>
      <c r="AI110" s="66">
        <f t="shared" si="26"/>
        <v>2.7</v>
      </c>
    </row>
    <row r="111" spans="1:35" ht="16" thickBot="1" x14ac:dyDescent="0.4">
      <c r="A111" s="48"/>
      <c r="B111" s="167" t="s">
        <v>8</v>
      </c>
      <c r="C111" s="168"/>
      <c r="D111" s="78">
        <f>SUM(D56:D71)</f>
        <v>122</v>
      </c>
      <c r="E111" s="142">
        <f>SUM(E56:E71)</f>
        <v>20.2</v>
      </c>
      <c r="F111" s="78">
        <f>SUM(F56:F71)</f>
        <v>122</v>
      </c>
      <c r="G111" s="142">
        <f>SUM(G56:G71)</f>
        <v>21.2</v>
      </c>
      <c r="H111" s="78">
        <f>SUM(H56:H75)</f>
        <v>120</v>
      </c>
      <c r="I111" s="142">
        <f>SUM(I56:I75)</f>
        <v>25.150000000000006</v>
      </c>
      <c r="J111" s="78">
        <f>SUM(J56:J75)</f>
        <v>116</v>
      </c>
      <c r="K111" s="77">
        <f>SUM(K56:K75)</f>
        <v>27.800000000000004</v>
      </c>
      <c r="L111" s="78">
        <f>SUM(L56:L77)</f>
        <v>116</v>
      </c>
      <c r="M111" s="77">
        <f>SUM(M56:M77)</f>
        <v>29.249999999999996</v>
      </c>
      <c r="N111" s="78">
        <f>SUM(N56:N79)</f>
        <v>117</v>
      </c>
      <c r="O111" s="77">
        <f>SUM(O56:O79)</f>
        <v>32.35</v>
      </c>
      <c r="P111" s="78">
        <f>SUM(P56:P79)</f>
        <v>117</v>
      </c>
      <c r="Q111" s="77">
        <f>SUM(Q56:Q79)</f>
        <v>31.950000000000003</v>
      </c>
      <c r="R111" s="78">
        <f t="shared" ref="R111:Y111" si="33">SUM(R56:R90)</f>
        <v>117</v>
      </c>
      <c r="S111" s="77">
        <f t="shared" si="33"/>
        <v>36.65</v>
      </c>
      <c r="T111" s="78">
        <f t="shared" si="33"/>
        <v>117</v>
      </c>
      <c r="U111" s="77">
        <f t="shared" si="33"/>
        <v>38.85</v>
      </c>
      <c r="V111" s="78">
        <f t="shared" si="33"/>
        <v>117</v>
      </c>
      <c r="W111" s="77">
        <f t="shared" si="33"/>
        <v>41</v>
      </c>
      <c r="X111" s="78">
        <f t="shared" si="33"/>
        <v>117</v>
      </c>
      <c r="Y111" s="77">
        <f t="shared" si="33"/>
        <v>43.400000000000006</v>
      </c>
      <c r="Z111" s="78">
        <f>SUM(Z56:Z98)</f>
        <v>117</v>
      </c>
      <c r="AA111" s="77">
        <f>SUM(AA56:AA98)</f>
        <v>47.6</v>
      </c>
      <c r="AB111" s="78">
        <f>SUM(AB56:AB98)</f>
        <v>117</v>
      </c>
      <c r="AC111" s="77">
        <f>SUM(AC56:AC98)</f>
        <v>51.1</v>
      </c>
      <c r="AD111" s="78">
        <f>SUM(AD56:AD100)</f>
        <v>117</v>
      </c>
      <c r="AE111" s="77">
        <f>SUM(AE56:AE100)</f>
        <v>55.800000000000004</v>
      </c>
      <c r="AF111" s="78">
        <f>SUM(AF56:AF106)</f>
        <v>117</v>
      </c>
      <c r="AG111" s="77">
        <f>SUM(AG56:AG106)</f>
        <v>60.400000000000013</v>
      </c>
      <c r="AH111" s="78">
        <f>SUM(AH56:AH106)</f>
        <v>115</v>
      </c>
      <c r="AI111" s="77">
        <f>SUM(AI56:AI106)</f>
        <v>61.900000000000006</v>
      </c>
    </row>
    <row r="112" spans="1:35" x14ac:dyDescent="0.35">
      <c r="A112" s="49"/>
      <c r="B112" s="74"/>
      <c r="C112" s="74"/>
      <c r="D112" s="74"/>
      <c r="E112" s="74"/>
      <c r="F112" s="74"/>
      <c r="G112" s="74"/>
      <c r="H112" s="74"/>
      <c r="I112" s="74"/>
      <c r="J112" s="75"/>
      <c r="K112" s="76"/>
      <c r="L112" s="74"/>
      <c r="M112" s="74"/>
      <c r="N112" s="74"/>
      <c r="O112" s="74"/>
      <c r="P112" s="11"/>
      <c r="Q112" s="11"/>
      <c r="R112" s="11"/>
      <c r="S112" s="11"/>
    </row>
    <row r="113" spans="1:19" x14ac:dyDescent="0.35">
      <c r="A113" s="51"/>
      <c r="B113" s="11"/>
      <c r="C113" s="11"/>
      <c r="D113" s="11"/>
      <c r="E113" s="11"/>
      <c r="F113" s="50"/>
      <c r="G113" s="50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x14ac:dyDescent="0.35"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21" customHeight="1" x14ac:dyDescent="0.35"/>
    <row r="121" spans="1:19" ht="15.75" customHeight="1" x14ac:dyDescent="0.35"/>
    <row r="122" spans="1:19" ht="15.75" customHeight="1" x14ac:dyDescent="0.3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3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3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3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3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3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2:19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2:19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2:19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2:19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2:19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2:19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2:19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2:19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2:19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2:19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2:19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2:19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2:19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2:19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2:19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2:19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2:19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2:19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2:19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2:19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2:19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2:19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2:19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2:19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2:19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2:19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2:19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2:19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2:19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2:19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2:19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2:19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2:19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2:19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2:19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2:19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2:19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2:19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2:19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2:19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2:19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2:19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2:19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2:19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2:19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2:19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2:19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2:19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2:19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2:19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2:19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2:19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2:19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2:19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2:19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2:19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2:19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2:19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2:19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2:19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2:19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2:19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2:19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2:19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2:19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2:19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2:19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2:19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2:19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2:19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2:19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2:19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2:19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2:19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2:19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2:19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2:19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2:19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2:19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2:19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2:19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2:19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2:19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2:19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2:19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2:19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2:19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2:19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2:19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2:19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2:19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2:19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2:19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2:19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2:19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2:19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2:19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2:19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2:19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2:19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</sheetData>
  <mergeCells count="174">
    <mergeCell ref="AF54:AG54"/>
    <mergeCell ref="B101:C101"/>
    <mergeCell ref="B102:C102"/>
    <mergeCell ref="B103:C103"/>
    <mergeCell ref="B104:C104"/>
    <mergeCell ref="B105:C105"/>
    <mergeCell ref="B106:C106"/>
    <mergeCell ref="J54:K54"/>
    <mergeCell ref="H54:I54"/>
    <mergeCell ref="R54:S54"/>
    <mergeCell ref="P54:Q54"/>
    <mergeCell ref="L54:M54"/>
    <mergeCell ref="N54:O54"/>
    <mergeCell ref="AD54:AE54"/>
    <mergeCell ref="B94:C94"/>
    <mergeCell ref="B95:C95"/>
    <mergeCell ref="Z54:AA54"/>
    <mergeCell ref="B91:C91"/>
    <mergeCell ref="B92:C92"/>
    <mergeCell ref="B93:C93"/>
    <mergeCell ref="B98:C98"/>
    <mergeCell ref="B87:C87"/>
    <mergeCell ref="B88:C88"/>
    <mergeCell ref="B89:C89"/>
    <mergeCell ref="AB4:AC4"/>
    <mergeCell ref="AB5:AC5"/>
    <mergeCell ref="AB11:AC11"/>
    <mergeCell ref="AB30:AC30"/>
    <mergeCell ref="AB46:AC46"/>
    <mergeCell ref="AB47:AC47"/>
    <mergeCell ref="X46:Y46"/>
    <mergeCell ref="X47:Y47"/>
    <mergeCell ref="Z4:AA4"/>
    <mergeCell ref="Z5:AA5"/>
    <mergeCell ref="Z11:AA11"/>
    <mergeCell ref="Z46:AA46"/>
    <mergeCell ref="Z47:AA47"/>
    <mergeCell ref="B84:C84"/>
    <mergeCell ref="B85:C85"/>
    <mergeCell ref="B72:C72"/>
    <mergeCell ref="B56:C56"/>
    <mergeCell ref="B57:C57"/>
    <mergeCell ref="B58:C58"/>
    <mergeCell ref="B71:C71"/>
    <mergeCell ref="B62:C62"/>
    <mergeCell ref="B66:C66"/>
    <mergeCell ref="B70:C70"/>
    <mergeCell ref="B78:C78"/>
    <mergeCell ref="B79:C79"/>
    <mergeCell ref="J4:K4"/>
    <mergeCell ref="D4:E4"/>
    <mergeCell ref="D5:E5"/>
    <mergeCell ref="D11:E11"/>
    <mergeCell ref="P4:Q4"/>
    <mergeCell ref="N4:O4"/>
    <mergeCell ref="T54:U54"/>
    <mergeCell ref="V54:W54"/>
    <mergeCell ref="X54:Y54"/>
    <mergeCell ref="X4:Y4"/>
    <mergeCell ref="X5:Y5"/>
    <mergeCell ref="X11:Y11"/>
    <mergeCell ref="X30:Y30"/>
    <mergeCell ref="T46:U46"/>
    <mergeCell ref="T47:U47"/>
    <mergeCell ref="V46:W46"/>
    <mergeCell ref="V47:W47"/>
    <mergeCell ref="V5:W5"/>
    <mergeCell ref="T30:U30"/>
    <mergeCell ref="V30:W30"/>
    <mergeCell ref="N5:O5"/>
    <mergeCell ref="N11:O11"/>
    <mergeCell ref="D30:E30"/>
    <mergeCell ref="L30:M30"/>
    <mergeCell ref="B30:C30"/>
    <mergeCell ref="J11:K11"/>
    <mergeCell ref="A1:V1"/>
    <mergeCell ref="F30:G30"/>
    <mergeCell ref="H4:I4"/>
    <mergeCell ref="H5:I5"/>
    <mergeCell ref="H30:I30"/>
    <mergeCell ref="L4:M4"/>
    <mergeCell ref="L11:M11"/>
    <mergeCell ref="R11:S11"/>
    <mergeCell ref="T11:U11"/>
    <mergeCell ref="V11:W11"/>
    <mergeCell ref="R4:S4"/>
    <mergeCell ref="R5:S5"/>
    <mergeCell ref="T4:U4"/>
    <mergeCell ref="T5:U5"/>
    <mergeCell ref="V4:W4"/>
    <mergeCell ref="F4:G4"/>
    <mergeCell ref="L5:M5"/>
    <mergeCell ref="B11:C11"/>
    <mergeCell ref="P11:Q11"/>
    <mergeCell ref="P30:Q30"/>
    <mergeCell ref="P46:Q46"/>
    <mergeCell ref="P47:Q47"/>
    <mergeCell ref="F11:G11"/>
    <mergeCell ref="H27:Q27"/>
    <mergeCell ref="J30:K30"/>
    <mergeCell ref="R46:S46"/>
    <mergeCell ref="R43:S43"/>
    <mergeCell ref="B100:C100"/>
    <mergeCell ref="B96:C96"/>
    <mergeCell ref="B97:C97"/>
    <mergeCell ref="B99:C99"/>
    <mergeCell ref="B60:C60"/>
    <mergeCell ref="B61:C61"/>
    <mergeCell ref="A51:S51"/>
    <mergeCell ref="B90:C90"/>
    <mergeCell ref="B4:C4"/>
    <mergeCell ref="R30:S30"/>
    <mergeCell ref="N47:O47"/>
    <mergeCell ref="N30:O30"/>
    <mergeCell ref="B59:C59"/>
    <mergeCell ref="J5:K5"/>
    <mergeCell ref="H11:I11"/>
    <mergeCell ref="B5:C5"/>
    <mergeCell ref="R47:S47"/>
    <mergeCell ref="A43:Q43"/>
    <mergeCell ref="H46:I46"/>
    <mergeCell ref="J46:K46"/>
    <mergeCell ref="B47:C47"/>
    <mergeCell ref="D47:E47"/>
    <mergeCell ref="F5:G5"/>
    <mergeCell ref="P5:Q5"/>
    <mergeCell ref="AD4:AE4"/>
    <mergeCell ref="AD5:AE5"/>
    <mergeCell ref="AD11:AE11"/>
    <mergeCell ref="B111:C111"/>
    <mergeCell ref="B54:C55"/>
    <mergeCell ref="D54:E54"/>
    <mergeCell ref="F54:G54"/>
    <mergeCell ref="B76:C76"/>
    <mergeCell ref="B77:C77"/>
    <mergeCell ref="B67:C67"/>
    <mergeCell ref="B68:C68"/>
    <mergeCell ref="B73:C73"/>
    <mergeCell ref="B74:C74"/>
    <mergeCell ref="B65:C65"/>
    <mergeCell ref="B82:C82"/>
    <mergeCell ref="B83:C83"/>
    <mergeCell ref="B86:C86"/>
    <mergeCell ref="B80:C80"/>
    <mergeCell ref="B81:C81"/>
    <mergeCell ref="F46:G46"/>
    <mergeCell ref="H47:I47"/>
    <mergeCell ref="J47:K47"/>
    <mergeCell ref="L47:M47"/>
    <mergeCell ref="N46:O46"/>
    <mergeCell ref="B109:C109"/>
    <mergeCell ref="B110:C110"/>
    <mergeCell ref="AF4:AG4"/>
    <mergeCell ref="AF5:AG5"/>
    <mergeCell ref="AF11:AG11"/>
    <mergeCell ref="AF30:AG30"/>
    <mergeCell ref="AF46:AG46"/>
    <mergeCell ref="AF47:AG47"/>
    <mergeCell ref="AH54:AI54"/>
    <mergeCell ref="B107:C107"/>
    <mergeCell ref="B108:C108"/>
    <mergeCell ref="AD46:AE46"/>
    <mergeCell ref="AD47:AE47"/>
    <mergeCell ref="AD30:AE30"/>
    <mergeCell ref="AB54:AC54"/>
    <mergeCell ref="Z30:AA30"/>
    <mergeCell ref="B75:C75"/>
    <mergeCell ref="B63:C63"/>
    <mergeCell ref="B64:C64"/>
    <mergeCell ref="B69:C69"/>
    <mergeCell ref="F47:G47"/>
    <mergeCell ref="L46:M46"/>
    <mergeCell ref="B46:C46"/>
    <mergeCell ref="D46:E46"/>
  </mergeCells>
  <phoneticPr fontId="3" type="noConversion"/>
  <printOptions horizontalCentered="1" verticalCentered="1"/>
  <pageMargins left="0.78740157480314965" right="0.39370078740157483" top="0.39370078740157483" bottom="0.39370078740157483" header="0" footer="0"/>
  <pageSetup paperSize="8" fitToHeight="0" orientation="landscape" horizontalDpi="1200" verticalDpi="1200" r:id="rId1"/>
  <headerFooter alignWithMargins="0"/>
  <ignoredErrors>
    <ignoredError sqref="K38:M38 I38 G38 E38 C38 R111 O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A52"/>
  <sheetViews>
    <sheetView showGridLines="0" tabSelected="1" topLeftCell="A22" zoomScale="85" zoomScaleNormal="85" workbookViewId="0">
      <selection activeCell="A37" sqref="A37"/>
    </sheetView>
  </sheetViews>
  <sheetFormatPr defaultColWidth="9.1796875" defaultRowHeight="15.5" x14ac:dyDescent="0.35"/>
  <cols>
    <col min="1" max="1" width="37.453125" style="2" customWidth="1"/>
    <col min="2" max="2" width="16.08984375" style="2" customWidth="1"/>
    <col min="3" max="10" width="12.1796875" style="2" customWidth="1"/>
    <col min="11" max="15" width="12.1796875" style="1" customWidth="1"/>
    <col min="16" max="16" width="12.26953125" style="1" bestFit="1" customWidth="1"/>
    <col min="17" max="17" width="10.54296875" style="1" customWidth="1"/>
    <col min="18" max="16384" width="9.1796875" style="1"/>
  </cols>
  <sheetData>
    <row r="1" spans="1:27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9"/>
      <c r="L1" s="89"/>
      <c r="M1" s="89"/>
      <c r="N1" s="89"/>
      <c r="O1" s="89"/>
      <c r="P1" s="89"/>
      <c r="Q1" s="89"/>
    </row>
    <row r="2" spans="1:27" ht="21" x14ac:dyDescent="0.5">
      <c r="A2" s="55" t="s">
        <v>73</v>
      </c>
      <c r="B2" s="22"/>
      <c r="C2" s="22"/>
      <c r="D2" s="22"/>
      <c r="E2" s="22"/>
      <c r="F2" s="22"/>
      <c r="G2" s="22"/>
      <c r="H2" s="22"/>
      <c r="I2" s="22"/>
      <c r="J2" s="90"/>
      <c r="K2" s="22"/>
      <c r="L2" s="90"/>
      <c r="M2" s="90"/>
      <c r="N2" s="90"/>
      <c r="O2" s="90"/>
      <c r="P2" s="90"/>
      <c r="Q2" s="22"/>
    </row>
    <row r="3" spans="1:27" ht="13.5" customHeight="1" x14ac:dyDescent="0.35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27" x14ac:dyDescent="0.35">
      <c r="A4" s="91"/>
      <c r="B4" s="92" t="s">
        <v>35</v>
      </c>
      <c r="C4" s="92" t="s">
        <v>53</v>
      </c>
      <c r="D4" s="92" t="s">
        <v>54</v>
      </c>
      <c r="E4" s="92" t="s">
        <v>55</v>
      </c>
      <c r="F4" s="92" t="s">
        <v>56</v>
      </c>
      <c r="G4" s="92" t="s">
        <v>66</v>
      </c>
      <c r="H4" s="92" t="s">
        <v>86</v>
      </c>
      <c r="I4" s="92" t="s">
        <v>88</v>
      </c>
      <c r="J4" s="92" t="s">
        <v>92</v>
      </c>
      <c r="K4" s="92" t="s">
        <v>93</v>
      </c>
      <c r="L4" s="92" t="s">
        <v>94</v>
      </c>
      <c r="M4" s="92" t="s">
        <v>103</v>
      </c>
      <c r="N4" s="92" t="s">
        <v>104</v>
      </c>
      <c r="O4" s="92" t="s">
        <v>105</v>
      </c>
      <c r="P4" s="92" t="s">
        <v>106</v>
      </c>
      <c r="Q4" s="92" t="s">
        <v>112</v>
      </c>
    </row>
    <row r="5" spans="1:27" x14ac:dyDescent="0.35">
      <c r="A5" s="93" t="s">
        <v>10</v>
      </c>
      <c r="B5" s="94">
        <v>6502</v>
      </c>
      <c r="C5" s="94">
        <v>7103</v>
      </c>
      <c r="D5" s="94">
        <v>7565</v>
      </c>
      <c r="E5" s="94">
        <v>7853</v>
      </c>
      <c r="F5" s="94">
        <v>7249</v>
      </c>
      <c r="G5" s="94">
        <v>7711</v>
      </c>
      <c r="H5" s="94">
        <v>7491</v>
      </c>
      <c r="I5" s="94">
        <v>8089</v>
      </c>
      <c r="J5" s="94">
        <v>8448</v>
      </c>
      <c r="K5" s="94">
        <v>8664</v>
      </c>
      <c r="L5" s="94">
        <v>9174</v>
      </c>
      <c r="M5" s="94">
        <v>10127</v>
      </c>
      <c r="N5" s="94">
        <v>10787</v>
      </c>
      <c r="O5" s="94">
        <v>11624</v>
      </c>
      <c r="P5" s="94">
        <v>12294</v>
      </c>
      <c r="Q5" s="94">
        <v>12887</v>
      </c>
    </row>
    <row r="6" spans="1:27" x14ac:dyDescent="0.35">
      <c r="A6" s="131" t="s">
        <v>16</v>
      </c>
      <c r="B6" s="115">
        <v>2.34</v>
      </c>
      <c r="C6" s="116">
        <f>C5/3159</f>
        <v>2.2484963596074707</v>
      </c>
      <c r="D6" s="116">
        <f>D5/3520</f>
        <v>2.1491477272727271</v>
      </c>
      <c r="E6" s="116">
        <f>E5/3817</f>
        <v>2.0573749017553054</v>
      </c>
      <c r="F6" s="116">
        <f>F5/3815</f>
        <v>1.9001310615989515</v>
      </c>
      <c r="G6" s="116">
        <f>G5/4221</f>
        <v>1.8268182895048566</v>
      </c>
      <c r="H6" s="116">
        <f>H5/4165</f>
        <v>1.7985594237695077</v>
      </c>
      <c r="I6" s="116">
        <f>I5/4768</f>
        <v>1.6965184563758389</v>
      </c>
      <c r="J6" s="116">
        <v>1.67</v>
      </c>
      <c r="K6" s="116">
        <v>1.63</v>
      </c>
      <c r="L6" s="116">
        <f>L5/5901</f>
        <v>1.5546517539400102</v>
      </c>
      <c r="M6" s="116">
        <f>M5/6201</f>
        <v>1.6331236897274632</v>
      </c>
      <c r="N6" s="116">
        <f>N5/6585</f>
        <v>1.6381169324221716</v>
      </c>
      <c r="O6" s="116">
        <f>O5/6585</f>
        <v>1.7652239939255885</v>
      </c>
      <c r="P6" s="116">
        <f>P5/6585</f>
        <v>1.8669703872437358</v>
      </c>
      <c r="Q6" s="116">
        <v>1.53</v>
      </c>
    </row>
    <row r="7" spans="1:27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9"/>
      <c r="L7" s="9"/>
      <c r="M7" s="9"/>
      <c r="N7" s="9"/>
      <c r="O7" s="9"/>
      <c r="P7" s="9"/>
      <c r="Q7" s="9"/>
    </row>
    <row r="8" spans="1:27" x14ac:dyDescent="0.3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5"/>
    </row>
    <row r="9" spans="1:27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9"/>
      <c r="L9" s="9"/>
      <c r="M9" s="9"/>
      <c r="N9" s="9"/>
      <c r="O9" s="9"/>
      <c r="P9" s="9"/>
      <c r="Q9" s="9"/>
      <c r="R9" s="5"/>
    </row>
    <row r="10" spans="1:27" ht="21" x14ac:dyDescent="0.5">
      <c r="A10" s="53" t="s">
        <v>74</v>
      </c>
      <c r="B10" s="22"/>
      <c r="C10" s="22"/>
      <c r="D10" s="22"/>
      <c r="E10" s="22"/>
      <c r="F10" s="22"/>
      <c r="G10" s="22"/>
      <c r="H10" s="22"/>
      <c r="I10" s="22"/>
      <c r="J10" s="90"/>
      <c r="K10" s="22"/>
      <c r="L10" s="90"/>
      <c r="M10" s="90"/>
      <c r="N10" s="90"/>
      <c r="O10" s="90"/>
      <c r="P10" s="90"/>
      <c r="Q10" s="22"/>
      <c r="R10" s="5"/>
    </row>
    <row r="11" spans="1:27" ht="16" thickBot="1" x14ac:dyDescent="0.4">
      <c r="A11" s="12"/>
      <c r="B11" s="9"/>
      <c r="C11" s="9"/>
      <c r="D11" s="9"/>
      <c r="E11" s="9"/>
      <c r="F11" s="9"/>
      <c r="G11" s="9"/>
      <c r="H11" s="9"/>
      <c r="I11" s="9"/>
      <c r="J11" s="91"/>
      <c r="K11" s="9"/>
      <c r="L11" s="91"/>
      <c r="M11" s="91"/>
      <c r="N11" s="91"/>
      <c r="O11" s="91"/>
      <c r="P11" s="91"/>
      <c r="Q11" s="9"/>
      <c r="R11"/>
      <c r="S11"/>
      <c r="T11"/>
      <c r="U11"/>
      <c r="V11"/>
      <c r="W11"/>
      <c r="X11"/>
      <c r="Y11"/>
      <c r="Z11"/>
      <c r="AA11"/>
    </row>
    <row r="12" spans="1:27" ht="17.5" thickBot="1" x14ac:dyDescent="0.45">
      <c r="A12" s="147" t="s">
        <v>133</v>
      </c>
      <c r="B12" s="182" t="s">
        <v>107</v>
      </c>
      <c r="C12" s="183" t="s">
        <v>107</v>
      </c>
      <c r="D12" s="182" t="s">
        <v>108</v>
      </c>
      <c r="E12" s="183"/>
      <c r="F12" s="182" t="s">
        <v>109</v>
      </c>
      <c r="G12" s="183"/>
      <c r="H12" s="182" t="s">
        <v>110</v>
      </c>
      <c r="I12" s="183"/>
      <c r="J12" s="182" t="s">
        <v>111</v>
      </c>
      <c r="K12" s="183"/>
      <c r="L12" s="182" t="s">
        <v>6</v>
      </c>
      <c r="M12" s="183"/>
      <c r="N12" s="182" t="s">
        <v>75</v>
      </c>
      <c r="O12" s="183"/>
      <c r="P12" s="95" t="s">
        <v>8</v>
      </c>
      <c r="Q12" s="9"/>
      <c r="R12"/>
      <c r="S12"/>
      <c r="T12"/>
      <c r="U12"/>
      <c r="V12"/>
      <c r="W12"/>
      <c r="X12"/>
      <c r="Y12"/>
      <c r="Z12"/>
      <c r="AA12"/>
    </row>
    <row r="13" spans="1:27" ht="17.5" thickBot="1" x14ac:dyDescent="0.45">
      <c r="A13" s="148"/>
      <c r="B13" s="145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P13" s="146"/>
      <c r="Q13" s="9"/>
      <c r="R13"/>
      <c r="S13"/>
      <c r="T13"/>
      <c r="U13"/>
      <c r="V13"/>
      <c r="W13"/>
      <c r="X13"/>
      <c r="Y13"/>
      <c r="Z13"/>
      <c r="AA13"/>
    </row>
    <row r="14" spans="1:27" ht="31" x14ac:dyDescent="0.35">
      <c r="A14" s="130" t="s">
        <v>59</v>
      </c>
      <c r="B14" s="96">
        <v>119</v>
      </c>
      <c r="C14" s="117">
        <f>B14/$B$24</f>
        <v>0.37421383647798739</v>
      </c>
      <c r="D14" s="96">
        <v>68</v>
      </c>
      <c r="E14" s="117">
        <f>D14/$D$24</f>
        <v>2.4673439767779391E-2</v>
      </c>
      <c r="F14" s="96">
        <v>0</v>
      </c>
      <c r="G14" s="117">
        <f>F14/$F$24</f>
        <v>0</v>
      </c>
      <c r="H14" s="96">
        <v>0</v>
      </c>
      <c r="I14" s="117">
        <f>H14/$H$24</f>
        <v>0</v>
      </c>
      <c r="J14" s="96">
        <v>0</v>
      </c>
      <c r="K14" s="117">
        <f>J14/$J$24</f>
        <v>0</v>
      </c>
      <c r="L14" s="96">
        <v>0</v>
      </c>
      <c r="M14" s="117">
        <f>L14/$L$24</f>
        <v>0</v>
      </c>
      <c r="N14" s="96">
        <v>0</v>
      </c>
      <c r="O14" s="117">
        <v>0</v>
      </c>
      <c r="P14" s="97">
        <f t="shared" ref="P14:P19" si="0">B14+D14+F14+H14+J14+L14+N14</f>
        <v>187</v>
      </c>
      <c r="Q14" s="9"/>
      <c r="R14"/>
      <c r="S14"/>
      <c r="T14"/>
      <c r="U14"/>
      <c r="V14"/>
      <c r="W14"/>
      <c r="X14"/>
      <c r="Y14"/>
      <c r="Z14"/>
      <c r="AA14"/>
    </row>
    <row r="15" spans="1:27" ht="29.25" customHeight="1" x14ac:dyDescent="0.35">
      <c r="A15" s="127" t="s">
        <v>24</v>
      </c>
      <c r="B15" s="98">
        <v>0</v>
      </c>
      <c r="C15" s="117">
        <f t="shared" ref="C15:C23" si="1">B15/$B$24</f>
        <v>0</v>
      </c>
      <c r="D15" s="98">
        <v>14</v>
      </c>
      <c r="E15" s="117">
        <f t="shared" ref="E15:E23" si="2">D15/$D$24</f>
        <v>5.0798258345428155E-3</v>
      </c>
      <c r="F15" s="98">
        <f>14+25</f>
        <v>39</v>
      </c>
      <c r="G15" s="117">
        <f t="shared" ref="G15:G23" si="3">F15/$F$24</f>
        <v>1.0803324099722992E-2</v>
      </c>
      <c r="H15" s="98">
        <v>30</v>
      </c>
      <c r="I15" s="117">
        <f t="shared" ref="I15:I23" si="4">H15/$H$24</f>
        <v>2.0761245674740483E-2</v>
      </c>
      <c r="J15" s="98">
        <v>1</v>
      </c>
      <c r="K15" s="117">
        <f t="shared" ref="K15:K23" si="5">J15/$J$24</f>
        <v>3.4129692832764505E-3</v>
      </c>
      <c r="L15" s="98">
        <v>0</v>
      </c>
      <c r="M15" s="117">
        <f t="shared" ref="M15:M23" si="6">L15/$L$24</f>
        <v>0</v>
      </c>
      <c r="N15" s="98">
        <v>0</v>
      </c>
      <c r="O15" s="117">
        <v>0</v>
      </c>
      <c r="P15" s="97">
        <f t="shared" si="0"/>
        <v>84</v>
      </c>
      <c r="Q15" s="9"/>
      <c r="R15"/>
      <c r="S15"/>
      <c r="T15"/>
      <c r="U15"/>
      <c r="V15"/>
      <c r="W15"/>
      <c r="X15"/>
      <c r="Y15"/>
      <c r="Z15"/>
      <c r="AA15"/>
    </row>
    <row r="16" spans="1:27" ht="31" x14ac:dyDescent="0.35">
      <c r="A16" s="127" t="s">
        <v>60</v>
      </c>
      <c r="B16" s="98">
        <v>5</v>
      </c>
      <c r="C16" s="117">
        <f t="shared" si="1"/>
        <v>1.5723270440251572E-2</v>
      </c>
      <c r="D16" s="98">
        <v>72</v>
      </c>
      <c r="E16" s="117">
        <f t="shared" si="2"/>
        <v>2.6124818577648767E-2</v>
      </c>
      <c r="F16" s="98">
        <v>58</v>
      </c>
      <c r="G16" s="117">
        <f t="shared" si="3"/>
        <v>1.6066481994459834E-2</v>
      </c>
      <c r="H16" s="98">
        <v>15</v>
      </c>
      <c r="I16" s="117">
        <f t="shared" si="4"/>
        <v>1.0380622837370242E-2</v>
      </c>
      <c r="J16" s="98">
        <v>10</v>
      </c>
      <c r="K16" s="117">
        <f t="shared" si="5"/>
        <v>3.4129692832764506E-2</v>
      </c>
      <c r="L16" s="98">
        <v>0</v>
      </c>
      <c r="M16" s="117">
        <f t="shared" si="6"/>
        <v>0</v>
      </c>
      <c r="N16" s="98">
        <v>0</v>
      </c>
      <c r="O16" s="117">
        <v>0</v>
      </c>
      <c r="P16" s="97">
        <f t="shared" si="0"/>
        <v>160</v>
      </c>
      <c r="Q16" s="9"/>
      <c r="R16" s="5"/>
    </row>
    <row r="17" spans="1:18" ht="31" x14ac:dyDescent="0.35">
      <c r="A17" s="127" t="s">
        <v>65</v>
      </c>
      <c r="B17" s="98">
        <v>0</v>
      </c>
      <c r="C17" s="117">
        <f t="shared" si="1"/>
        <v>0</v>
      </c>
      <c r="D17" s="98">
        <v>1</v>
      </c>
      <c r="E17" s="117">
        <f t="shared" si="2"/>
        <v>3.6284470246734398E-4</v>
      </c>
      <c r="F17" s="98">
        <f>5+13+2</f>
        <v>20</v>
      </c>
      <c r="G17" s="117">
        <f t="shared" si="3"/>
        <v>5.5401662049861496E-3</v>
      </c>
      <c r="H17" s="98">
        <v>13</v>
      </c>
      <c r="I17" s="117">
        <f t="shared" si="4"/>
        <v>8.996539792387544E-3</v>
      </c>
      <c r="J17" s="98">
        <v>1</v>
      </c>
      <c r="K17" s="117">
        <f t="shared" si="5"/>
        <v>3.4129692832764505E-3</v>
      </c>
      <c r="L17" s="98">
        <v>0</v>
      </c>
      <c r="M17" s="117">
        <f t="shared" si="6"/>
        <v>0</v>
      </c>
      <c r="N17" s="98">
        <v>0</v>
      </c>
      <c r="O17" s="117">
        <v>0</v>
      </c>
      <c r="P17" s="97">
        <f t="shared" si="0"/>
        <v>35</v>
      </c>
      <c r="Q17" s="9"/>
      <c r="R17" s="5"/>
    </row>
    <row r="18" spans="1:18" ht="30" customHeight="1" x14ac:dyDescent="0.35">
      <c r="A18" s="127" t="s">
        <v>25</v>
      </c>
      <c r="B18" s="98">
        <v>0</v>
      </c>
      <c r="C18" s="117">
        <f t="shared" si="1"/>
        <v>0</v>
      </c>
      <c r="D18" s="98">
        <v>4</v>
      </c>
      <c r="E18" s="117">
        <f t="shared" si="2"/>
        <v>1.4513788098693759E-3</v>
      </c>
      <c r="F18" s="98">
        <v>14</v>
      </c>
      <c r="G18" s="117">
        <f t="shared" si="3"/>
        <v>3.8781163434903048E-3</v>
      </c>
      <c r="H18" s="98">
        <v>16</v>
      </c>
      <c r="I18" s="117">
        <f t="shared" si="4"/>
        <v>1.1072664359861591E-2</v>
      </c>
      <c r="J18" s="98">
        <v>2</v>
      </c>
      <c r="K18" s="117">
        <f t="shared" si="5"/>
        <v>6.8259385665529011E-3</v>
      </c>
      <c r="L18" s="98">
        <v>0</v>
      </c>
      <c r="M18" s="117">
        <f t="shared" si="6"/>
        <v>0</v>
      </c>
      <c r="N18" s="98">
        <v>0</v>
      </c>
      <c r="O18" s="117">
        <v>0</v>
      </c>
      <c r="P18" s="97">
        <f t="shared" si="0"/>
        <v>36</v>
      </c>
      <c r="Q18" s="9"/>
      <c r="R18" s="5"/>
    </row>
    <row r="19" spans="1:18" ht="31" x14ac:dyDescent="0.35">
      <c r="A19" s="127" t="s">
        <v>61</v>
      </c>
      <c r="B19" s="98">
        <v>7</v>
      </c>
      <c r="C19" s="117">
        <f t="shared" si="1"/>
        <v>2.20125786163522E-2</v>
      </c>
      <c r="D19" s="98">
        <v>117</v>
      </c>
      <c r="E19" s="117">
        <f t="shared" si="2"/>
        <v>4.2452830188679243E-2</v>
      </c>
      <c r="F19" s="98">
        <v>207</v>
      </c>
      <c r="G19" s="117">
        <f t="shared" si="3"/>
        <v>5.7340720221606647E-2</v>
      </c>
      <c r="H19" s="98">
        <v>100</v>
      </c>
      <c r="I19" s="117">
        <f t="shared" si="4"/>
        <v>6.9204152249134954E-2</v>
      </c>
      <c r="J19" s="98">
        <v>4</v>
      </c>
      <c r="K19" s="117">
        <f t="shared" si="5"/>
        <v>1.3651877133105802E-2</v>
      </c>
      <c r="L19" s="98">
        <v>0</v>
      </c>
      <c r="M19" s="117">
        <f t="shared" si="6"/>
        <v>0</v>
      </c>
      <c r="N19" s="98">
        <v>0</v>
      </c>
      <c r="O19" s="117">
        <v>0</v>
      </c>
      <c r="P19" s="97">
        <f t="shared" si="0"/>
        <v>435</v>
      </c>
      <c r="Q19" s="9"/>
      <c r="R19" s="5"/>
    </row>
    <row r="20" spans="1:18" ht="30" customHeight="1" x14ac:dyDescent="0.35">
      <c r="A20" s="127" t="s">
        <v>26</v>
      </c>
      <c r="B20" s="98">
        <v>11</v>
      </c>
      <c r="C20" s="117">
        <f t="shared" si="1"/>
        <v>3.4591194968553458E-2</v>
      </c>
      <c r="D20" s="98">
        <v>203</v>
      </c>
      <c r="E20" s="117">
        <f t="shared" si="2"/>
        <v>7.3657474600870826E-2</v>
      </c>
      <c r="F20" s="98">
        <v>383</v>
      </c>
      <c r="G20" s="117">
        <f t="shared" si="3"/>
        <v>0.10609418282548476</v>
      </c>
      <c r="H20" s="98">
        <v>272</v>
      </c>
      <c r="I20" s="117">
        <f t="shared" si="4"/>
        <v>0.18823529411764706</v>
      </c>
      <c r="J20" s="98">
        <v>20</v>
      </c>
      <c r="K20" s="117">
        <f t="shared" si="5"/>
        <v>6.8259385665529013E-2</v>
      </c>
      <c r="L20" s="98">
        <v>0</v>
      </c>
      <c r="M20" s="117">
        <f t="shared" si="6"/>
        <v>0</v>
      </c>
      <c r="N20" s="98">
        <v>0</v>
      </c>
      <c r="O20" s="117">
        <v>0</v>
      </c>
      <c r="P20" s="97">
        <f>B20+D20+F20+H20+J20+L20+N20</f>
        <v>889</v>
      </c>
      <c r="Q20" s="9"/>
      <c r="R20" s="5"/>
    </row>
    <row r="21" spans="1:18" ht="31" x14ac:dyDescent="0.35">
      <c r="A21" s="127" t="s">
        <v>62</v>
      </c>
      <c r="B21" s="98">
        <v>39</v>
      </c>
      <c r="C21" s="117">
        <f t="shared" si="1"/>
        <v>0.12264150943396226</v>
      </c>
      <c r="D21" s="98">
        <v>1393</v>
      </c>
      <c r="E21" s="117">
        <f t="shared" si="2"/>
        <v>0.5054426705370102</v>
      </c>
      <c r="F21" s="98">
        <v>1747</v>
      </c>
      <c r="G21" s="117">
        <f t="shared" si="3"/>
        <v>0.48393351800554019</v>
      </c>
      <c r="H21" s="98">
        <v>563</v>
      </c>
      <c r="I21" s="117">
        <f t="shared" si="4"/>
        <v>0.38961937716262973</v>
      </c>
      <c r="J21" s="98">
        <v>148</v>
      </c>
      <c r="K21" s="117">
        <f t="shared" si="5"/>
        <v>0.50511945392491464</v>
      </c>
      <c r="L21" s="98">
        <v>0</v>
      </c>
      <c r="M21" s="117">
        <f t="shared" si="6"/>
        <v>0</v>
      </c>
      <c r="N21" s="98">
        <v>0</v>
      </c>
      <c r="O21" s="117">
        <v>0</v>
      </c>
      <c r="P21" s="97">
        <f>B21+D21+F21+H21+J21+L21+N21</f>
        <v>3890</v>
      </c>
      <c r="Q21" s="9"/>
      <c r="R21" s="5"/>
    </row>
    <row r="22" spans="1:18" ht="25.5" customHeight="1" x14ac:dyDescent="0.35">
      <c r="A22" s="128" t="s">
        <v>63</v>
      </c>
      <c r="B22" s="98">
        <v>2</v>
      </c>
      <c r="C22" s="117">
        <f t="shared" si="1"/>
        <v>6.2893081761006293E-3</v>
      </c>
      <c r="D22" s="98">
        <v>26</v>
      </c>
      <c r="E22" s="117">
        <f t="shared" si="2"/>
        <v>9.433962264150943E-3</v>
      </c>
      <c r="F22" s="98">
        <v>56</v>
      </c>
      <c r="G22" s="117">
        <f t="shared" si="3"/>
        <v>1.5512465373961219E-2</v>
      </c>
      <c r="H22" s="98">
        <v>39</v>
      </c>
      <c r="I22" s="117">
        <f t="shared" si="4"/>
        <v>2.698961937716263E-2</v>
      </c>
      <c r="J22" s="98">
        <v>5</v>
      </c>
      <c r="K22" s="117">
        <f t="shared" si="5"/>
        <v>1.7064846416382253E-2</v>
      </c>
      <c r="L22" s="98">
        <v>0</v>
      </c>
      <c r="M22" s="117">
        <f t="shared" si="6"/>
        <v>0</v>
      </c>
      <c r="N22" s="98">
        <v>0</v>
      </c>
      <c r="O22" s="117">
        <v>0</v>
      </c>
      <c r="P22" s="97">
        <f>B22+D22+F22+H22+J22+L22+N22</f>
        <v>128</v>
      </c>
      <c r="Q22" s="9"/>
      <c r="R22" s="5"/>
    </row>
    <row r="23" spans="1:18" ht="28.5" customHeight="1" thickBot="1" x14ac:dyDescent="0.4">
      <c r="A23" s="129" t="s">
        <v>64</v>
      </c>
      <c r="B23" s="99">
        <v>135</v>
      </c>
      <c r="C23" s="117">
        <f t="shared" si="1"/>
        <v>0.42452830188679247</v>
      </c>
      <c r="D23" s="99">
        <v>858</v>
      </c>
      <c r="E23" s="117">
        <f t="shared" si="2"/>
        <v>0.31132075471698112</v>
      </c>
      <c r="F23" s="99">
        <v>1086</v>
      </c>
      <c r="G23" s="117">
        <f t="shared" si="3"/>
        <v>0.30083102493074793</v>
      </c>
      <c r="H23" s="99">
        <v>397</v>
      </c>
      <c r="I23" s="117">
        <f t="shared" si="4"/>
        <v>0.27474048442906573</v>
      </c>
      <c r="J23" s="99">
        <v>102</v>
      </c>
      <c r="K23" s="117">
        <f t="shared" si="5"/>
        <v>0.34812286689419797</v>
      </c>
      <c r="L23" s="99">
        <v>1</v>
      </c>
      <c r="M23" s="117">
        <f t="shared" si="6"/>
        <v>1</v>
      </c>
      <c r="N23" s="99">
        <v>0</v>
      </c>
      <c r="O23" s="117">
        <v>0</v>
      </c>
      <c r="P23" s="97">
        <f>B23+D23+F23+H23+J23+L23+N23</f>
        <v>2579</v>
      </c>
      <c r="Q23" s="9"/>
      <c r="R23" s="5"/>
    </row>
    <row r="24" spans="1:18" ht="16" thickBot="1" x14ac:dyDescent="0.4">
      <c r="A24" s="100" t="s">
        <v>8</v>
      </c>
      <c r="B24" s="101">
        <f t="shared" ref="B24:P24" si="7">SUM(B14:B23)</f>
        <v>318</v>
      </c>
      <c r="C24" s="118">
        <f t="shared" si="7"/>
        <v>1</v>
      </c>
      <c r="D24" s="78">
        <f t="shared" si="7"/>
        <v>2756</v>
      </c>
      <c r="E24" s="118">
        <f t="shared" si="7"/>
        <v>1</v>
      </c>
      <c r="F24" s="78">
        <f t="shared" si="7"/>
        <v>3610</v>
      </c>
      <c r="G24" s="118">
        <f t="shared" si="7"/>
        <v>1</v>
      </c>
      <c r="H24" s="101">
        <f t="shared" si="7"/>
        <v>1445</v>
      </c>
      <c r="I24" s="118">
        <f t="shared" si="7"/>
        <v>1</v>
      </c>
      <c r="J24" s="101">
        <f t="shared" si="7"/>
        <v>293</v>
      </c>
      <c r="K24" s="118">
        <f t="shared" si="7"/>
        <v>1</v>
      </c>
      <c r="L24" s="101">
        <f t="shared" si="7"/>
        <v>1</v>
      </c>
      <c r="M24" s="118">
        <f>SUM(M14:M23)</f>
        <v>1</v>
      </c>
      <c r="N24" s="101">
        <f>SUM(N14:N23)</f>
        <v>0</v>
      </c>
      <c r="O24" s="118">
        <f>SUM(O14:O23)</f>
        <v>0</v>
      </c>
      <c r="P24" s="31">
        <f t="shared" si="7"/>
        <v>8423</v>
      </c>
      <c r="Q24" s="9"/>
    </row>
    <row r="25" spans="1:18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02"/>
      <c r="K25" s="74"/>
      <c r="L25" s="102"/>
      <c r="M25" s="102"/>
      <c r="N25" s="102"/>
      <c r="O25" s="102"/>
      <c r="P25" s="102"/>
      <c r="Q25" s="11"/>
    </row>
    <row r="26" spans="1:18" ht="16" thickBo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02"/>
      <c r="K26" s="11"/>
      <c r="L26" s="102"/>
      <c r="M26" s="102"/>
      <c r="N26" s="102"/>
      <c r="O26" s="102"/>
      <c r="P26" s="102"/>
      <c r="Q26" s="102"/>
    </row>
    <row r="27" spans="1:18" ht="16" thickBot="1" x14ac:dyDescent="0.4">
      <c r="A27" s="9"/>
      <c r="B27" s="9"/>
      <c r="C27" s="9"/>
      <c r="D27" s="103"/>
      <c r="E27" s="119"/>
      <c r="F27" s="120" t="s">
        <v>23</v>
      </c>
      <c r="G27" s="121" t="s">
        <v>27</v>
      </c>
      <c r="H27" s="121" t="s">
        <v>28</v>
      </c>
      <c r="I27" s="121" t="s">
        <v>29</v>
      </c>
      <c r="J27" s="121" t="s">
        <v>30</v>
      </c>
      <c r="K27" s="121" t="s">
        <v>31</v>
      </c>
      <c r="L27" s="121" t="s">
        <v>32</v>
      </c>
      <c r="M27" s="121" t="s">
        <v>33</v>
      </c>
      <c r="N27" s="122" t="s">
        <v>34</v>
      </c>
      <c r="O27" s="121" t="s">
        <v>58</v>
      </c>
      <c r="P27" s="9"/>
      <c r="Q27" s="102"/>
    </row>
    <row r="28" spans="1:18" x14ac:dyDescent="0.35">
      <c r="A28" s="11"/>
      <c r="B28" s="11"/>
      <c r="C28" s="11"/>
      <c r="D28" s="104"/>
      <c r="E28" s="123" t="s">
        <v>11</v>
      </c>
      <c r="F28" s="105">
        <f>B14/P14</f>
        <v>0.63636363636363635</v>
      </c>
      <c r="G28" s="106">
        <f>B15/P15</f>
        <v>0</v>
      </c>
      <c r="H28" s="106">
        <f>B16/P16</f>
        <v>3.125E-2</v>
      </c>
      <c r="I28" s="106">
        <f>B17/P17</f>
        <v>0</v>
      </c>
      <c r="J28" s="106">
        <f>B18/P18</f>
        <v>0</v>
      </c>
      <c r="K28" s="106">
        <f>B19/P19</f>
        <v>1.6091954022988506E-2</v>
      </c>
      <c r="L28" s="106">
        <f>B20/P20</f>
        <v>1.2373453318335208E-2</v>
      </c>
      <c r="M28" s="106">
        <f>B21/P21</f>
        <v>1.0025706940874035E-2</v>
      </c>
      <c r="N28" s="106">
        <f>B22/P22</f>
        <v>1.5625E-2</v>
      </c>
      <c r="O28" s="106">
        <f>B23/P23</f>
        <v>5.2345870492438933E-2</v>
      </c>
      <c r="P28" s="9"/>
      <c r="Q28" s="102"/>
    </row>
    <row r="29" spans="1:18" x14ac:dyDescent="0.35">
      <c r="A29" s="9"/>
      <c r="B29" s="11"/>
      <c r="C29" s="9"/>
      <c r="D29" s="104"/>
      <c r="E29" s="124" t="s">
        <v>12</v>
      </c>
      <c r="F29" s="107">
        <f>D14/P14</f>
        <v>0.36363636363636365</v>
      </c>
      <c r="G29" s="108">
        <f>D15/P15</f>
        <v>0.16666666666666666</v>
      </c>
      <c r="H29" s="108">
        <f>D16/P16</f>
        <v>0.45</v>
      </c>
      <c r="I29" s="108">
        <f>D17/P17</f>
        <v>2.8571428571428571E-2</v>
      </c>
      <c r="J29" s="108">
        <f>D18/P18</f>
        <v>0.1111111111111111</v>
      </c>
      <c r="K29" s="108">
        <f>D19/P19</f>
        <v>0.26896551724137929</v>
      </c>
      <c r="L29" s="108">
        <f>D20/P20</f>
        <v>0.2283464566929134</v>
      </c>
      <c r="M29" s="108">
        <f>D21/P21</f>
        <v>0.35809768637532136</v>
      </c>
      <c r="N29" s="108">
        <f>D22/P22</f>
        <v>0.203125</v>
      </c>
      <c r="O29" s="108">
        <f>D23/P23</f>
        <v>0.33268708801861185</v>
      </c>
      <c r="P29" s="9"/>
      <c r="Q29" s="102"/>
    </row>
    <row r="30" spans="1:18" x14ac:dyDescent="0.35">
      <c r="A30" s="91"/>
      <c r="B30" s="91"/>
      <c r="C30" s="91"/>
      <c r="D30" s="104"/>
      <c r="E30" s="125" t="s">
        <v>13</v>
      </c>
      <c r="F30" s="109">
        <f>F14/P14</f>
        <v>0</v>
      </c>
      <c r="G30" s="110">
        <f>F15/P15</f>
        <v>0.4642857142857143</v>
      </c>
      <c r="H30" s="110">
        <f>F16/P16</f>
        <v>0.36249999999999999</v>
      </c>
      <c r="I30" s="110">
        <f>F17/P17</f>
        <v>0.5714285714285714</v>
      </c>
      <c r="J30" s="110">
        <f>F18/P18</f>
        <v>0.3888888888888889</v>
      </c>
      <c r="K30" s="110">
        <f>F19/P19</f>
        <v>0.47586206896551725</v>
      </c>
      <c r="L30" s="110">
        <f>F20/P20</f>
        <v>0.43082114735658045</v>
      </c>
      <c r="M30" s="110">
        <f>F21/P21</f>
        <v>0.44910025706940876</v>
      </c>
      <c r="N30" s="110">
        <f>F22/P22</f>
        <v>0.4375</v>
      </c>
      <c r="O30" s="110">
        <f>F23/P23</f>
        <v>0.42109344707250873</v>
      </c>
      <c r="P30" s="9"/>
      <c r="Q30" s="102"/>
    </row>
    <row r="31" spans="1:18" x14ac:dyDescent="0.35">
      <c r="A31" s="9"/>
      <c r="B31" s="9"/>
      <c r="C31" s="9"/>
      <c r="D31" s="104"/>
      <c r="E31" s="124" t="s">
        <v>17</v>
      </c>
      <c r="F31" s="107">
        <f>H14/P14</f>
        <v>0</v>
      </c>
      <c r="G31" s="108">
        <f>H15/P15</f>
        <v>0.35714285714285715</v>
      </c>
      <c r="H31" s="108">
        <f>H16/P16</f>
        <v>9.375E-2</v>
      </c>
      <c r="I31" s="108">
        <f>H17/P17</f>
        <v>0.37142857142857144</v>
      </c>
      <c r="J31" s="108">
        <f>H18/P18</f>
        <v>0.44444444444444442</v>
      </c>
      <c r="K31" s="108">
        <f>H19/P19</f>
        <v>0.22988505747126436</v>
      </c>
      <c r="L31" s="108">
        <f>H20/P20</f>
        <v>0.30596175478065241</v>
      </c>
      <c r="M31" s="108">
        <f>H21/P21</f>
        <v>0.14473007712082261</v>
      </c>
      <c r="N31" s="108">
        <f>H22/P22</f>
        <v>0.3046875</v>
      </c>
      <c r="O31" s="108">
        <f>H23/P23</f>
        <v>0.15393563396665375</v>
      </c>
      <c r="P31" s="9"/>
      <c r="Q31" s="102"/>
    </row>
    <row r="32" spans="1:18" x14ac:dyDescent="0.35">
      <c r="A32" s="11"/>
      <c r="B32" s="11"/>
      <c r="C32" s="11"/>
      <c r="D32" s="104"/>
      <c r="E32" s="124" t="s">
        <v>14</v>
      </c>
      <c r="F32" s="107">
        <f>J14/P14</f>
        <v>0</v>
      </c>
      <c r="G32" s="108">
        <f>J15/P15</f>
        <v>1.1904761904761904E-2</v>
      </c>
      <c r="H32" s="108">
        <f>J16/P16</f>
        <v>6.25E-2</v>
      </c>
      <c r="I32" s="108">
        <f>J17/P17</f>
        <v>2.8571428571428571E-2</v>
      </c>
      <c r="J32" s="108">
        <f>J18/P18</f>
        <v>5.5555555555555552E-2</v>
      </c>
      <c r="K32" s="108">
        <f>J19/P19</f>
        <v>9.1954022988505746E-3</v>
      </c>
      <c r="L32" s="108">
        <f>J20/P20</f>
        <v>2.2497187851518559E-2</v>
      </c>
      <c r="M32" s="108">
        <f>J21/P21</f>
        <v>3.8046272493573265E-2</v>
      </c>
      <c r="N32" s="108">
        <f>J22/P22</f>
        <v>3.90625E-2</v>
      </c>
      <c r="O32" s="108">
        <f>J23/P23</f>
        <v>3.9550213260953856E-2</v>
      </c>
      <c r="P32" s="9"/>
      <c r="Q32" s="9"/>
    </row>
    <row r="33" spans="1:17" x14ac:dyDescent="0.35">
      <c r="A33" s="9"/>
      <c r="B33" s="9"/>
      <c r="C33" s="9"/>
      <c r="D33" s="104"/>
      <c r="E33" s="124" t="s">
        <v>15</v>
      </c>
      <c r="F33" s="107">
        <f>L14/P14</f>
        <v>0</v>
      </c>
      <c r="G33" s="108">
        <f>L15/P15</f>
        <v>0</v>
      </c>
      <c r="H33" s="108">
        <f>L16/P16</f>
        <v>0</v>
      </c>
      <c r="I33" s="108">
        <f>L17/P17</f>
        <v>0</v>
      </c>
      <c r="J33" s="108">
        <f>L18/P18</f>
        <v>0</v>
      </c>
      <c r="K33" s="108">
        <f>L19/P19</f>
        <v>0</v>
      </c>
      <c r="L33" s="108">
        <f>L20/P20</f>
        <v>0</v>
      </c>
      <c r="M33" s="108">
        <f>L21/P21</f>
        <v>0</v>
      </c>
      <c r="N33" s="108">
        <f>L22/P22</f>
        <v>0</v>
      </c>
      <c r="O33" s="108">
        <f>L23/P23</f>
        <v>3.8774718883288094E-4</v>
      </c>
      <c r="P33" s="9"/>
      <c r="Q33" s="102"/>
    </row>
    <row r="34" spans="1:17" ht="16" thickBot="1" x14ac:dyDescent="0.4">
      <c r="A34" s="91"/>
      <c r="B34" s="91"/>
      <c r="C34" s="91"/>
      <c r="D34" s="104"/>
      <c r="E34" s="126" t="s">
        <v>76</v>
      </c>
      <c r="F34" s="111">
        <f>N14/P14</f>
        <v>0</v>
      </c>
      <c r="G34" s="112">
        <f>N15/P15</f>
        <v>0</v>
      </c>
      <c r="H34" s="112">
        <f>N16/P16</f>
        <v>0</v>
      </c>
      <c r="I34" s="112">
        <f>N17/P17</f>
        <v>0</v>
      </c>
      <c r="J34" s="112">
        <f>N18/P18</f>
        <v>0</v>
      </c>
      <c r="K34" s="112">
        <f>N19/P19</f>
        <v>0</v>
      </c>
      <c r="L34" s="112">
        <f>N20/P20</f>
        <v>0</v>
      </c>
      <c r="M34" s="112">
        <f>N21/P21</f>
        <v>0</v>
      </c>
      <c r="N34" s="112">
        <f>N22/P22</f>
        <v>0</v>
      </c>
      <c r="O34" s="112">
        <f>N23/P23</f>
        <v>0</v>
      </c>
      <c r="P34" s="113"/>
      <c r="Q34" s="102"/>
    </row>
    <row r="35" spans="1:17" x14ac:dyDescent="0.35">
      <c r="A35" s="9"/>
      <c r="B35" s="9"/>
      <c r="C35" s="9"/>
      <c r="D35" s="114"/>
      <c r="E35" s="114"/>
      <c r="F35" s="9"/>
      <c r="G35" s="9"/>
      <c r="H35" s="9"/>
      <c r="I35" s="9"/>
      <c r="J35" s="91"/>
      <c r="K35" s="9"/>
      <c r="L35" s="91"/>
      <c r="M35" s="91"/>
      <c r="N35" s="91"/>
      <c r="O35" s="91"/>
      <c r="P35" s="91"/>
      <c r="Q35" s="102"/>
    </row>
    <row r="36" spans="1:17" x14ac:dyDescent="0.35">
      <c r="A36" s="11"/>
      <c r="B36" s="11"/>
      <c r="C36" s="11"/>
      <c r="D36" s="114"/>
      <c r="E36" s="114"/>
      <c r="F36" s="9"/>
      <c r="G36" s="9"/>
      <c r="H36" s="9"/>
      <c r="I36" s="9"/>
      <c r="J36" s="91"/>
      <c r="K36" s="9"/>
      <c r="L36" s="91"/>
      <c r="M36" s="91"/>
      <c r="N36" s="91"/>
      <c r="O36" s="91"/>
      <c r="P36" s="91"/>
      <c r="Q36" s="102"/>
    </row>
    <row r="37" spans="1:17" ht="21" x14ac:dyDescent="0.5">
      <c r="A37" s="55" t="s">
        <v>150</v>
      </c>
      <c r="B37" s="11"/>
      <c r="C37" s="11"/>
      <c r="D37" s="11"/>
      <c r="E37" s="6"/>
      <c r="F37" s="1"/>
      <c r="G37" s="1"/>
      <c r="H37" s="1"/>
      <c r="I37" s="1"/>
      <c r="J37" s="4"/>
      <c r="L37" s="4"/>
      <c r="M37" s="4"/>
      <c r="N37" s="4"/>
      <c r="O37" s="4"/>
      <c r="P37" s="4"/>
      <c r="Q37" s="2"/>
    </row>
    <row r="38" spans="1:17" ht="16" thickBot="1" x14ac:dyDescent="0.4">
      <c r="E38" s="5"/>
      <c r="F38" s="1"/>
      <c r="J38" s="5"/>
      <c r="K38" s="2"/>
      <c r="L38" s="5"/>
      <c r="M38" s="5"/>
      <c r="N38" s="5"/>
      <c r="O38" s="5"/>
      <c r="P38" s="5"/>
      <c r="Q38" s="2"/>
    </row>
    <row r="39" spans="1:17" ht="17" x14ac:dyDescent="0.4">
      <c r="A39" s="147" t="s">
        <v>134</v>
      </c>
      <c r="B39" s="151" t="s">
        <v>149</v>
      </c>
      <c r="C39" s="147" t="s">
        <v>135</v>
      </c>
      <c r="E39" s="3"/>
      <c r="G39" s="1"/>
      <c r="H39" s="1"/>
      <c r="I39" s="1"/>
      <c r="J39" s="4"/>
      <c r="K39" s="2"/>
      <c r="L39" s="5"/>
      <c r="M39" s="5"/>
      <c r="N39" s="5"/>
      <c r="O39" s="5"/>
      <c r="P39" s="5"/>
      <c r="Q39" s="2"/>
    </row>
    <row r="40" spans="1:17" x14ac:dyDescent="0.35">
      <c r="A40" s="130" t="s">
        <v>136</v>
      </c>
      <c r="B40" s="96">
        <v>643</v>
      </c>
      <c r="C40" s="117">
        <v>7.5999999999999998E-2</v>
      </c>
      <c r="E40" s="3"/>
      <c r="F40" s="1"/>
      <c r="G40" s="4"/>
      <c r="H40" s="4"/>
      <c r="I40" s="4"/>
      <c r="J40" s="4"/>
      <c r="K40" s="2"/>
      <c r="L40" s="5"/>
      <c r="M40" s="5"/>
      <c r="N40" s="5"/>
      <c r="O40" s="5"/>
      <c r="P40" s="5"/>
      <c r="Q40" s="2"/>
    </row>
    <row r="41" spans="1:17" x14ac:dyDescent="0.35">
      <c r="A41" s="130" t="s">
        <v>137</v>
      </c>
      <c r="B41" s="96">
        <v>324</v>
      </c>
      <c r="C41" s="117">
        <v>3.7999999999999999E-2</v>
      </c>
      <c r="E41" s="3"/>
      <c r="F41" s="1"/>
      <c r="G41" s="4"/>
      <c r="H41" s="4"/>
      <c r="I41" s="4"/>
      <c r="J41" s="4"/>
      <c r="K41" s="2"/>
      <c r="L41" s="5"/>
      <c r="M41" s="5"/>
      <c r="N41" s="5"/>
      <c r="O41" s="5"/>
      <c r="P41" s="5"/>
      <c r="Q41" s="2"/>
    </row>
    <row r="42" spans="1:17" x14ac:dyDescent="0.35">
      <c r="A42" s="130" t="s">
        <v>138</v>
      </c>
      <c r="B42" s="96">
        <v>648</v>
      </c>
      <c r="C42" s="117">
        <v>7.6999999999999999E-2</v>
      </c>
      <c r="E42" s="3"/>
      <c r="G42" s="4"/>
      <c r="H42" s="4"/>
      <c r="I42" s="4"/>
      <c r="J42" s="4"/>
      <c r="K42" s="2"/>
      <c r="L42" s="5"/>
      <c r="M42" s="5"/>
      <c r="N42" s="5"/>
      <c r="O42" s="5"/>
      <c r="P42" s="5"/>
      <c r="Q42" s="2"/>
    </row>
    <row r="43" spans="1:17" x14ac:dyDescent="0.35">
      <c r="A43" s="130" t="s">
        <v>139</v>
      </c>
      <c r="B43" s="96">
        <v>126</v>
      </c>
      <c r="C43" s="117">
        <v>1.4999999999999999E-2</v>
      </c>
      <c r="E43" s="3"/>
      <c r="F43" s="1"/>
      <c r="G43" s="4"/>
      <c r="H43" s="4"/>
      <c r="I43" s="4"/>
      <c r="J43" s="4"/>
      <c r="K43" s="2"/>
      <c r="L43" s="5"/>
      <c r="M43" s="5"/>
      <c r="N43" s="5"/>
      <c r="O43" s="5"/>
      <c r="P43" s="5"/>
      <c r="Q43" s="2"/>
    </row>
    <row r="44" spans="1:17" x14ac:dyDescent="0.35">
      <c r="A44" s="130" t="s">
        <v>140</v>
      </c>
      <c r="B44" s="96">
        <v>426</v>
      </c>
      <c r="C44" s="117">
        <v>5.0999999999999997E-2</v>
      </c>
      <c r="E44" s="6"/>
      <c r="F44" s="1"/>
      <c r="G44" s="4"/>
      <c r="H44" s="4"/>
      <c r="I44" s="4"/>
      <c r="J44" s="4"/>
      <c r="K44" s="2"/>
      <c r="L44" s="5"/>
      <c r="M44" s="5"/>
      <c r="N44" s="5"/>
      <c r="O44" s="5"/>
      <c r="P44" s="5"/>
      <c r="Q44" s="2"/>
    </row>
    <row r="45" spans="1:17" x14ac:dyDescent="0.35">
      <c r="A45" s="130" t="s">
        <v>141</v>
      </c>
      <c r="B45" s="96">
        <v>2959</v>
      </c>
      <c r="C45" s="117">
        <v>0.35099999999999998</v>
      </c>
    </row>
    <row r="46" spans="1:17" x14ac:dyDescent="0.35">
      <c r="A46" s="130" t="s">
        <v>142</v>
      </c>
      <c r="B46" s="96">
        <v>1708</v>
      </c>
      <c r="C46" s="117">
        <v>0.20300000000000001</v>
      </c>
      <c r="F46" s="1"/>
    </row>
    <row r="47" spans="1:17" x14ac:dyDescent="0.35">
      <c r="A47" s="130" t="s">
        <v>143</v>
      </c>
      <c r="B47" s="96">
        <v>289</v>
      </c>
      <c r="C47" s="117">
        <v>3.4000000000000002E-2</v>
      </c>
      <c r="F47" s="1"/>
    </row>
    <row r="48" spans="1:17" x14ac:dyDescent="0.35">
      <c r="A48" s="130" t="s">
        <v>144</v>
      </c>
      <c r="B48" s="96">
        <v>129</v>
      </c>
      <c r="C48" s="117">
        <v>1.4999999999999999E-2</v>
      </c>
    </row>
    <row r="49" spans="1:6" x14ac:dyDescent="0.35">
      <c r="A49" s="130" t="s">
        <v>145</v>
      </c>
      <c r="B49" s="96">
        <v>168</v>
      </c>
      <c r="C49" s="117">
        <v>0.02</v>
      </c>
      <c r="F49" s="1"/>
    </row>
    <row r="50" spans="1:6" x14ac:dyDescent="0.35">
      <c r="A50" s="130" t="s">
        <v>146</v>
      </c>
      <c r="B50" s="96">
        <v>851</v>
      </c>
      <c r="C50" s="117">
        <v>0.10100000000000001</v>
      </c>
      <c r="F50" s="1"/>
    </row>
    <row r="51" spans="1:6" ht="16" thickBot="1" x14ac:dyDescent="0.4">
      <c r="A51" s="130" t="s">
        <v>147</v>
      </c>
      <c r="B51" s="96">
        <v>152</v>
      </c>
      <c r="C51" s="152">
        <v>1.7999999999999999E-2</v>
      </c>
    </row>
    <row r="52" spans="1:6" ht="16" thickBot="1" x14ac:dyDescent="0.4">
      <c r="A52" s="100" t="s">
        <v>148</v>
      </c>
      <c r="B52" s="101">
        <v>8423</v>
      </c>
      <c r="C52" s="118">
        <v>1</v>
      </c>
    </row>
  </sheetData>
  <mergeCells count="8">
    <mergeCell ref="A8:Q8"/>
    <mergeCell ref="B12:C12"/>
    <mergeCell ref="D12:E12"/>
    <mergeCell ref="F12:G12"/>
    <mergeCell ref="H12:I12"/>
    <mergeCell ref="J12:K12"/>
    <mergeCell ref="L12:M12"/>
    <mergeCell ref="N12:O12"/>
  </mergeCells>
  <phoneticPr fontId="3" type="noConversion"/>
  <printOptions horizontalCentered="1"/>
  <pageMargins left="0.39370078740157483" right="0.19685039370078741" top="0.59055118110236227" bottom="0.78740157480314965" header="0" footer="0"/>
  <pageSetup paperSize="8" scale="90" orientation="landscape" r:id="rId1"/>
  <headerFooter alignWithMargins="0"/>
  <ignoredErrors>
    <ignoredError sqref="P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PP</vt:lpstr>
      <vt:lpstr>PP (3)</vt:lpstr>
      <vt:lpstr>PP!_Hlk151032162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Rački</dc:creator>
  <cp:lastModifiedBy>Iztok Križ</cp:lastModifiedBy>
  <cp:lastPrinted>2017-10-20T06:39:56Z</cp:lastPrinted>
  <dcterms:created xsi:type="dcterms:W3CDTF">2009-10-21T13:45:40Z</dcterms:created>
  <dcterms:modified xsi:type="dcterms:W3CDTF">2026-01-20T10:43:05Z</dcterms:modified>
</cp:coreProperties>
</file>