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9368" windowHeight="9372" tabRatio="822" firstSheet="2" activeTab="10"/>
  </bookViews>
  <sheets>
    <sheet name="PROGRAM IZVAJANJA" sheetId="1" r:id="rId1"/>
    <sheet name="Osnovni podatki" sheetId="2" r:id="rId2"/>
    <sheet name="Navodila" sheetId="12" r:id="rId3"/>
    <sheet name="Referenčne količine" sheetId="5" r:id="rId4"/>
    <sheet name="OB01" sheetId="6" r:id="rId5"/>
    <sheet name="OB02" sheetId="14" r:id="rId6"/>
    <sheet name="Skupni zajamčeni prihranki" sheetId="7" r:id="rId7"/>
    <sheet name="Neodvisne spremenljivke" sheetId="11" r:id="rId8"/>
    <sheet name="ObračunOB01" sheetId="9" r:id="rId9"/>
    <sheet name="ObračunOB02" sheetId="15" r:id="rId10"/>
    <sheet name="Presežni prihranki" sheetId="10" r:id="rId11"/>
  </sheets>
  <externalReferences>
    <externalReference r:id="rId12"/>
    <externalReference r:id="rId13"/>
  </externalReferences>
  <definedNames>
    <definedName name="_xlnm.Print_Area" localSheetId="2">Navodila!$A$1:$I$46</definedName>
    <definedName name="_xlnm.Print_Area" localSheetId="7">'Neodvisne spremenljivke'!$A$1:$H$15</definedName>
    <definedName name="_xlnm.Print_Area" localSheetId="4">'OB01'!$A$1:$P$119</definedName>
    <definedName name="_xlnm.Print_Area" localSheetId="5">'OB02'!$A$1:$Q$111</definedName>
    <definedName name="_xlnm.Print_Area" localSheetId="8">ObračunOB01!$A$1:$K$68</definedName>
    <definedName name="_xlnm.Print_Area" localSheetId="9">ObračunOB02!$A$1:$K$68</definedName>
    <definedName name="_xlnm.Print_Area" localSheetId="1">'Osnovni podatki'!$A$1:$I$26</definedName>
    <definedName name="_xlnm.Print_Area" localSheetId="10">'Presežni prihranki'!$A$1:$G$42</definedName>
    <definedName name="_xlnm.Print_Area" localSheetId="3">'Referenčne količine'!$A$1:$L$48</definedName>
    <definedName name="_xlnm.Print_Area" localSheetId="6">'Skupni zajamčeni prihranki'!$A$1:$J$23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5" l="1"/>
  <c r="D35" i="5"/>
  <c r="E102" i="6"/>
  <c r="E42" i="5"/>
  <c r="D42" i="5"/>
  <c r="D25" i="5"/>
  <c r="D12" i="11"/>
  <c r="D59" i="15"/>
  <c r="D58" i="15"/>
  <c r="D57" i="15"/>
  <c r="H55" i="15"/>
  <c r="F55" i="15"/>
  <c r="H54" i="15"/>
  <c r="F54" i="15"/>
  <c r="H53" i="15"/>
  <c r="F53" i="15"/>
  <c r="D48" i="15"/>
  <c r="D47" i="15"/>
  <c r="D46" i="15"/>
  <c r="E60" i="6" l="1"/>
  <c r="D57" i="9"/>
  <c r="E12" i="11"/>
  <c r="E8" i="11"/>
  <c r="E7" i="11"/>
  <c r="E7" i="7"/>
  <c r="E6" i="7"/>
  <c r="D104" i="14"/>
  <c r="E104" i="14" s="1"/>
  <c r="F97" i="14" s="1"/>
  <c r="E60" i="14"/>
  <c r="E66" i="14" s="1"/>
  <c r="D32" i="14"/>
  <c r="E73" i="14" s="1"/>
  <c r="D25" i="14"/>
  <c r="D27" i="14"/>
  <c r="D28" i="14"/>
  <c r="D97" i="14" s="1"/>
  <c r="D29" i="14"/>
  <c r="E97" i="14" s="1"/>
  <c r="D30" i="14"/>
  <c r="D24" i="14"/>
  <c r="D12" i="14"/>
  <c r="D13" i="14"/>
  <c r="D15" i="14"/>
  <c r="D16" i="14"/>
  <c r="D17" i="14"/>
  <c r="D18" i="14"/>
  <c r="D19" i="14"/>
  <c r="E61" i="14" s="1"/>
  <c r="D11" i="14"/>
  <c r="C58" i="14" s="1"/>
  <c r="C64" i="14" s="1"/>
  <c r="D9" i="14"/>
  <c r="D7" i="14"/>
  <c r="N11" i="14" s="1"/>
  <c r="E102" i="14"/>
  <c r="C77" i="14"/>
  <c r="C76" i="14"/>
  <c r="C74" i="14"/>
  <c r="C73" i="14"/>
  <c r="C66" i="14"/>
  <c r="C65" i="14"/>
  <c r="C63" i="14"/>
  <c r="C62" i="14"/>
  <c r="E59" i="14"/>
  <c r="E65" i="14" s="1"/>
  <c r="E58" i="14"/>
  <c r="N33" i="14"/>
  <c r="D37" i="14"/>
  <c r="E81" i="14" s="1"/>
  <c r="E82" i="14" s="1"/>
  <c r="E39" i="5"/>
  <c r="D34" i="14" s="1"/>
  <c r="E38" i="5"/>
  <c r="D33" i="14" s="1"/>
  <c r="E31" i="5"/>
  <c r="E40" i="5" s="1"/>
  <c r="D35" i="14" s="1"/>
  <c r="E26" i="5"/>
  <c r="D21" i="14" s="1"/>
  <c r="E25" i="5"/>
  <c r="E44" i="5" s="1"/>
  <c r="D39" i="14" s="1"/>
  <c r="E19" i="5"/>
  <c r="E27" i="5" s="1"/>
  <c r="E7" i="5"/>
  <c r="D7" i="15" s="1"/>
  <c r="E6" i="5"/>
  <c r="D6" i="15" s="1"/>
  <c r="H26" i="15" s="1"/>
  <c r="E21" i="7"/>
  <c r="D20" i="14" l="1"/>
  <c r="E45" i="5"/>
  <c r="D40" i="14" s="1"/>
  <c r="G52" i="15"/>
  <c r="E52" i="15"/>
  <c r="D8" i="14"/>
  <c r="D22" i="14"/>
  <c r="D14" i="14"/>
  <c r="E64" i="14" s="1"/>
  <c r="D26" i="14"/>
  <c r="E106" i="14"/>
  <c r="E107" i="14" s="1"/>
  <c r="E67" i="14"/>
  <c r="C61" i="14"/>
  <c r="N34" i="14"/>
  <c r="N35" i="14" s="1"/>
  <c r="E36" i="5"/>
  <c r="D31" i="14" s="1"/>
  <c r="H97" i="14" s="1"/>
  <c r="E72" i="14" s="1"/>
  <c r="E75" i="14" s="1"/>
  <c r="E76" i="14" s="1"/>
  <c r="E77" i="14" s="1"/>
  <c r="H42" i="15"/>
  <c r="E11" i="7"/>
  <c r="D23" i="15"/>
  <c r="F42" i="15"/>
  <c r="D41" i="15"/>
  <c r="D29" i="15"/>
  <c r="E9" i="7"/>
  <c r="G37" i="15"/>
  <c r="D27" i="15"/>
  <c r="G20" i="15"/>
  <c r="E42" i="15"/>
  <c r="F40" i="15"/>
  <c r="G40" i="15"/>
  <c r="E41" i="15"/>
  <c r="D21" i="15"/>
  <c r="D38" i="15"/>
  <c r="D22" i="15"/>
  <c r="H40" i="15"/>
  <c r="G21" i="15"/>
  <c r="G42" i="15"/>
  <c r="E10" i="7"/>
  <c r="G19" i="15"/>
  <c r="D42" i="15"/>
  <c r="F41" i="15"/>
  <c r="D37" i="15"/>
  <c r="D19" i="15"/>
  <c r="D20" i="15"/>
  <c r="H37" i="15"/>
  <c r="D43" i="15"/>
  <c r="F37" i="15"/>
  <c r="E17" i="7"/>
  <c r="G41" i="15"/>
  <c r="G18" i="15"/>
  <c r="E40" i="15"/>
  <c r="D28" i="15"/>
  <c r="E37" i="15"/>
  <c r="E15" i="7"/>
  <c r="H41" i="15"/>
  <c r="D40" i="15"/>
  <c r="D49" i="15" l="1"/>
  <c r="D50" i="15" s="1"/>
  <c r="C11" i="15"/>
  <c r="C12" i="15"/>
  <c r="E68" i="14"/>
  <c r="E69" i="14" s="1"/>
  <c r="E74" i="14"/>
  <c r="D44" i="15"/>
  <c r="E14" i="7"/>
  <c r="E12" i="7"/>
  <c r="E85" i="14" l="1"/>
  <c r="L72" i="14" s="1"/>
  <c r="L69" i="14"/>
  <c r="C14" i="15"/>
  <c r="E19" i="7"/>
  <c r="L61" i="14" l="1"/>
  <c r="L70" i="14"/>
  <c r="L63" i="14"/>
  <c r="L60" i="14"/>
  <c r="M60" i="14" s="1"/>
  <c r="L68" i="14"/>
  <c r="M68" i="14" s="1"/>
  <c r="L66" i="14"/>
  <c r="M66" i="14" s="1"/>
  <c r="E86" i="14"/>
  <c r="L65" i="14"/>
  <c r="M65" i="14" s="1"/>
  <c r="L62" i="14"/>
  <c r="L73" i="14"/>
  <c r="L71" i="14"/>
  <c r="L59" i="14"/>
  <c r="M59" i="14" s="1"/>
  <c r="L67" i="14"/>
  <c r="M67" i="14" s="1"/>
  <c r="L64" i="14"/>
  <c r="M64" i="14" s="1"/>
  <c r="M71" i="14"/>
  <c r="M73" i="14"/>
  <c r="M61" i="14"/>
  <c r="M69" i="14"/>
  <c r="M70" i="14"/>
  <c r="M72" i="14"/>
  <c r="M62" i="14"/>
  <c r="M63" i="14"/>
  <c r="M74" i="14" l="1"/>
  <c r="E20" i="7"/>
  <c r="E87" i="14" l="1"/>
  <c r="E114" i="6" l="1"/>
  <c r="E112" i="6"/>
  <c r="E116" i="6" l="1"/>
  <c r="E117" i="6" s="1"/>
  <c r="D19" i="5" l="1"/>
  <c r="E66" i="6" l="1"/>
  <c r="E59" i="6"/>
  <c r="E65" i="6" l="1"/>
  <c r="D47" i="9" l="1"/>
  <c r="D48" i="9"/>
  <c r="D46" i="9"/>
  <c r="E58" i="6" l="1"/>
  <c r="D104" i="6" l="1"/>
  <c r="E104" i="6" s="1"/>
  <c r="E106" i="6" l="1"/>
  <c r="E107" i="6" s="1"/>
  <c r="F97" i="6"/>
  <c r="D31" i="5"/>
  <c r="D36" i="5" s="1"/>
  <c r="D17" i="10" l="1"/>
  <c r="D8" i="11" l="1"/>
  <c r="D7" i="11"/>
  <c r="H28" i="15" l="1"/>
  <c r="H27" i="15"/>
  <c r="N33" i="6"/>
  <c r="G54" i="15" l="1"/>
  <c r="G53" i="15"/>
  <c r="G55" i="15"/>
  <c r="E54" i="15"/>
  <c r="E53" i="15"/>
  <c r="E55" i="15"/>
  <c r="N34" i="6"/>
  <c r="N35" i="6" s="1"/>
  <c r="D27" i="5"/>
  <c r="D22" i="6" s="1"/>
  <c r="D12" i="6"/>
  <c r="D7" i="7"/>
  <c r="D7" i="5"/>
  <c r="D8" i="6" s="1"/>
  <c r="D6" i="7"/>
  <c r="D37" i="6"/>
  <c r="D25" i="6"/>
  <c r="D26" i="6"/>
  <c r="D27" i="6"/>
  <c r="D28" i="6"/>
  <c r="D97" i="6" s="1"/>
  <c r="D29" i="6"/>
  <c r="E97" i="6" s="1"/>
  <c r="D30" i="6"/>
  <c r="D31" i="6"/>
  <c r="H97" i="6" s="1"/>
  <c r="D32" i="6"/>
  <c r="D24" i="6"/>
  <c r="D19" i="6"/>
  <c r="E61" i="6" s="1"/>
  <c r="E67" i="6" s="1"/>
  <c r="D13" i="6"/>
  <c r="D14" i="6"/>
  <c r="E64" i="6" s="1"/>
  <c r="D15" i="6"/>
  <c r="D16" i="6"/>
  <c r="D17" i="6"/>
  <c r="D18" i="6"/>
  <c r="D11" i="6"/>
  <c r="C58" i="6" s="1"/>
  <c r="D9" i="6"/>
  <c r="D40" i="5"/>
  <c r="D39" i="5"/>
  <c r="D34" i="6" s="1"/>
  <c r="D38" i="5"/>
  <c r="D44" i="5" s="1"/>
  <c r="D26" i="5"/>
  <c r="D21" i="6" s="1"/>
  <c r="C77" i="6"/>
  <c r="C76" i="6"/>
  <c r="C65" i="6"/>
  <c r="C66" i="6"/>
  <c r="C62" i="6"/>
  <c r="C63" i="6"/>
  <c r="C74" i="6"/>
  <c r="D6" i="5"/>
  <c r="D6" i="9" s="1"/>
  <c r="D19" i="9"/>
  <c r="D9" i="7"/>
  <c r="D21" i="7"/>
  <c r="D55" i="15" l="1"/>
  <c r="D63" i="15" s="1"/>
  <c r="D53" i="15"/>
  <c r="D61" i="15" s="1"/>
  <c r="D54" i="15"/>
  <c r="D62" i="15" s="1"/>
  <c r="E72" i="6"/>
  <c r="E74" i="6" s="1"/>
  <c r="D45" i="5"/>
  <c r="F9" i="7"/>
  <c r="E68" i="6"/>
  <c r="E81" i="6"/>
  <c r="E82" i="6" s="1"/>
  <c r="D33" i="6"/>
  <c r="D39" i="6"/>
  <c r="D40" i="6"/>
  <c r="G52" i="9"/>
  <c r="E52" i="9"/>
  <c r="D20" i="6"/>
  <c r="E73" i="6"/>
  <c r="H27" i="9"/>
  <c r="H28" i="9"/>
  <c r="D7" i="6"/>
  <c r="N11" i="6" s="1"/>
  <c r="D7" i="9"/>
  <c r="H26" i="9"/>
  <c r="D35" i="6"/>
  <c r="C64" i="6"/>
  <c r="C61" i="6"/>
  <c r="C73" i="6"/>
  <c r="G21" i="9"/>
  <c r="D41" i="9"/>
  <c r="D14" i="7"/>
  <c r="E42" i="9"/>
  <c r="H37" i="9"/>
  <c r="D37" i="9"/>
  <c r="F41" i="9"/>
  <c r="D42" i="9"/>
  <c r="E41" i="9"/>
  <c r="H40" i="9"/>
  <c r="D17" i="7"/>
  <c r="G20" i="9"/>
  <c r="F40" i="9"/>
  <c r="E37" i="9"/>
  <c r="G42" i="9"/>
  <c r="D21" i="9"/>
  <c r="H41" i="9"/>
  <c r="D40" i="9"/>
  <c r="D27" i="9"/>
  <c r="D43" i="9"/>
  <c r="D28" i="9"/>
  <c r="G40" i="9"/>
  <c r="G18" i="9"/>
  <c r="F42" i="9"/>
  <c r="E40" i="9"/>
  <c r="D11" i="7"/>
  <c r="G37" i="9"/>
  <c r="D10" i="7"/>
  <c r="G41" i="9"/>
  <c r="H42" i="9"/>
  <c r="G19" i="9"/>
  <c r="D38" i="9"/>
  <c r="D29" i="9"/>
  <c r="F37" i="9"/>
  <c r="D20" i="9"/>
  <c r="D64" i="15" l="1"/>
  <c r="D65" i="15" s="1"/>
  <c r="D66" i="15" s="1"/>
  <c r="F21" i="7"/>
  <c r="F17" i="7"/>
  <c r="F14" i="7"/>
  <c r="F10" i="7"/>
  <c r="F11" i="7"/>
  <c r="D49" i="9"/>
  <c r="H54" i="9"/>
  <c r="H53" i="9"/>
  <c r="H55" i="9"/>
  <c r="E69" i="6"/>
  <c r="G53" i="9"/>
  <c r="G54" i="9"/>
  <c r="G55" i="9"/>
  <c r="E55" i="9"/>
  <c r="E54" i="9"/>
  <c r="E53" i="9"/>
  <c r="F54" i="9"/>
  <c r="F53" i="9"/>
  <c r="F55" i="9"/>
  <c r="E75" i="6"/>
  <c r="E76" i="6" s="1"/>
  <c r="E85" i="6" s="1"/>
  <c r="D12" i="7"/>
  <c r="D44" i="9"/>
  <c r="D22" i="9"/>
  <c r="C10" i="15" l="1"/>
  <c r="C13" i="15" s="1"/>
  <c r="C15" i="15" s="1"/>
  <c r="D58" i="9"/>
  <c r="D53" i="9"/>
  <c r="D61" i="9" s="1"/>
  <c r="D59" i="9"/>
  <c r="F12" i="7"/>
  <c r="D55" i="9"/>
  <c r="D63" i="9" s="1"/>
  <c r="D50" i="9"/>
  <c r="D54" i="9"/>
  <c r="D62" i="9" s="1"/>
  <c r="D23" i="9"/>
  <c r="D15" i="7"/>
  <c r="F15" i="7" l="1"/>
  <c r="D64" i="9"/>
  <c r="D65" i="9" s="1"/>
  <c r="C10" i="9" s="1"/>
  <c r="E77" i="6"/>
  <c r="C11" i="9"/>
  <c r="C12" i="9"/>
  <c r="C14" i="9"/>
  <c r="D19" i="7"/>
  <c r="D6" i="10"/>
  <c r="C5" i="10"/>
  <c r="D5" i="10"/>
  <c r="C6" i="10"/>
  <c r="D4" i="10"/>
  <c r="F19" i="7" l="1"/>
  <c r="L72" i="6"/>
  <c r="L73" i="6"/>
  <c r="D66" i="9"/>
  <c r="C13" i="9"/>
  <c r="E86" i="6"/>
  <c r="L64" i="6"/>
  <c r="L71" i="6"/>
  <c r="L63" i="6"/>
  <c r="L70" i="6"/>
  <c r="L62" i="6"/>
  <c r="L69" i="6"/>
  <c r="L61" i="6"/>
  <c r="L68" i="6"/>
  <c r="L60" i="6"/>
  <c r="L67" i="6"/>
  <c r="L59" i="6"/>
  <c r="L66" i="6"/>
  <c r="L65" i="6"/>
  <c r="C4" i="10"/>
  <c r="D7" i="10"/>
  <c r="C7" i="10"/>
  <c r="C8" i="10"/>
  <c r="D8" i="10"/>
  <c r="E8" i="10" l="1"/>
  <c r="E7" i="10"/>
  <c r="C15" i="9"/>
  <c r="M64" i="6"/>
  <c r="M60" i="6"/>
  <c r="M68" i="6"/>
  <c r="M61" i="6"/>
  <c r="M69" i="6"/>
  <c r="M65" i="6"/>
  <c r="M62" i="6"/>
  <c r="M66" i="6"/>
  <c r="M73" i="6"/>
  <c r="M70" i="6"/>
  <c r="M59" i="6"/>
  <c r="M63" i="6"/>
  <c r="M67" i="6"/>
  <c r="M71" i="6"/>
  <c r="M72" i="6"/>
  <c r="C9" i="10"/>
  <c r="D9" i="10"/>
  <c r="C17" i="10" l="1"/>
  <c r="B18" i="10" s="1"/>
  <c r="D18" i="10" s="1"/>
  <c r="E9" i="10"/>
  <c r="M74" i="6"/>
  <c r="E87" i="6" s="1"/>
  <c r="D20" i="7"/>
  <c r="F20" i="7" l="1"/>
  <c r="C18" i="10"/>
  <c r="B19" i="10" s="1"/>
  <c r="D19" i="10" s="1"/>
  <c r="E17" i="10"/>
  <c r="F17" i="10" s="1"/>
  <c r="E18" i="10" l="1"/>
  <c r="F18" i="10" s="1"/>
  <c r="C19" i="10"/>
  <c r="E19" i="10" s="1"/>
  <c r="F19" i="10" s="1"/>
  <c r="C20" i="10" l="1"/>
  <c r="B21" i="10" s="1"/>
  <c r="B20" i="10"/>
  <c r="C21" i="10" l="1"/>
  <c r="E20" i="10"/>
  <c r="D20" i="10"/>
  <c r="D21" i="10"/>
  <c r="B22" i="10" l="1"/>
  <c r="C22" i="10"/>
  <c r="E21" i="10"/>
  <c r="F21" i="10" s="1"/>
  <c r="F20" i="10"/>
  <c r="C23" i="10" l="1"/>
  <c r="B23" i="10"/>
  <c r="D22" i="10"/>
  <c r="E22" i="10"/>
  <c r="F22" i="10" l="1"/>
  <c r="D23" i="10"/>
  <c r="E23" i="10"/>
  <c r="B24" i="10"/>
  <c r="C24" i="10"/>
  <c r="D24" i="10" l="1"/>
  <c r="E24" i="10"/>
  <c r="C25" i="10"/>
  <c r="B25" i="10"/>
  <c r="F23" i="10"/>
  <c r="D25" i="10" l="1"/>
  <c r="E25" i="10"/>
  <c r="C26" i="10"/>
  <c r="B26" i="10"/>
  <c r="F24" i="10"/>
  <c r="D26" i="10" l="1"/>
  <c r="E26" i="10"/>
  <c r="B27" i="10"/>
  <c r="C27" i="10"/>
  <c r="F25" i="10"/>
  <c r="B28" i="10" l="1"/>
  <c r="C28" i="10"/>
  <c r="D27" i="10"/>
  <c r="E27" i="10"/>
  <c r="F26" i="10"/>
  <c r="F27" i="10" l="1"/>
  <c r="B29" i="10"/>
  <c r="C29" i="10"/>
  <c r="D28" i="10"/>
  <c r="E28" i="10"/>
  <c r="B30" i="10" l="1"/>
  <c r="C30" i="10"/>
  <c r="F28" i="10"/>
  <c r="D29" i="10"/>
  <c r="E29" i="10"/>
  <c r="B31" i="10" l="1"/>
  <c r="C31" i="10"/>
  <c r="D30" i="10"/>
  <c r="E30" i="10"/>
  <c r="F29" i="10"/>
  <c r="D31" i="10" l="1"/>
  <c r="E31" i="10"/>
  <c r="F30" i="10"/>
  <c r="C32" i="10"/>
  <c r="B32" i="10"/>
  <c r="F31" i="10" l="1"/>
  <c r="C33" i="10"/>
  <c r="B33" i="10"/>
  <c r="D32" i="10"/>
  <c r="E32" i="10"/>
  <c r="F32" i="10" l="1"/>
  <c r="B34" i="10"/>
  <c r="C34" i="10"/>
  <c r="D33" i="10"/>
  <c r="E33" i="10"/>
  <c r="F33" i="10" l="1"/>
  <c r="D34" i="10"/>
  <c r="E34" i="10"/>
  <c r="B35" i="10"/>
  <c r="C35" i="10"/>
  <c r="F34" i="10" l="1"/>
  <c r="C36" i="10"/>
  <c r="B36" i="10"/>
  <c r="D35" i="10"/>
  <c r="E35" i="10"/>
  <c r="C37" i="10" l="1"/>
  <c r="B37" i="10"/>
  <c r="F35" i="10"/>
  <c r="D36" i="10"/>
  <c r="E36" i="10"/>
  <c r="B38" i="10" l="1"/>
  <c r="C38" i="10"/>
  <c r="B39" i="10" s="1"/>
  <c r="F36" i="10"/>
  <c r="D37" i="10"/>
  <c r="E37" i="10"/>
  <c r="D39" i="10" l="1"/>
  <c r="E39" i="10"/>
  <c r="D38" i="10"/>
  <c r="E38" i="10"/>
  <c r="F37" i="10"/>
  <c r="F39" i="10" l="1"/>
  <c r="F38" i="10"/>
</calcChain>
</file>

<file path=xl/sharedStrings.xml><?xml version="1.0" encoding="utf-8"?>
<sst xmlns="http://schemas.openxmlformats.org/spreadsheetml/2006/main" count="796" uniqueCount="239">
  <si>
    <t>OB10</t>
  </si>
  <si>
    <t>Tip objekta</t>
  </si>
  <si>
    <t>Naslov</t>
  </si>
  <si>
    <t>Naziv objekta</t>
  </si>
  <si>
    <t>ID</t>
  </si>
  <si>
    <t>Št.</t>
  </si>
  <si>
    <t>KO / št. stavbe</t>
  </si>
  <si>
    <t>Kontaktna oseba</t>
  </si>
  <si>
    <t>Referenčne količine</t>
  </si>
  <si>
    <t>Osnovni podatki</t>
  </si>
  <si>
    <t>Število etaž</t>
  </si>
  <si>
    <t>Leto izgradnje</t>
  </si>
  <si>
    <t>Leto obnove</t>
  </si>
  <si>
    <t>Toplota</t>
  </si>
  <si>
    <t>Energent 1</t>
  </si>
  <si>
    <t>Energent 2</t>
  </si>
  <si>
    <t>Električna energija</t>
  </si>
  <si>
    <t>/</t>
  </si>
  <si>
    <t>kWh</t>
  </si>
  <si>
    <t>Celotna kvadratura</t>
  </si>
  <si>
    <t>Ogrevana kvadratura</t>
  </si>
  <si>
    <t>Hlajena kvadratura</t>
  </si>
  <si>
    <t>Ogrevana prostornina</t>
  </si>
  <si>
    <t>EUR/MWh</t>
  </si>
  <si>
    <t>EUR</t>
  </si>
  <si>
    <t>Osnovna poraba</t>
  </si>
  <si>
    <t>Prilagoditev porabe</t>
  </si>
  <si>
    <t>Prilagojena/referenčna poraba</t>
  </si>
  <si>
    <t>Raba energenta - ogrevanje</t>
  </si>
  <si>
    <t>Raba energenta - TSV</t>
  </si>
  <si>
    <t>Raba energenta - prezračevanje</t>
  </si>
  <si>
    <t>Raba energenta - drugo</t>
  </si>
  <si>
    <t>Cena energenta</t>
  </si>
  <si>
    <t>Strošek - osnovna poraba</t>
  </si>
  <si>
    <t>Strošek - prilagoditev</t>
  </si>
  <si>
    <t>Strošek - referenčna poraba</t>
  </si>
  <si>
    <t>Raba energenta - razsvetljava</t>
  </si>
  <si>
    <t>Vzdrževanje</t>
  </si>
  <si>
    <t>Strošek tekočega in investicijskega vzdrževanja energetskih naprav</t>
  </si>
  <si>
    <t>Stroški skupaj energenti + vzdrževanje</t>
  </si>
  <si>
    <t>Osnovni stroški</t>
  </si>
  <si>
    <t>Referenčni stroški</t>
  </si>
  <si>
    <t>OB01</t>
  </si>
  <si>
    <t>OB02</t>
  </si>
  <si>
    <t>OB03</t>
  </si>
  <si>
    <t>OB04</t>
  </si>
  <si>
    <t>OB05</t>
  </si>
  <si>
    <t>OB06</t>
  </si>
  <si>
    <t>OB07</t>
  </si>
  <si>
    <t>OB08</t>
  </si>
  <si>
    <t>OB09</t>
  </si>
  <si>
    <t>Pogodbeno zagotavljanje prihrankov</t>
  </si>
  <si>
    <t>Osnovni podatki o objektu</t>
  </si>
  <si>
    <t>Referenčna raba - toplota</t>
  </si>
  <si>
    <t>Referenčna raba električna energija</t>
  </si>
  <si>
    <t>Seznam predvidenih ukrepov</t>
  </si>
  <si>
    <t>Naziv ukrepa</t>
  </si>
  <si>
    <t>Stroški predlaganih ukrepov brez DDV</t>
  </si>
  <si>
    <t>Strošek, EUR</t>
  </si>
  <si>
    <t>DDV (22 %)</t>
  </si>
  <si>
    <t>Novopričakovana letna raba in prihranki</t>
  </si>
  <si>
    <t>Novopričakovana raba - toplota</t>
  </si>
  <si>
    <t>EE za TČ</t>
  </si>
  <si>
    <t>*vpiši</t>
  </si>
  <si>
    <r>
      <t>m</t>
    </r>
    <r>
      <rPr>
        <vertAlign val="superscript"/>
        <sz val="10"/>
        <color theme="0"/>
        <rFont val="Arial"/>
        <family val="2"/>
        <charset val="238"/>
      </rPr>
      <t>2</t>
    </r>
  </si>
  <si>
    <t>Cena energenta 1</t>
  </si>
  <si>
    <t>Cena energenta 2</t>
  </si>
  <si>
    <t>Cena energenta 3</t>
  </si>
  <si>
    <t>Zajamčeni prihranek energenta 1</t>
  </si>
  <si>
    <t>Zajamčeni prihranek energenta 2</t>
  </si>
  <si>
    <t>Zajamčeni prihranek energenta 3</t>
  </si>
  <si>
    <t>Novopričakovani strošek energentov</t>
  </si>
  <si>
    <t>Zajamčeni prihranek</t>
  </si>
  <si>
    <t>%</t>
  </si>
  <si>
    <t>Novopričakovana raba</t>
  </si>
  <si>
    <t>EE</t>
  </si>
  <si>
    <t>Novopričakovana raba - električna energija</t>
  </si>
  <si>
    <t>Prihranek energenta</t>
  </si>
  <si>
    <t>Novopričakovani strošek</t>
  </si>
  <si>
    <t>Zajamčeni prihranek stroškov</t>
  </si>
  <si>
    <t>Novopričakovani strošek tekočega in investicijskega vzdrževanja energetskih naprav</t>
  </si>
  <si>
    <t>Zajamčeni prihranek stroškov tekočega in investicijskega vzdrževanja</t>
  </si>
  <si>
    <t>Izračun neto sedanje vrednosti:</t>
  </si>
  <si>
    <t>leto</t>
  </si>
  <si>
    <t>NSV</t>
  </si>
  <si>
    <t>SKUPAJ NSV:</t>
  </si>
  <si>
    <t>Prihranek</t>
  </si>
  <si>
    <t>Diskontna stopnja</t>
  </si>
  <si>
    <t>Seznam objektov</t>
  </si>
  <si>
    <t>Neto sedanja vrednost</t>
  </si>
  <si>
    <t>Obstoječe stanje</t>
  </si>
  <si>
    <t>Nazivna moč, kW</t>
  </si>
  <si>
    <t>Ure obratovanja, h</t>
  </si>
  <si>
    <t>Normirana raba energije, kWh</t>
  </si>
  <si>
    <t>Prihranek raba energije, kWh</t>
  </si>
  <si>
    <t>Prenovljeno stanje</t>
  </si>
  <si>
    <t>Skupne vrednosti</t>
  </si>
  <si>
    <t>Neto sedanja vrednost prihrankov</t>
  </si>
  <si>
    <t>Skupaj stroški ukrepov</t>
  </si>
  <si>
    <r>
      <t>m</t>
    </r>
    <r>
      <rPr>
        <vertAlign val="superscript"/>
        <sz val="10"/>
        <color theme="0"/>
        <rFont val="Arial"/>
        <family val="2"/>
        <charset val="238"/>
      </rPr>
      <t>3</t>
    </r>
  </si>
  <si>
    <t>Skupno</t>
  </si>
  <si>
    <t>Zajamčeni relatvni prihranek stroškov</t>
  </si>
  <si>
    <t>Zajamčeni relativni prihranek stroškov</t>
  </si>
  <si>
    <t>Zajamčeni letni prihranek</t>
  </si>
  <si>
    <t>Zajamčeni relativni letni prihranek</t>
  </si>
  <si>
    <t>Zajamčeni relativni prihranek stroškov tekočega in investicijskega vzdrževanja</t>
  </si>
  <si>
    <t>Vsebina</t>
  </si>
  <si>
    <t>Skupni zajamčeni prihranki</t>
  </si>
  <si>
    <t>Referenčna raba</t>
  </si>
  <si>
    <t>Skupna</t>
  </si>
  <si>
    <t>TSV</t>
  </si>
  <si>
    <t>Ogrevanje</t>
  </si>
  <si>
    <t>Prezračevanje</t>
  </si>
  <si>
    <t>Referenčna raba toplota</t>
  </si>
  <si>
    <t>Drugo</t>
  </si>
  <si>
    <t>Razdelitev rabe po porabnikih</t>
  </si>
  <si>
    <t>Energent 3</t>
  </si>
  <si>
    <t>Stroški predlaganih ukrepov z DDV</t>
  </si>
  <si>
    <t>Toplota, kWh</t>
  </si>
  <si>
    <t>EE, kWh</t>
  </si>
  <si>
    <t>Razsvetljava</t>
  </si>
  <si>
    <t>Novopričakovana raba toplota</t>
  </si>
  <si>
    <t>Dejanska raba toplota</t>
  </si>
  <si>
    <t>Faktor prilagoditve</t>
  </si>
  <si>
    <t>Prilagojena raba toplota</t>
  </si>
  <si>
    <t>Novopričakovani strošek toplote</t>
  </si>
  <si>
    <t>Prilagojeni strošek toplote</t>
  </si>
  <si>
    <t>Razlika med prilagojenim in zajamčenim prihrankom</t>
  </si>
  <si>
    <t>Cene energentov</t>
  </si>
  <si>
    <t>Referenčni strošek</t>
  </si>
  <si>
    <t>Dejanski prihranek</t>
  </si>
  <si>
    <t>Dejanski strošek toplote</t>
  </si>
  <si>
    <t>Prilagojeni prihranek</t>
  </si>
  <si>
    <t>Obračun - toplota</t>
  </si>
  <si>
    <t>Obračun - električna energija</t>
  </si>
  <si>
    <t>Obračun - vzdrževanje</t>
  </si>
  <si>
    <t>Novopričakovana normirana raba</t>
  </si>
  <si>
    <t>Novopričakovani normirani strošek</t>
  </si>
  <si>
    <t>Povzetek obračuna</t>
  </si>
  <si>
    <t>Toplota - prilagojeni prihranek</t>
  </si>
  <si>
    <t>Električna energija - normirani prihranek</t>
  </si>
  <si>
    <t>Vzdrževanje - prihranek</t>
  </si>
  <si>
    <t>Skupni prilagojeni prihranek</t>
  </si>
  <si>
    <t>Skupni zajamčeni zajamčeni prihranek</t>
  </si>
  <si>
    <t>Normirani prihranek</t>
  </si>
  <si>
    <t xml:space="preserve">Obračun </t>
  </si>
  <si>
    <t>Tabela za izračun presežnih prihrankov</t>
  </si>
  <si>
    <t>ObračunOB01</t>
  </si>
  <si>
    <t>Ustrezanje pogoju</t>
  </si>
  <si>
    <t>Za izplačilo</t>
  </si>
  <si>
    <t>DA - 1; NE - 0</t>
  </si>
  <si>
    <t xml:space="preserve">Razlika med prilagojenim in zajamčenim prihrankom </t>
  </si>
  <si>
    <t>od</t>
  </si>
  <si>
    <t>do</t>
  </si>
  <si>
    <t>stopnja</t>
  </si>
  <si>
    <t>Tabelarični podatki o nagradi za presežne prihranke</t>
  </si>
  <si>
    <t>Neodvisne spremenljivke</t>
  </si>
  <si>
    <t>Referenčni dnevni temperaturni primanjkljaj</t>
  </si>
  <si>
    <t>Kdni</t>
  </si>
  <si>
    <t>Obračunski dnevni temperaturni primankljaj</t>
  </si>
  <si>
    <t>Obračunsko leto</t>
  </si>
  <si>
    <t>Faktor TP</t>
  </si>
  <si>
    <t>*vpiši leto</t>
  </si>
  <si>
    <t>Referenčni dnevni TP</t>
  </si>
  <si>
    <t>Obračunski dnevni TP</t>
  </si>
  <si>
    <t>Faktorji prilagoditve</t>
  </si>
  <si>
    <t>Nagrada</t>
  </si>
  <si>
    <t>DO</t>
  </si>
  <si>
    <t>Raba energenta - hlajenje</t>
  </si>
  <si>
    <t>Hlajenje</t>
  </si>
  <si>
    <t>Celoten objekt</t>
  </si>
  <si>
    <t>Navodila za izpolnjevanje</t>
  </si>
  <si>
    <t>Izpolniti pri oddaji ponudbe</t>
  </si>
  <si>
    <t>Izpolniti po zaključenem obračunskem obdobju</t>
  </si>
  <si>
    <t>Zaokroževanje</t>
  </si>
  <si>
    <t>2 decimalni mesti</t>
  </si>
  <si>
    <t>1 decimalno mesto</t>
  </si>
  <si>
    <t>0 decimalnih mest</t>
  </si>
  <si>
    <t>2 decimalni mest</t>
  </si>
  <si>
    <t xml:space="preserve">Opombe: </t>
  </si>
  <si>
    <t>Vsi zneski so BREZ DDV.</t>
  </si>
  <si>
    <t>* V primeru izvedbe ukrepov, ki dvigujejo udobje, ponudnik vpiše prilagoditev rabe toplote oz. elektrike ob ustrezni utemeljitvi</t>
  </si>
  <si>
    <t xml:space="preserve">** Stroški vzdrževanja energetskih naprav vključujejo tekoče vzdrževanje, redno servisiranje, zakonske preglede ipd. </t>
  </si>
  <si>
    <t>***Stroški in cene vključujejo celoten strošek pridobitve energije, ki vključuje omrežnino, distribucijo, prispevke in trošarine (brez DDV).</t>
  </si>
  <si>
    <t xml:space="preserve">*prilagoditev rabe toplote oz elektrike </t>
  </si>
  <si>
    <t>Razlog</t>
  </si>
  <si>
    <t>*vpiši razlog</t>
  </si>
  <si>
    <t>Metodologija prilagoditve</t>
  </si>
  <si>
    <t>Izračun prilagoditve</t>
  </si>
  <si>
    <t>Navodila za izpolnjevanje, obrazložitve, opombe</t>
  </si>
  <si>
    <t>Cena, EUR/MWh</t>
  </si>
  <si>
    <t>Moč, kW</t>
  </si>
  <si>
    <t>Energija, kWh</t>
  </si>
  <si>
    <t>4 decimalna mesta</t>
  </si>
  <si>
    <t>Faktor prilagoditve, /</t>
  </si>
  <si>
    <t>Kratice</t>
  </si>
  <si>
    <t>Daljinsko ogrevanje</t>
  </si>
  <si>
    <t>ZP</t>
  </si>
  <si>
    <t>Zemeljski plin</t>
  </si>
  <si>
    <t>UNP</t>
  </si>
  <si>
    <t>Utekočinjen naftni plin</t>
  </si>
  <si>
    <t>ELKO</t>
  </si>
  <si>
    <t>Ekstra lahko kurilno olje</t>
  </si>
  <si>
    <t>PROGRAM IZVAJANJA ZA PODELITEV KONCESIJE ZA IZVEDBO PROJEKTA ENERGETSKEGA POGODBENIŠTVA</t>
  </si>
  <si>
    <t>Navodila</t>
  </si>
  <si>
    <t>Presežni prihranki</t>
  </si>
  <si>
    <t>TČ</t>
  </si>
  <si>
    <t>Toplotna črpalka</t>
  </si>
  <si>
    <t>FP</t>
  </si>
  <si>
    <t>*vpiši/priloži izračun</t>
  </si>
  <si>
    <t>TP</t>
  </si>
  <si>
    <t>Temperaturni primanjkljaj</t>
  </si>
  <si>
    <t>Rutinska prilagoditev</t>
  </si>
  <si>
    <t>*vpiše se le relavantne podatke za izračun, preostalo se vpiše pod drugo</t>
  </si>
  <si>
    <t>Vojašnica</t>
  </si>
  <si>
    <t>Vojašnica Boštjana Kekca</t>
  </si>
  <si>
    <t>Bohinjska Bela 153, 4263 Bohinjska Bela</t>
  </si>
  <si>
    <t>*definirano v načrtu MKPE</t>
  </si>
  <si>
    <t>Skupni zajamčeni prihranek</t>
  </si>
  <si>
    <t>ENERGETSKA SANACIJA OBJEKTOV</t>
  </si>
  <si>
    <t>*v primeru spreminjanja vrednosti prilagoditve, kandidat priloži izračun in obrazložitev</t>
  </si>
  <si>
    <t>*če toplotna črpalka ni predvidena, se pusti prazno</t>
  </si>
  <si>
    <t>MORS - Vojašnica Boštjana Kekca, Bohinjska Bela</t>
  </si>
  <si>
    <t>Biomasa (kal.)</t>
  </si>
  <si>
    <t>EE kuhalniki_novi</t>
  </si>
  <si>
    <t>Normirani prihranki - razsvetljava</t>
  </si>
  <si>
    <t>Normirani prihranki - električni kuhalniki</t>
  </si>
  <si>
    <t>IRR</t>
  </si>
  <si>
    <t>MORS - Letalska baza Brnik</t>
  </si>
  <si>
    <t>OB0_</t>
  </si>
  <si>
    <t>ObračunOB0_</t>
  </si>
  <si>
    <t>Letalska baza Brnik</t>
  </si>
  <si>
    <t>Zgornji Brnik 130 k, 4210 Brnik</t>
  </si>
  <si>
    <t>Letalska baza / vojašnica</t>
  </si>
  <si>
    <t>Nerutinska prilagoditev</t>
  </si>
  <si>
    <t>Energent - toplota</t>
  </si>
  <si>
    <t>Obstoječi energent za toploto</t>
  </si>
  <si>
    <t>Novi energent za toploto (morebitni)</t>
  </si>
  <si>
    <t>ObračunOB02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</si>
</sst>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\ &quot;€/MWh&quot;"/>
    <numFmt numFmtId="165" formatCode="#,##0.0"/>
    <numFmt numFmtId="166" formatCode="0.0%"/>
    <numFmt numFmtId="167" formatCode="#,##0.0000"/>
    <numFmt numFmtId="168" formatCode="0.0000%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Calibri"/>
      <family val="2"/>
      <scheme val="minor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theme="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6" fillId="0" borderId="0" applyFont="0" applyFill="0" applyBorder="0" applyAlignment="0" applyProtection="0"/>
    <xf numFmtId="0" fontId="23" fillId="0" borderId="0" applyFill="0" applyBorder="0" applyProtection="0">
      <alignment horizontal="left"/>
    </xf>
    <xf numFmtId="0" fontId="27" fillId="0" borderId="0"/>
    <xf numFmtId="44" fontId="15" fillId="0" borderId="1" applyFont="0" applyFill="0" applyBorder="0" applyProtection="0">
      <alignment vertical="center"/>
    </xf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3" fontId="19" fillId="0" borderId="1" applyFill="0" applyBorder="0">
      <alignment horizontal="center" vertical="center"/>
    </xf>
    <xf numFmtId="164" fontId="15" fillId="0" borderId="1" applyFont="0" applyFill="0" applyBorder="0" applyProtection="0">
      <alignment horizontal="right" vertical="center"/>
    </xf>
    <xf numFmtId="0" fontId="22" fillId="0" borderId="0" applyFill="0" applyBorder="0" applyProtection="0">
      <alignment horizontal="left" vertical="center"/>
    </xf>
    <xf numFmtId="0" fontId="23" fillId="0" borderId="0" applyFill="0" applyBorder="0" applyProtection="0">
      <alignment horizontal="left" vertical="center"/>
    </xf>
    <xf numFmtId="0" fontId="15" fillId="0" borderId="0"/>
    <xf numFmtId="167" fontId="11" fillId="0" borderId="1" applyFill="0" applyBorder="0">
      <alignment horizontal="center" vertical="center"/>
    </xf>
    <xf numFmtId="3" fontId="3" fillId="0" borderId="1" applyFill="0" applyBorder="0">
      <alignment horizontal="center" vertical="center"/>
    </xf>
    <xf numFmtId="44" fontId="16" fillId="0" borderId="0" applyFont="0" applyFill="0" applyBorder="0" applyAlignment="0" applyProtection="0"/>
  </cellStyleXfs>
  <cellXfs count="473">
    <xf numFmtId="0" fontId="0" fillId="0" borderId="0" xfId="0"/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26" fillId="4" borderId="12" xfId="0" applyFont="1" applyFill="1" applyBorder="1" applyAlignment="1">
      <alignment vertical="center"/>
    </xf>
    <xf numFmtId="0" fontId="19" fillId="7" borderId="12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 wrapText="1"/>
    </xf>
    <xf numFmtId="0" fontId="19" fillId="11" borderId="12" xfId="0" applyFont="1" applyFill="1" applyBorder="1" applyAlignment="1">
      <alignment vertical="center"/>
    </xf>
    <xf numFmtId="0" fontId="19" fillId="11" borderId="14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21" fillId="5" borderId="6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9" borderId="10" xfId="0" applyFont="1" applyFill="1" applyBorder="1" applyAlignment="1">
      <alignment vertical="center"/>
    </xf>
    <xf numFmtId="0" fontId="21" fillId="9" borderId="6" xfId="0" applyFont="1" applyFill="1" applyBorder="1" applyAlignment="1">
      <alignment vertical="center"/>
    </xf>
    <xf numFmtId="0" fontId="21" fillId="9" borderId="13" xfId="0" applyFont="1" applyFill="1" applyBorder="1" applyAlignment="1">
      <alignment vertical="center"/>
    </xf>
    <xf numFmtId="0" fontId="21" fillId="11" borderId="10" xfId="0" applyFont="1" applyFill="1" applyBorder="1" applyAlignment="1">
      <alignment vertical="center"/>
    </xf>
    <xf numFmtId="0" fontId="21" fillId="11" borderId="6" xfId="0" applyFont="1" applyFill="1" applyBorder="1" applyAlignment="1">
      <alignment vertical="center"/>
    </xf>
    <xf numFmtId="0" fontId="21" fillId="11" borderId="13" xfId="0" applyFont="1" applyFill="1" applyBorder="1" applyAlignment="1">
      <alignment vertical="center"/>
    </xf>
    <xf numFmtId="0" fontId="21" fillId="5" borderId="22" xfId="0" applyFont="1" applyFill="1" applyBorder="1" applyAlignment="1">
      <alignment vertical="center"/>
    </xf>
    <xf numFmtId="0" fontId="19" fillId="6" borderId="12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/>
    </xf>
    <xf numFmtId="0" fontId="19" fillId="8" borderId="12" xfId="0" applyFont="1" applyFill="1" applyBorder="1" applyAlignment="1">
      <alignment vertical="center"/>
    </xf>
    <xf numFmtId="0" fontId="19" fillId="8" borderId="14" xfId="0" applyFont="1" applyFill="1" applyBorder="1" applyAlignment="1">
      <alignment vertical="center"/>
    </xf>
    <xf numFmtId="0" fontId="21" fillId="7" borderId="24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44" fontId="35" fillId="0" borderId="1" xfId="4" applyFont="1" applyBorder="1" applyProtection="1">
      <alignment vertical="center"/>
      <protection hidden="1"/>
    </xf>
    <xf numFmtId="44" fontId="35" fillId="0" borderId="11" xfId="4" applyFont="1" applyBorder="1" applyProtection="1">
      <alignment vertical="center"/>
      <protection hidden="1"/>
    </xf>
    <xf numFmtId="0" fontId="34" fillId="14" borderId="12" xfId="3" applyFont="1" applyFill="1" applyBorder="1" applyAlignment="1" applyProtection="1">
      <alignment horizontal="center" vertical="center"/>
      <protection hidden="1"/>
    </xf>
    <xf numFmtId="0" fontId="34" fillId="14" borderId="1" xfId="3" applyFont="1" applyFill="1" applyBorder="1" applyAlignment="1" applyProtection="1">
      <alignment horizontal="center" vertical="center"/>
      <protection hidden="1"/>
    </xf>
    <xf numFmtId="0" fontId="34" fillId="14" borderId="11" xfId="3" applyFont="1" applyFill="1" applyBorder="1" applyAlignment="1" applyProtection="1">
      <alignment horizontal="center" vertical="center"/>
      <protection hidden="1"/>
    </xf>
    <xf numFmtId="0" fontId="27" fillId="0" borderId="12" xfId="3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9" fontId="19" fillId="0" borderId="16" xfId="1" applyFont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3" fontId="19" fillId="0" borderId="11" xfId="8" applyFill="1" applyBorder="1">
      <alignment horizontal="center" vertical="center"/>
    </xf>
    <xf numFmtId="164" fontId="19" fillId="0" borderId="11" xfId="9" applyFont="1" applyFill="1" applyBorder="1">
      <alignment horizontal="right" vertical="center"/>
    </xf>
    <xf numFmtId="44" fontId="19" fillId="0" borderId="11" xfId="4" applyFont="1" applyFill="1" applyBorder="1">
      <alignment vertical="center"/>
    </xf>
    <xf numFmtId="44" fontId="19" fillId="0" borderId="16" xfId="4" applyFont="1" applyFill="1" applyBorder="1">
      <alignment vertical="center"/>
    </xf>
    <xf numFmtId="3" fontId="19" fillId="0" borderId="11" xfId="8" applyBorder="1">
      <alignment horizontal="center" vertical="center"/>
    </xf>
    <xf numFmtId="164" fontId="19" fillId="0" borderId="11" xfId="9" applyFont="1" applyBorder="1">
      <alignment horizontal="right" vertical="center"/>
    </xf>
    <xf numFmtId="44" fontId="19" fillId="0" borderId="11" xfId="4" applyFont="1" applyBorder="1">
      <alignment vertical="center"/>
    </xf>
    <xf numFmtId="44" fontId="21" fillId="0" borderId="16" xfId="4" applyFont="1" applyBorder="1">
      <alignment vertical="center"/>
    </xf>
    <xf numFmtId="0" fontId="19" fillId="0" borderId="11" xfId="0" applyFont="1" applyFill="1" applyBorder="1" applyAlignment="1">
      <alignment horizontal="center" vertical="center" wrapText="1"/>
    </xf>
    <xf numFmtId="165" fontId="37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9" fillId="15" borderId="0" xfId="0" applyFont="1" applyFill="1"/>
    <xf numFmtId="0" fontId="23" fillId="15" borderId="0" xfId="2" applyFill="1">
      <alignment horizontal="left"/>
    </xf>
    <xf numFmtId="0" fontId="22" fillId="15" borderId="0" xfId="0" applyFont="1" applyFill="1" applyAlignment="1">
      <alignment horizontal="left"/>
    </xf>
    <xf numFmtId="0" fontId="0" fillId="15" borderId="0" xfId="0" applyFill="1"/>
    <xf numFmtId="0" fontId="19" fillId="15" borderId="0" xfId="0" applyFont="1" applyFill="1" applyAlignment="1">
      <alignment vertical="center"/>
    </xf>
    <xf numFmtId="0" fontId="23" fillId="15" borderId="0" xfId="11" applyFill="1">
      <alignment horizontal="left" vertical="center"/>
    </xf>
    <xf numFmtId="0" fontId="19" fillId="15" borderId="0" xfId="0" applyFont="1" applyFill="1" applyBorder="1" applyAlignment="1">
      <alignment vertical="center"/>
    </xf>
    <xf numFmtId="0" fontId="21" fillId="15" borderId="0" xfId="0" applyFont="1" applyFill="1" applyBorder="1" applyAlignment="1">
      <alignment vertical="center"/>
    </xf>
    <xf numFmtId="0" fontId="22" fillId="15" borderId="0" xfId="10" applyFill="1">
      <alignment horizontal="left" vertical="center"/>
    </xf>
    <xf numFmtId="0" fontId="28" fillId="15" borderId="0" xfId="3" applyFont="1" applyFill="1" applyProtection="1">
      <protection hidden="1"/>
    </xf>
    <xf numFmtId="0" fontId="26" fillId="4" borderId="5" xfId="0" applyFont="1" applyFill="1" applyBorder="1" applyAlignment="1">
      <alignment vertical="center"/>
    </xf>
    <xf numFmtId="0" fontId="24" fillId="2" borderId="22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vertical="center"/>
    </xf>
    <xf numFmtId="0" fontId="24" fillId="4" borderId="9" xfId="0" applyFont="1" applyFill="1" applyBorder="1" applyAlignment="1">
      <alignment vertical="center"/>
    </xf>
    <xf numFmtId="0" fontId="26" fillId="4" borderId="10" xfId="0" applyFont="1" applyFill="1" applyBorder="1" applyAlignment="1">
      <alignment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3" fontId="19" fillId="3" borderId="11" xfId="8" applyFill="1" applyBorder="1">
      <alignment horizontal="center" vertical="center"/>
    </xf>
    <xf numFmtId="3" fontId="19" fillId="6" borderId="1" xfId="8" applyFill="1" applyBorder="1">
      <alignment horizontal="center" vertical="center"/>
    </xf>
    <xf numFmtId="3" fontId="19" fillId="6" borderId="11" xfId="8" applyFill="1" applyBorder="1">
      <alignment horizontal="center" vertical="center"/>
    </xf>
    <xf numFmtId="164" fontId="19" fillId="6" borderId="11" xfId="9" applyFont="1" applyFill="1" applyBorder="1">
      <alignment horizontal="right" vertical="center"/>
    </xf>
    <xf numFmtId="44" fontId="19" fillId="6" borderId="11" xfId="4" applyFont="1" applyFill="1" applyBorder="1" applyAlignment="1">
      <alignment horizontal="center" vertical="center"/>
    </xf>
    <xf numFmtId="3" fontId="19" fillId="8" borderId="11" xfId="8" applyFill="1" applyBorder="1">
      <alignment horizontal="center" vertical="center"/>
    </xf>
    <xf numFmtId="164" fontId="19" fillId="8" borderId="11" xfId="9" applyFont="1" applyFill="1" applyBorder="1">
      <alignment horizontal="right" vertical="center"/>
    </xf>
    <xf numFmtId="44" fontId="19" fillId="8" borderId="11" xfId="4" applyFont="1" applyFill="1" applyBorder="1" applyAlignment="1">
      <alignment horizontal="center" vertical="center"/>
    </xf>
    <xf numFmtId="44" fontId="19" fillId="12" borderId="11" xfId="4" applyFont="1" applyFill="1" applyBorder="1" applyAlignment="1">
      <alignment horizontal="center" vertical="center"/>
    </xf>
    <xf numFmtId="44" fontId="19" fillId="12" borderId="16" xfId="4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vertical="center"/>
    </xf>
    <xf numFmtId="0" fontId="26" fillId="4" borderId="21" xfId="0" applyFont="1" applyFill="1" applyBorder="1" applyAlignment="1">
      <alignment vertical="center"/>
    </xf>
    <xf numFmtId="0" fontId="19" fillId="5" borderId="14" xfId="0" applyFont="1" applyFill="1" applyBorder="1" applyAlignment="1">
      <alignment vertical="center"/>
    </xf>
    <xf numFmtId="0" fontId="19" fillId="5" borderId="15" xfId="0" applyFont="1" applyFill="1" applyBorder="1" applyAlignment="1">
      <alignment horizontal="center" vertical="center"/>
    </xf>
    <xf numFmtId="44" fontId="19" fillId="6" borderId="16" xfId="4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vertical="center"/>
    </xf>
    <xf numFmtId="0" fontId="19" fillId="7" borderId="15" xfId="0" applyFont="1" applyFill="1" applyBorder="1" applyAlignment="1">
      <alignment horizontal="center" vertical="center"/>
    </xf>
    <xf numFmtId="44" fontId="19" fillId="8" borderId="16" xfId="4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vertical="center"/>
    </xf>
    <xf numFmtId="0" fontId="21" fillId="9" borderId="23" xfId="0" applyFont="1" applyFill="1" applyBorder="1" applyAlignment="1">
      <alignment vertical="center"/>
    </xf>
    <xf numFmtId="0" fontId="21" fillId="9" borderId="24" xfId="0" applyFont="1" applyFill="1" applyBorder="1" applyAlignment="1">
      <alignment vertical="center"/>
    </xf>
    <xf numFmtId="0" fontId="19" fillId="9" borderId="14" xfId="0" applyFont="1" applyFill="1" applyBorder="1" applyAlignment="1">
      <alignment vertical="center" wrapText="1"/>
    </xf>
    <xf numFmtId="0" fontId="19" fillId="9" borderId="15" xfId="0" applyFont="1" applyFill="1" applyBorder="1" applyAlignment="1">
      <alignment horizontal="center" vertical="center"/>
    </xf>
    <xf numFmtId="44" fontId="19" fillId="10" borderId="16" xfId="4" applyFont="1" applyFill="1" applyBorder="1" applyAlignment="1">
      <alignment horizontal="center" vertical="center"/>
    </xf>
    <xf numFmtId="0" fontId="21" fillId="11" borderId="22" xfId="0" applyFont="1" applyFill="1" applyBorder="1" applyAlignment="1">
      <alignment vertical="center"/>
    </xf>
    <xf numFmtId="0" fontId="21" fillId="11" borderId="23" xfId="0" applyFont="1" applyFill="1" applyBorder="1" applyAlignment="1">
      <alignment vertical="center"/>
    </xf>
    <xf numFmtId="0" fontId="21" fillId="11" borderId="24" xfId="0" applyFont="1" applyFill="1" applyBorder="1" applyAlignment="1">
      <alignment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44" fontId="19" fillId="10" borderId="11" xfId="4" applyFont="1" applyFill="1" applyBorder="1">
      <alignment vertical="center"/>
    </xf>
    <xf numFmtId="44" fontId="19" fillId="0" borderId="16" xfId="4" applyFont="1" applyBorder="1">
      <alignment vertical="center"/>
    </xf>
    <xf numFmtId="0" fontId="36" fillId="3" borderId="22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/>
    </xf>
    <xf numFmtId="3" fontId="37" fillId="0" borderId="11" xfId="0" applyNumberFormat="1" applyFont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center" vertical="center"/>
    </xf>
    <xf numFmtId="3" fontId="37" fillId="0" borderId="16" xfId="0" applyNumberFormat="1" applyFont="1" applyBorder="1" applyAlignment="1">
      <alignment horizontal="center" vertical="center"/>
    </xf>
    <xf numFmtId="44" fontId="34" fillId="14" borderId="16" xfId="4" applyFont="1" applyFill="1" applyBorder="1" applyProtection="1">
      <alignment vertical="center"/>
      <protection hidden="1"/>
    </xf>
    <xf numFmtId="0" fontId="24" fillId="4" borderId="22" xfId="0" applyFont="1" applyFill="1" applyBorder="1" applyAlignment="1">
      <alignment vertical="center"/>
    </xf>
    <xf numFmtId="0" fontId="24" fillId="4" borderId="23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4" fillId="4" borderId="15" xfId="0" applyFont="1" applyFill="1" applyBorder="1" applyAlignment="1">
      <alignment vertical="center"/>
    </xf>
    <xf numFmtId="0" fontId="19" fillId="11" borderId="22" xfId="0" applyFont="1" applyFill="1" applyBorder="1" applyAlignment="1">
      <alignment vertical="center"/>
    </xf>
    <xf numFmtId="0" fontId="26" fillId="4" borderId="14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/>
    </xf>
    <xf numFmtId="0" fontId="19" fillId="11" borderId="2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/>
    </xf>
    <xf numFmtId="0" fontId="19" fillId="9" borderId="30" xfId="0" applyFont="1" applyFill="1" applyBorder="1" applyAlignment="1">
      <alignment horizontal="center" vertical="center"/>
    </xf>
    <xf numFmtId="0" fontId="19" fillId="11" borderId="30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19" fillId="6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44" fontId="19" fillId="12" borderId="4" xfId="4" applyFont="1" applyFill="1" applyBorder="1">
      <alignment vertical="center"/>
    </xf>
    <xf numFmtId="44" fontId="19" fillId="12" borderId="29" xfId="4" applyFont="1" applyFill="1" applyBorder="1">
      <alignment vertical="center"/>
    </xf>
    <xf numFmtId="0" fontId="21" fillId="12" borderId="12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 vertical="center"/>
    </xf>
    <xf numFmtId="0" fontId="21" fillId="12" borderId="14" xfId="0" applyFont="1" applyFill="1" applyBorder="1" applyAlignment="1">
      <alignment horizontal="left" vertical="center"/>
    </xf>
    <xf numFmtId="0" fontId="21" fillId="12" borderId="15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vertical="center"/>
    </xf>
    <xf numFmtId="0" fontId="21" fillId="12" borderId="12" xfId="0" applyFont="1" applyFill="1" applyBorder="1" applyAlignment="1">
      <alignment vertical="center"/>
    </xf>
    <xf numFmtId="44" fontId="21" fillId="0" borderId="11" xfId="4" applyFont="1" applyBorder="1">
      <alignment vertical="center"/>
    </xf>
    <xf numFmtId="9" fontId="19" fillId="0" borderId="16" xfId="5" applyFont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44" fontId="21" fillId="6" borderId="1" xfId="4" applyFont="1" applyFill="1" applyBorder="1">
      <alignment vertical="center"/>
    </xf>
    <xf numFmtId="0" fontId="19" fillId="16" borderId="1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9" fillId="16" borderId="15" xfId="0" applyFont="1" applyFill="1" applyBorder="1" applyAlignment="1">
      <alignment horizontal="center" vertical="center"/>
    </xf>
    <xf numFmtId="0" fontId="19" fillId="16" borderId="16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vertical="center"/>
    </xf>
    <xf numFmtId="0" fontId="21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44" fontId="21" fillId="6" borderId="15" xfId="4" applyFont="1" applyFill="1" applyBorder="1">
      <alignment vertical="center"/>
    </xf>
    <xf numFmtId="0" fontId="21" fillId="5" borderId="37" xfId="0" applyFont="1" applyFill="1" applyBorder="1" applyAlignment="1">
      <alignment vertical="center" wrapText="1"/>
    </xf>
    <xf numFmtId="44" fontId="21" fillId="6" borderId="36" xfId="4" applyFont="1" applyFill="1" applyBorder="1" applyAlignment="1">
      <alignment horizontal="center" vertical="center"/>
    </xf>
    <xf numFmtId="0" fontId="19" fillId="16" borderId="36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left" vertical="center"/>
    </xf>
    <xf numFmtId="0" fontId="21" fillId="7" borderId="25" xfId="0" applyFont="1" applyFill="1" applyBorder="1" applyAlignment="1">
      <alignment horizontal="left" vertical="center"/>
    </xf>
    <xf numFmtId="0" fontId="21" fillId="7" borderId="14" xfId="0" applyFont="1" applyFill="1" applyBorder="1" applyAlignment="1">
      <alignment vertical="center"/>
    </xf>
    <xf numFmtId="0" fontId="21" fillId="7" borderId="15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left" vertical="center"/>
    </xf>
    <xf numFmtId="0" fontId="21" fillId="9" borderId="25" xfId="0" applyFont="1" applyFill="1" applyBorder="1" applyAlignment="1">
      <alignment horizontal="left" vertical="center"/>
    </xf>
    <xf numFmtId="0" fontId="21" fillId="9" borderId="24" xfId="0" applyFont="1" applyFill="1" applyBorder="1" applyAlignment="1">
      <alignment horizontal="center" vertical="center"/>
    </xf>
    <xf numFmtId="44" fontId="19" fillId="8" borderId="11" xfId="4" applyFont="1" applyFill="1" applyBorder="1">
      <alignment vertical="center"/>
    </xf>
    <xf numFmtId="44" fontId="21" fillId="8" borderId="16" xfId="4" applyFont="1" applyFill="1" applyBorder="1">
      <alignment vertical="center"/>
    </xf>
    <xf numFmtId="0" fontId="21" fillId="9" borderId="14" xfId="0" applyFont="1" applyFill="1" applyBorder="1" applyAlignment="1">
      <alignment vertical="center"/>
    </xf>
    <xf numFmtId="0" fontId="21" fillId="9" borderId="15" xfId="0" applyFont="1" applyFill="1" applyBorder="1" applyAlignment="1">
      <alignment horizontal="center" vertical="center"/>
    </xf>
    <xf numFmtId="44" fontId="21" fillId="10" borderId="16" xfId="4" applyFont="1" applyFill="1" applyBorder="1">
      <alignment vertical="center"/>
    </xf>
    <xf numFmtId="44" fontId="19" fillId="12" borderId="24" xfId="4" applyFont="1" applyFill="1" applyBorder="1">
      <alignment vertical="center"/>
    </xf>
    <xf numFmtId="44" fontId="19" fillId="12" borderId="11" xfId="4" applyFont="1" applyFill="1" applyBorder="1">
      <alignment vertical="center"/>
    </xf>
    <xf numFmtId="44" fontId="21" fillId="12" borderId="16" xfId="4" applyFont="1" applyFill="1" applyBorder="1">
      <alignment vertical="center"/>
    </xf>
    <xf numFmtId="0" fontId="19" fillId="0" borderId="22" xfId="0" applyFont="1" applyBorder="1" applyAlignment="1">
      <alignment vertical="center"/>
    </xf>
    <xf numFmtId="164" fontId="19" fillId="0" borderId="24" xfId="9" applyFont="1" applyBorder="1" applyAlignment="1">
      <alignment horizontal="center" vertical="center"/>
    </xf>
    <xf numFmtId="164" fontId="19" fillId="0" borderId="11" xfId="9" applyFont="1" applyBorder="1" applyAlignment="1">
      <alignment horizontal="center" vertical="center"/>
    </xf>
    <xf numFmtId="164" fontId="19" fillId="0" borderId="16" xfId="9" applyFont="1" applyBorder="1" applyAlignment="1">
      <alignment horizontal="center" vertical="center"/>
    </xf>
    <xf numFmtId="0" fontId="21" fillId="11" borderId="14" xfId="0" applyFont="1" applyFill="1" applyBorder="1" applyAlignment="1">
      <alignment vertical="center" wrapText="1"/>
    </xf>
    <xf numFmtId="0" fontId="22" fillId="15" borderId="0" xfId="10" applyFill="1" applyBorder="1">
      <alignment horizontal="left" vertical="center"/>
    </xf>
    <xf numFmtId="0" fontId="19" fillId="15" borderId="0" xfId="0" applyFont="1" applyFill="1" applyBorder="1" applyAlignment="1">
      <alignment horizontal="center" vertical="center"/>
    </xf>
    <xf numFmtId="0" fontId="19" fillId="15" borderId="0" xfId="0" applyFont="1" applyFill="1" applyAlignment="1"/>
    <xf numFmtId="0" fontId="27" fillId="11" borderId="22" xfId="0" applyFont="1" applyFill="1" applyBorder="1" applyAlignment="1">
      <alignment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2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/>
    </xf>
    <xf numFmtId="0" fontId="21" fillId="3" borderId="21" xfId="0" applyFont="1" applyFill="1" applyBorder="1" applyAlignment="1">
      <alignment horizontal="left" vertical="center"/>
    </xf>
    <xf numFmtId="0" fontId="18" fillId="15" borderId="0" xfId="0" applyFont="1" applyFill="1" applyAlignment="1">
      <alignment horizontal="center" vertical="center"/>
    </xf>
    <xf numFmtId="0" fontId="18" fillId="15" borderId="0" xfId="0" applyFont="1" applyFill="1"/>
    <xf numFmtId="0" fontId="26" fillId="15" borderId="0" xfId="0" applyFont="1" applyFill="1"/>
    <xf numFmtId="0" fontId="19" fillId="15" borderId="0" xfId="0" applyFont="1" applyFill="1" applyAlignment="1">
      <alignment horizontal="center" vertical="center"/>
    </xf>
    <xf numFmtId="3" fontId="19" fillId="8" borderId="15" xfId="8" applyFill="1" applyBorder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vertical="center" wrapText="1"/>
    </xf>
    <xf numFmtId="0" fontId="26" fillId="4" borderId="39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14" fillId="3" borderId="40" xfId="0" applyFont="1" applyFill="1" applyBorder="1" applyAlignment="1">
      <alignment horizontal="center" vertical="center" wrapText="1"/>
    </xf>
    <xf numFmtId="0" fontId="14" fillId="15" borderId="0" xfId="0" applyFont="1" applyFill="1"/>
    <xf numFmtId="0" fontId="14" fillId="7" borderId="14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21" fillId="17" borderId="22" xfId="0" applyFont="1" applyFill="1" applyBorder="1" applyAlignment="1">
      <alignment vertical="center"/>
    </xf>
    <xf numFmtId="0" fontId="21" fillId="17" borderId="23" xfId="0" applyFont="1" applyFill="1" applyBorder="1" applyAlignment="1">
      <alignment vertical="center"/>
    </xf>
    <xf numFmtId="0" fontId="21" fillId="17" borderId="24" xfId="0" applyFont="1" applyFill="1" applyBorder="1" applyAlignment="1">
      <alignment vertical="center"/>
    </xf>
    <xf numFmtId="0" fontId="21" fillId="18" borderId="37" xfId="0" applyFont="1" applyFill="1" applyBorder="1"/>
    <xf numFmtId="3" fontId="19" fillId="15" borderId="1" xfId="8" applyFill="1" applyBorder="1">
      <alignment horizontal="center" vertical="center"/>
    </xf>
    <xf numFmtId="0" fontId="21" fillId="11" borderId="3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3" fillId="5" borderId="10" xfId="0" applyFont="1" applyFill="1" applyBorder="1" applyAlignment="1">
      <alignment vertical="center"/>
    </xf>
    <xf numFmtId="0" fontId="19" fillId="5" borderId="41" xfId="0" applyFont="1" applyFill="1" applyBorder="1" applyAlignment="1">
      <alignment vertical="center"/>
    </xf>
    <xf numFmtId="0" fontId="19" fillId="5" borderId="38" xfId="0" applyFont="1" applyFill="1" applyBorder="1" applyAlignment="1">
      <alignment horizontal="center" vertical="center"/>
    </xf>
    <xf numFmtId="0" fontId="21" fillId="7" borderId="42" xfId="0" applyFont="1" applyFill="1" applyBorder="1" applyAlignment="1">
      <alignment vertical="center"/>
    </xf>
    <xf numFmtId="0" fontId="21" fillId="7" borderId="43" xfId="0" applyFont="1" applyFill="1" applyBorder="1" applyAlignment="1">
      <alignment vertical="center"/>
    </xf>
    <xf numFmtId="0" fontId="19" fillId="5" borderId="25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44" fontId="19" fillId="0" borderId="40" xfId="4" applyFont="1" applyFill="1" applyBorder="1">
      <alignment vertical="center"/>
    </xf>
    <xf numFmtId="3" fontId="19" fillId="6" borderId="4" xfId="8" applyFill="1" applyBorder="1">
      <alignment horizontal="center" vertical="center"/>
    </xf>
    <xf numFmtId="3" fontId="19" fillId="8" borderId="4" xfId="8" applyFill="1" applyBorder="1">
      <alignment horizontal="center" vertical="center"/>
    </xf>
    <xf numFmtId="44" fontId="19" fillId="10" borderId="29" xfId="4" applyFont="1" applyFill="1" applyBorder="1">
      <alignment vertical="center"/>
    </xf>
    <xf numFmtId="0" fontId="24" fillId="4" borderId="46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vertical="center"/>
    </xf>
    <xf numFmtId="0" fontId="21" fillId="7" borderId="48" xfId="0" applyFont="1" applyFill="1" applyBorder="1" applyAlignment="1">
      <alignment vertical="center"/>
    </xf>
    <xf numFmtId="0" fontId="22" fillId="15" borderId="0" xfId="10" applyFill="1">
      <alignment horizontal="left" vertical="center"/>
    </xf>
    <xf numFmtId="0" fontId="0" fillId="15" borderId="0" xfId="0" applyFill="1"/>
    <xf numFmtId="0" fontId="34" fillId="14" borderId="20" xfId="3" applyFont="1" applyFill="1" applyBorder="1" applyAlignment="1" applyProtection="1">
      <alignment horizontal="center" vertical="center"/>
      <protection hidden="1"/>
    </xf>
    <xf numFmtId="0" fontId="34" fillId="14" borderId="21" xfId="3" applyFont="1" applyFill="1" applyBorder="1" applyAlignment="1" applyProtection="1">
      <alignment horizontal="center" vertical="center"/>
      <protection hidden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11" borderId="22" xfId="0" applyFont="1" applyFill="1" applyBorder="1" applyAlignment="1">
      <alignment horizontal="left" vertical="center"/>
    </xf>
    <xf numFmtId="0" fontId="21" fillId="11" borderId="23" xfId="0" applyFont="1" applyFill="1" applyBorder="1" applyAlignment="1">
      <alignment horizontal="left" vertical="center"/>
    </xf>
    <xf numFmtId="0" fontId="21" fillId="11" borderId="24" xfId="0" applyFont="1" applyFill="1" applyBorder="1" applyAlignment="1">
      <alignment horizontal="left" vertical="center"/>
    </xf>
    <xf numFmtId="0" fontId="33" fillId="14" borderId="22" xfId="3" applyFont="1" applyFill="1" applyBorder="1" applyAlignment="1" applyProtection="1">
      <alignment horizontal="left" vertical="center"/>
      <protection hidden="1"/>
    </xf>
    <xf numFmtId="0" fontId="33" fillId="14" borderId="23" xfId="3" applyFont="1" applyFill="1" applyBorder="1" applyAlignment="1" applyProtection="1">
      <alignment horizontal="left" vertical="center"/>
      <protection hidden="1"/>
    </xf>
    <xf numFmtId="0" fontId="33" fillId="14" borderId="24" xfId="3" applyFont="1" applyFill="1" applyBorder="1" applyAlignment="1" applyProtection="1">
      <alignment horizontal="left" vertical="center"/>
      <protection hidden="1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left" vertical="center"/>
    </xf>
    <xf numFmtId="0" fontId="21" fillId="7" borderId="7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 wrapText="1"/>
    </xf>
    <xf numFmtId="3" fontId="29" fillId="0" borderId="32" xfId="3" applyNumberFormat="1" applyFont="1" applyBorder="1" applyAlignment="1" applyProtection="1">
      <alignment horizontal="center" vertical="center"/>
      <protection hidden="1"/>
    </xf>
    <xf numFmtId="0" fontId="11" fillId="7" borderId="12" xfId="0" applyFont="1" applyFill="1" applyBorder="1" applyAlignment="1">
      <alignment vertical="center"/>
    </xf>
    <xf numFmtId="0" fontId="11" fillId="7" borderId="23" xfId="0" applyFont="1" applyFill="1" applyBorder="1" applyAlignment="1">
      <alignment horizontal="center" vertical="center"/>
    </xf>
    <xf numFmtId="0" fontId="11" fillId="15" borderId="0" xfId="0" applyFont="1" applyFill="1" applyAlignment="1">
      <alignment vertical="center"/>
    </xf>
    <xf numFmtId="3" fontId="11" fillId="8" borderId="11" xfId="8" applyFont="1" applyFill="1" applyBorder="1">
      <alignment horizontal="center" vertical="center"/>
    </xf>
    <xf numFmtId="9" fontId="21" fillId="0" borderId="11" xfId="5" applyFont="1" applyBorder="1" applyAlignment="1">
      <alignment horizontal="center" vertical="center"/>
    </xf>
    <xf numFmtId="167" fontId="11" fillId="6" borderId="1" xfId="13" applyFill="1" applyBorder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167" fontId="21" fillId="15" borderId="1" xfId="13" applyFont="1" applyFill="1" applyBorder="1">
      <alignment horizontal="center" vertical="center"/>
    </xf>
    <xf numFmtId="167" fontId="21" fillId="8" borderId="16" xfId="13" applyFont="1" applyFill="1" applyBorder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1" fillId="0" borderId="0" xfId="0" applyFont="1" applyFill="1"/>
    <xf numFmtId="0" fontId="23" fillId="15" borderId="0" xfId="11" applyFill="1" applyAlignment="1">
      <alignment horizontal="left" vertical="center"/>
    </xf>
    <xf numFmtId="0" fontId="11" fillId="15" borderId="22" xfId="0" applyFont="1" applyFill="1" applyBorder="1" applyAlignment="1">
      <alignment vertical="center"/>
    </xf>
    <xf numFmtId="0" fontId="11" fillId="15" borderId="24" xfId="0" applyFont="1" applyFill="1" applyBorder="1" applyAlignment="1">
      <alignment vertical="center"/>
    </xf>
    <xf numFmtId="0" fontId="11" fillId="19" borderId="12" xfId="0" applyFont="1" applyFill="1" applyBorder="1" applyAlignment="1">
      <alignment vertical="center"/>
    </xf>
    <xf numFmtId="0" fontId="11" fillId="15" borderId="11" xfId="0" applyFont="1" applyFill="1" applyBorder="1" applyAlignment="1">
      <alignment vertical="center"/>
    </xf>
    <xf numFmtId="0" fontId="11" fillId="20" borderId="14" xfId="0" applyFont="1" applyFill="1" applyBorder="1" applyAlignment="1">
      <alignment vertical="center"/>
    </xf>
    <xf numFmtId="0" fontId="11" fillId="15" borderId="16" xfId="0" applyFont="1" applyFill="1" applyBorder="1" applyAlignment="1">
      <alignment vertical="center"/>
    </xf>
    <xf numFmtId="0" fontId="11" fillId="15" borderId="12" xfId="0" applyFont="1" applyFill="1" applyBorder="1" applyAlignment="1">
      <alignment vertical="center"/>
    </xf>
    <xf numFmtId="0" fontId="11" fillId="15" borderId="14" xfId="0" applyFont="1" applyFill="1" applyBorder="1" applyAlignment="1">
      <alignment vertical="center"/>
    </xf>
    <xf numFmtId="0" fontId="11" fillId="15" borderId="0" xfId="0" applyFont="1" applyFill="1" applyBorder="1" applyAlignment="1">
      <alignment vertical="center"/>
    </xf>
    <xf numFmtId="0" fontId="11" fillId="15" borderId="41" xfId="0" applyFont="1" applyFill="1" applyBorder="1" applyAlignment="1">
      <alignment vertical="center"/>
    </xf>
    <xf numFmtId="0" fontId="11" fillId="15" borderId="40" xfId="0" applyFont="1" applyFill="1" applyBorder="1" applyAlignment="1">
      <alignment vertical="center"/>
    </xf>
    <xf numFmtId="0" fontId="11" fillId="15" borderId="0" xfId="0" quotePrefix="1" applyFont="1" applyFill="1" applyAlignment="1">
      <alignment vertical="center"/>
    </xf>
    <xf numFmtId="0" fontId="39" fillId="15" borderId="0" xfId="0" applyFont="1" applyFill="1" applyAlignment="1">
      <alignment vertical="center"/>
    </xf>
    <xf numFmtId="0" fontId="10" fillId="9" borderId="15" xfId="0" applyFont="1" applyFill="1" applyBorder="1" applyAlignment="1">
      <alignment horizontal="center" vertical="center" wrapText="1"/>
    </xf>
    <xf numFmtId="3" fontId="19" fillId="8" borderId="16" xfId="8" applyFill="1" applyBorder="1">
      <alignment horizontal="center" vertical="center"/>
    </xf>
    <xf numFmtId="0" fontId="9" fillId="15" borderId="0" xfId="0" applyFont="1" applyFill="1"/>
    <xf numFmtId="0" fontId="31" fillId="19" borderId="0" xfId="0" applyFont="1" applyFill="1" applyAlignment="1" applyProtection="1">
      <alignment vertical="center"/>
      <protection locked="0"/>
    </xf>
    <xf numFmtId="44" fontId="19" fillId="10" borderId="11" xfId="4" applyFont="1" applyFill="1" applyBorder="1" applyProtection="1">
      <alignment vertical="center"/>
      <protection locked="0"/>
    </xf>
    <xf numFmtId="44" fontId="19" fillId="19" borderId="11" xfId="4" applyFont="1" applyFill="1" applyBorder="1" applyProtection="1">
      <alignment vertical="center"/>
      <protection locked="0"/>
    </xf>
    <xf numFmtId="165" fontId="37" fillId="19" borderId="1" xfId="0" applyNumberFormat="1" applyFont="1" applyFill="1" applyBorder="1" applyAlignment="1" applyProtection="1">
      <alignment horizontal="center" vertical="center"/>
      <protection locked="0"/>
    </xf>
    <xf numFmtId="3" fontId="19" fillId="20" borderId="11" xfId="8" applyFill="1" applyBorder="1" applyProtection="1">
      <alignment horizontal="center" vertical="center"/>
      <protection locked="0"/>
    </xf>
    <xf numFmtId="3" fontId="19" fillId="20" borderId="1" xfId="8" applyFill="1" applyBorder="1" applyProtection="1">
      <alignment horizontal="center" vertical="center"/>
      <protection locked="0"/>
    </xf>
    <xf numFmtId="0" fontId="40" fillId="15" borderId="0" xfId="0" applyFont="1" applyFill="1" applyAlignment="1">
      <alignment vertical="center"/>
    </xf>
    <xf numFmtId="0" fontId="22" fillId="15" borderId="0" xfId="10" applyFill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15" borderId="0" xfId="0" applyFont="1" applyFill="1" applyAlignment="1"/>
    <xf numFmtId="0" fontId="22" fillId="15" borderId="0" xfId="10" applyFill="1">
      <alignment horizontal="left" vertical="center"/>
    </xf>
    <xf numFmtId="0" fontId="21" fillId="7" borderId="10" xfId="0" applyFont="1" applyFill="1" applyBorder="1" applyAlignment="1">
      <alignment vertical="center"/>
    </xf>
    <xf numFmtId="0" fontId="21" fillId="7" borderId="6" xfId="0" applyFont="1" applyFill="1" applyBorder="1" applyAlignment="1">
      <alignment vertical="center"/>
    </xf>
    <xf numFmtId="0" fontId="21" fillId="7" borderId="13" xfId="0" applyFont="1" applyFill="1" applyBorder="1" applyAlignment="1">
      <alignment vertical="center"/>
    </xf>
    <xf numFmtId="44" fontId="19" fillId="6" borderId="4" xfId="4" applyFont="1" applyFill="1" applyBorder="1">
      <alignment vertical="center"/>
    </xf>
    <xf numFmtId="44" fontId="19" fillId="8" borderId="4" xfId="4" applyFont="1" applyFill="1" applyBorder="1">
      <alignment vertical="center"/>
    </xf>
    <xf numFmtId="0" fontId="7" fillId="15" borderId="0" xfId="0" applyFont="1" applyFill="1"/>
    <xf numFmtId="3" fontId="19" fillId="8" borderId="29" xfId="8" applyFill="1" applyBorder="1">
      <alignment horizontal="center" vertical="center"/>
    </xf>
    <xf numFmtId="3" fontId="19" fillId="15" borderId="0" xfId="8" applyFill="1" applyBorder="1" applyProtection="1">
      <alignment horizontal="center" vertical="center"/>
      <protection locked="0"/>
    </xf>
    <xf numFmtId="0" fontId="19" fillId="15" borderId="0" xfId="0" applyFont="1" applyFill="1" applyBorder="1" applyAlignment="1" applyProtection="1">
      <alignment horizontal="center" vertical="center"/>
      <protection locked="0"/>
    </xf>
    <xf numFmtId="0" fontId="6" fillId="15" borderId="0" xfId="0" applyFont="1" applyFill="1"/>
    <xf numFmtId="44" fontId="0" fillId="15" borderId="0" xfId="0" applyNumberFormat="1" applyFill="1"/>
    <xf numFmtId="0" fontId="0" fillId="15" borderId="0" xfId="0" applyFill="1" applyAlignment="1"/>
    <xf numFmtId="168" fontId="19" fillId="15" borderId="0" xfId="0" applyNumberFormat="1" applyFont="1" applyFill="1"/>
    <xf numFmtId="9" fontId="0" fillId="15" borderId="0" xfId="0" applyNumberFormat="1" applyFill="1"/>
    <xf numFmtId="44" fontId="21" fillId="15" borderId="0" xfId="0" applyNumberFormat="1" applyFont="1" applyFill="1"/>
    <xf numFmtId="0" fontId="21" fillId="15" borderId="0" xfId="0" applyFont="1" applyFill="1"/>
    <xf numFmtId="9" fontId="17" fillId="15" borderId="0" xfId="0" applyNumberFormat="1" applyFont="1" applyFill="1"/>
    <xf numFmtId="0" fontId="5" fillId="15" borderId="0" xfId="0" applyFont="1" applyFill="1"/>
    <xf numFmtId="0" fontId="5" fillId="15" borderId="0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22" fillId="15" borderId="0" xfId="10" applyFont="1" applyFill="1">
      <alignment horizontal="left" vertical="center"/>
    </xf>
    <xf numFmtId="0" fontId="34" fillId="17" borderId="23" xfId="12" applyFont="1" applyFill="1" applyBorder="1" applyAlignment="1">
      <alignment horizontal="center" vertical="center"/>
    </xf>
    <xf numFmtId="0" fontId="34" fillId="17" borderId="24" xfId="12" applyFont="1" applyFill="1" applyBorder="1" applyAlignment="1">
      <alignment horizontal="center" vertical="center"/>
    </xf>
    <xf numFmtId="0" fontId="27" fillId="3" borderId="12" xfId="12" applyFont="1" applyFill="1" applyBorder="1" applyAlignment="1">
      <alignment horizontal="center" vertical="center"/>
    </xf>
    <xf numFmtId="0" fontId="27" fillId="3" borderId="1" xfId="12" applyFont="1" applyFill="1" applyBorder="1" applyAlignment="1">
      <alignment horizontal="center" vertical="center"/>
    </xf>
    <xf numFmtId="0" fontId="34" fillId="3" borderId="11" xfId="12" applyFont="1" applyFill="1" applyBorder="1" applyAlignment="1">
      <alignment horizontal="center" vertical="center"/>
    </xf>
    <xf numFmtId="0" fontId="27" fillId="8" borderId="12" xfId="12" applyFont="1" applyFill="1" applyBorder="1" applyAlignment="1">
      <alignment horizontal="center" vertical="center"/>
    </xf>
    <xf numFmtId="0" fontId="27" fillId="8" borderId="1" xfId="12" applyFont="1" applyFill="1" applyBorder="1" applyAlignment="1">
      <alignment horizontal="center" vertical="center"/>
    </xf>
    <xf numFmtId="0" fontId="34" fillId="8" borderId="11" xfId="12" applyFont="1" applyFill="1" applyBorder="1" applyAlignment="1">
      <alignment horizontal="center" vertical="center"/>
    </xf>
    <xf numFmtId="44" fontId="27" fillId="15" borderId="12" xfId="4" applyFont="1" applyFill="1" applyBorder="1">
      <alignment vertical="center"/>
    </xf>
    <xf numFmtId="44" fontId="27" fillId="15" borderId="1" xfId="4" applyFont="1" applyFill="1" applyBorder="1">
      <alignment vertical="center"/>
    </xf>
    <xf numFmtId="0" fontId="27" fillId="15" borderId="1" xfId="12" applyFont="1" applyFill="1" applyBorder="1" applyAlignment="1">
      <alignment horizontal="center" vertical="center"/>
    </xf>
    <xf numFmtId="4" fontId="34" fillId="15" borderId="11" xfId="12" applyNumberFormat="1" applyFont="1" applyFill="1" applyBorder="1" applyAlignment="1">
      <alignment horizontal="center" vertical="center"/>
    </xf>
    <xf numFmtId="44" fontId="27" fillId="15" borderId="14" xfId="4" applyFont="1" applyFill="1" applyBorder="1">
      <alignment vertical="center"/>
    </xf>
    <xf numFmtId="44" fontId="27" fillId="15" borderId="15" xfId="4" applyFont="1" applyFill="1" applyBorder="1">
      <alignment vertical="center"/>
    </xf>
    <xf numFmtId="0" fontId="27" fillId="15" borderId="15" xfId="12" applyFont="1" applyFill="1" applyBorder="1" applyAlignment="1">
      <alignment horizontal="center" vertical="center"/>
    </xf>
    <xf numFmtId="4" fontId="34" fillId="15" borderId="16" xfId="12" applyNumberFormat="1" applyFont="1" applyFill="1" applyBorder="1" applyAlignment="1">
      <alignment horizontal="center" vertical="center"/>
    </xf>
    <xf numFmtId="44" fontId="5" fillId="12" borderId="1" xfId="4" applyFont="1" applyFill="1" applyBorder="1">
      <alignment vertical="center"/>
    </xf>
    <xf numFmtId="44" fontId="5" fillId="16" borderId="33" xfId="4" applyFont="1" applyFill="1" applyBorder="1">
      <alignment vertical="center"/>
    </xf>
    <xf numFmtId="44" fontId="21" fillId="12" borderId="15" xfId="4" applyFont="1" applyFill="1" applyBorder="1">
      <alignment vertical="center"/>
    </xf>
    <xf numFmtId="0" fontId="22" fillId="15" borderId="0" xfId="11" applyFont="1" applyFill="1">
      <alignment horizontal="left" vertical="center"/>
    </xf>
    <xf numFmtId="0" fontId="39" fillId="15" borderId="0" xfId="0" applyFont="1" applyFill="1"/>
    <xf numFmtId="0" fontId="41" fillId="15" borderId="0" xfId="0" applyFont="1" applyFill="1"/>
    <xf numFmtId="0" fontId="22" fillId="15" borderId="0" xfId="10" applyFill="1">
      <alignment horizontal="left" vertical="center"/>
    </xf>
    <xf numFmtId="0" fontId="0" fillId="15" borderId="0" xfId="0" applyFill="1"/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64" fontId="3" fillId="0" borderId="11" xfId="9" applyFont="1" applyFill="1" applyBorder="1">
      <alignment horizontal="right" vertical="center"/>
    </xf>
    <xf numFmtId="44" fontId="3" fillId="0" borderId="11" xfId="4" applyFont="1" applyFill="1" applyBorder="1" applyAlignment="1">
      <alignment horizontal="center" vertical="center"/>
    </xf>
    <xf numFmtId="44" fontId="3" fillId="0" borderId="16" xfId="4" applyFont="1" applyFill="1" applyBorder="1" applyAlignment="1">
      <alignment horizontal="center" vertical="center"/>
    </xf>
    <xf numFmtId="3" fontId="3" fillId="0" borderId="11" xfId="8" applyFont="1" applyFill="1" applyBorder="1">
      <alignment horizontal="center" vertical="center"/>
    </xf>
    <xf numFmtId="0" fontId="3" fillId="15" borderId="0" xfId="0" applyFont="1" applyFill="1" applyBorder="1" applyAlignment="1">
      <alignment vertical="center"/>
    </xf>
    <xf numFmtId="44" fontId="3" fillId="10" borderId="11" xfId="4" applyFont="1" applyFill="1" applyBorder="1" applyProtection="1">
      <alignment vertical="center"/>
      <protection locked="0"/>
    </xf>
    <xf numFmtId="0" fontId="3" fillId="6" borderId="1" xfId="0" applyFont="1" applyFill="1" applyBorder="1" applyAlignment="1">
      <alignment horizontal="center" vertical="center"/>
    </xf>
    <xf numFmtId="164" fontId="3" fillId="0" borderId="11" xfId="9" applyFont="1" applyBorder="1">
      <alignment horizontal="right" vertical="center"/>
    </xf>
    <xf numFmtId="3" fontId="3" fillId="8" borderId="15" xfId="14" applyFill="1" applyBorder="1">
      <alignment horizontal="center" vertical="center"/>
    </xf>
    <xf numFmtId="3" fontId="3" fillId="8" borderId="16" xfId="14" applyFill="1" applyBorder="1">
      <alignment horizontal="center" vertical="center"/>
    </xf>
    <xf numFmtId="3" fontId="19" fillId="0" borderId="4" xfId="8" applyFill="1" applyBorder="1">
      <alignment horizontal="center" vertical="center"/>
    </xf>
    <xf numFmtId="44" fontId="19" fillId="0" borderId="4" xfId="4" applyFont="1" applyFill="1" applyBorder="1">
      <alignment vertical="center"/>
    </xf>
    <xf numFmtId="44" fontId="19" fillId="0" borderId="29" xfId="4" applyFont="1" applyFill="1" applyBorder="1">
      <alignment vertical="center"/>
    </xf>
    <xf numFmtId="3" fontId="19" fillId="6" borderId="33" xfId="8" applyFill="1" applyBorder="1">
      <alignment horizontal="center" vertical="center"/>
    </xf>
    <xf numFmtId="3" fontId="19" fillId="8" borderId="33" xfId="8" applyFill="1" applyBorder="1">
      <alignment horizontal="center" vertical="center"/>
    </xf>
    <xf numFmtId="44" fontId="19" fillId="8" borderId="33" xfId="4" applyFont="1" applyFill="1" applyBorder="1">
      <alignment vertical="center"/>
    </xf>
    <xf numFmtId="44" fontId="19" fillId="10" borderId="34" xfId="4" applyFont="1" applyFill="1" applyBorder="1">
      <alignment vertical="center"/>
    </xf>
    <xf numFmtId="44" fontId="19" fillId="12" borderId="33" xfId="4" applyFont="1" applyFill="1" applyBorder="1">
      <alignment vertical="center"/>
    </xf>
    <xf numFmtId="44" fontId="19" fillId="12" borderId="34" xfId="4" applyFont="1" applyFill="1" applyBorder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167" fontId="21" fillId="0" borderId="16" xfId="13" applyFont="1" applyFill="1" applyBorder="1">
      <alignment horizontal="center" vertical="center"/>
    </xf>
    <xf numFmtId="167" fontId="11" fillId="6" borderId="11" xfId="13" applyFill="1" applyBorder="1">
      <alignment horizontal="center" vertical="center"/>
    </xf>
    <xf numFmtId="0" fontId="3" fillId="15" borderId="22" xfId="0" applyFont="1" applyFill="1" applyBorder="1" applyAlignment="1">
      <alignment vertical="center"/>
    </xf>
    <xf numFmtId="0" fontId="3" fillId="15" borderId="12" xfId="0" applyFont="1" applyFill="1" applyBorder="1" applyAlignment="1">
      <alignment vertical="center"/>
    </xf>
    <xf numFmtId="0" fontId="3" fillId="15" borderId="11" xfId="0" applyFont="1" applyFill="1" applyBorder="1" applyAlignment="1">
      <alignment vertical="center"/>
    </xf>
    <xf numFmtId="0" fontId="3" fillId="15" borderId="14" xfId="0" applyFont="1" applyFill="1" applyBorder="1" applyAlignment="1">
      <alignment vertical="center"/>
    </xf>
    <xf numFmtId="0" fontId="3" fillId="15" borderId="16" xfId="0" applyFont="1" applyFill="1" applyBorder="1" applyAlignment="1">
      <alignment vertical="center"/>
    </xf>
    <xf numFmtId="0" fontId="17" fillId="15" borderId="0" xfId="0" applyFont="1" applyFill="1" applyBorder="1"/>
    <xf numFmtId="44" fontId="5" fillId="0" borderId="1" xfId="4" applyFont="1" applyFill="1" applyBorder="1">
      <alignment vertical="center"/>
    </xf>
    <xf numFmtId="44" fontId="21" fillId="0" borderId="15" xfId="4" applyFont="1" applyFill="1" applyBorder="1">
      <alignment vertical="center"/>
    </xf>
    <xf numFmtId="44" fontId="5" fillId="12" borderId="33" xfId="4" applyFont="1" applyFill="1" applyBorder="1">
      <alignment vertical="center"/>
    </xf>
    <xf numFmtId="44" fontId="21" fillId="12" borderId="34" xfId="4" applyFont="1" applyFill="1" applyBorder="1">
      <alignment vertical="center"/>
    </xf>
    <xf numFmtId="0" fontId="19" fillId="15" borderId="1" xfId="0" applyFont="1" applyFill="1" applyBorder="1" applyAlignment="1">
      <alignment horizontal="center" vertical="center"/>
    </xf>
    <xf numFmtId="0" fontId="19" fillId="15" borderId="15" xfId="0" applyFont="1" applyFill="1" applyBorder="1" applyAlignment="1">
      <alignment horizontal="center" vertical="center"/>
    </xf>
    <xf numFmtId="0" fontId="6" fillId="0" borderId="0" xfId="0" applyFont="1" applyFill="1"/>
    <xf numFmtId="0" fontId="3" fillId="15" borderId="0" xfId="0" applyFont="1" applyFill="1" applyAlignment="1">
      <alignment vertical="center"/>
    </xf>
    <xf numFmtId="0" fontId="2" fillId="15" borderId="0" xfId="0" applyFont="1" applyFill="1"/>
    <xf numFmtId="44" fontId="19" fillId="6" borderId="33" xfId="15" applyFont="1" applyFill="1" applyBorder="1" applyAlignment="1">
      <alignment horizontal="center" vertical="center"/>
    </xf>
    <xf numFmtId="0" fontId="38" fillId="19" borderId="19" xfId="0" applyFont="1" applyFill="1" applyBorder="1"/>
    <xf numFmtId="0" fontId="34" fillId="17" borderId="23" xfId="12" applyFont="1" applyFill="1" applyBorder="1" applyAlignment="1">
      <alignment horizontal="center" vertical="center" wrapText="1"/>
    </xf>
    <xf numFmtId="166" fontId="27" fillId="3" borderId="1" xfId="1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vertical="center"/>
    </xf>
    <xf numFmtId="3" fontId="19" fillId="19" borderId="1" xfId="8" applyFill="1" applyBorder="1" applyProtection="1">
      <alignment horizontal="center" vertical="center"/>
      <protection locked="0"/>
    </xf>
    <xf numFmtId="3" fontId="19" fillId="19" borderId="11" xfId="8" applyFill="1" applyBorder="1" applyProtection="1">
      <alignment horizontal="center" vertical="center"/>
      <protection locked="0"/>
    </xf>
    <xf numFmtId="3" fontId="19" fillId="19" borderId="15" xfId="8" applyFill="1" applyBorder="1" applyProtection="1">
      <alignment horizontal="center" vertical="center"/>
      <protection locked="0"/>
    </xf>
    <xf numFmtId="3" fontId="19" fillId="19" borderId="16" xfId="8" applyFill="1" applyBorder="1" applyProtection="1">
      <alignment horizontal="center" vertical="center"/>
      <protection locked="0"/>
    </xf>
    <xf numFmtId="3" fontId="1" fillId="20" borderId="1" xfId="8" applyFont="1" applyFill="1" applyBorder="1" applyProtection="1">
      <alignment horizontal="center" vertical="center"/>
      <protection locked="0"/>
    </xf>
    <xf numFmtId="0" fontId="20" fillId="15" borderId="0" xfId="0" applyFont="1" applyFill="1" applyAlignment="1">
      <alignment horizontal="center" vertical="center"/>
    </xf>
    <xf numFmtId="0" fontId="22" fillId="15" borderId="0" xfId="10" applyFill="1" applyAlignment="1">
      <alignment horizontal="center" vertical="center"/>
    </xf>
    <xf numFmtId="0" fontId="20" fillId="15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11" fillId="15" borderId="0" xfId="0" applyFont="1" applyFill="1" applyAlignment="1">
      <alignment horizontal="center"/>
    </xf>
    <xf numFmtId="0" fontId="22" fillId="15" borderId="0" xfId="10" applyFill="1">
      <alignment horizontal="left" vertical="center"/>
    </xf>
    <xf numFmtId="0" fontId="26" fillId="4" borderId="10" xfId="0" applyFont="1" applyFill="1" applyBorder="1" applyAlignment="1">
      <alignment horizontal="left" vertical="center"/>
    </xf>
    <xf numFmtId="0" fontId="26" fillId="4" borderId="5" xfId="0" applyFont="1" applyFill="1" applyBorder="1" applyAlignment="1">
      <alignment horizontal="left" vertical="center"/>
    </xf>
    <xf numFmtId="0" fontId="37" fillId="13" borderId="2" xfId="0" applyFont="1" applyFill="1" applyBorder="1" applyAlignment="1">
      <alignment horizontal="center" vertical="center"/>
    </xf>
    <xf numFmtId="0" fontId="37" fillId="13" borderId="3" xfId="0" applyFont="1" applyFill="1" applyBorder="1" applyAlignment="1">
      <alignment horizontal="center" vertical="center"/>
    </xf>
    <xf numFmtId="0" fontId="37" fillId="13" borderId="26" xfId="0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 vertical="center"/>
    </xf>
    <xf numFmtId="0" fontId="19" fillId="10" borderId="12" xfId="0" applyFont="1" applyFill="1" applyBorder="1" applyAlignment="1" applyProtection="1">
      <alignment horizontal="left" vertical="center"/>
      <protection locked="0"/>
    </xf>
    <xf numFmtId="0" fontId="19" fillId="10" borderId="1" xfId="0" applyFont="1" applyFill="1" applyBorder="1" applyAlignment="1" applyProtection="1">
      <alignment horizontal="left" vertical="center"/>
      <protection locked="0"/>
    </xf>
    <xf numFmtId="0" fontId="19" fillId="10" borderId="10" xfId="0" applyFont="1" applyFill="1" applyBorder="1" applyAlignment="1" applyProtection="1">
      <alignment horizontal="left" vertical="center"/>
      <protection locked="0"/>
    </xf>
    <xf numFmtId="0" fontId="19" fillId="10" borderId="6" xfId="0" applyFont="1" applyFill="1" applyBorder="1" applyAlignment="1" applyProtection="1">
      <alignment horizontal="left" vertical="center"/>
      <protection locked="0"/>
    </xf>
    <xf numFmtId="0" fontId="19" fillId="10" borderId="5" xfId="0" applyFont="1" applyFill="1" applyBorder="1" applyAlignment="1" applyProtection="1">
      <alignment horizontal="left" vertical="center"/>
      <protection locked="0"/>
    </xf>
    <xf numFmtId="0" fontId="0" fillId="15" borderId="0" xfId="0" applyFill="1"/>
    <xf numFmtId="0" fontId="19" fillId="10" borderId="10" xfId="0" applyFont="1" applyFill="1" applyBorder="1" applyAlignment="1">
      <alignment horizontal="left" vertical="center" wrapText="1"/>
    </xf>
    <xf numFmtId="0" fontId="19" fillId="10" borderId="5" xfId="0" applyFont="1" applyFill="1" applyBorder="1" applyAlignment="1">
      <alignment horizontal="left" vertical="center" wrapText="1"/>
    </xf>
    <xf numFmtId="0" fontId="19" fillId="10" borderId="20" xfId="0" applyFont="1" applyFill="1" applyBorder="1" applyAlignment="1">
      <alignment horizontal="left" wrapText="1"/>
    </xf>
    <xf numFmtId="0" fontId="19" fillId="10" borderId="21" xfId="0" applyFont="1" applyFill="1" applyBorder="1" applyAlignment="1">
      <alignment horizontal="left" wrapText="1"/>
    </xf>
    <xf numFmtId="0" fontId="1" fillId="10" borderId="10" xfId="0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Alignment="1" applyProtection="1">
      <alignment horizontal="left" vertical="center"/>
      <protection locked="0"/>
    </xf>
    <xf numFmtId="0" fontId="3" fillId="10" borderId="6" xfId="0" applyFont="1" applyFill="1" applyBorder="1" applyAlignment="1" applyProtection="1">
      <alignment horizontal="left" vertical="center"/>
      <protection locked="0"/>
    </xf>
    <xf numFmtId="0" fontId="3" fillId="10" borderId="5" xfId="0" applyFont="1" applyFill="1" applyBorder="1" applyAlignment="1" applyProtection="1">
      <alignment horizontal="left" vertical="center"/>
      <protection locked="0"/>
    </xf>
    <xf numFmtId="0" fontId="19" fillId="10" borderId="10" xfId="0" applyFont="1" applyFill="1" applyBorder="1" applyAlignment="1" applyProtection="1">
      <alignment horizontal="center" vertical="center"/>
      <protection locked="0"/>
    </xf>
    <xf numFmtId="0" fontId="19" fillId="10" borderId="6" xfId="0" applyFont="1" applyFill="1" applyBorder="1" applyAlignment="1" applyProtection="1">
      <alignment horizontal="center" vertical="center"/>
      <protection locked="0"/>
    </xf>
    <xf numFmtId="0" fontId="19" fillId="10" borderId="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0" fontId="26" fillId="4" borderId="20" xfId="0" applyFont="1" applyFill="1" applyBorder="1" applyAlignment="1">
      <alignment horizontal="left" vertical="center"/>
    </xf>
    <xf numFmtId="0" fontId="26" fillId="4" borderId="21" xfId="0" applyFont="1" applyFill="1" applyBorder="1" applyAlignment="1">
      <alignment horizontal="left" vertical="center"/>
    </xf>
    <xf numFmtId="0" fontId="21" fillId="5" borderId="17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left" vertical="center"/>
    </xf>
    <xf numFmtId="0" fontId="34" fillId="17" borderId="22" xfId="12" applyFont="1" applyFill="1" applyBorder="1" applyAlignment="1">
      <alignment horizontal="center" vertical="center" wrapText="1"/>
    </xf>
    <xf numFmtId="0" fontId="34" fillId="17" borderId="23" xfId="12" applyFont="1" applyFill="1" applyBorder="1" applyAlignment="1">
      <alignment horizontal="center" vertical="center" wrapText="1"/>
    </xf>
  </cellXfs>
  <cellStyles count="16">
    <cellStyle name="EUR" xfId="4"/>
    <cellStyle name="EUR/MWh" xfId="9"/>
    <cellStyle name="Faktor" xfId="13"/>
    <cellStyle name="kWh" xfId="8"/>
    <cellStyle name="kWh 2" xfId="14"/>
    <cellStyle name="Naslov" xfId="2" builtinId="15" customBuiltin="1"/>
    <cellStyle name="Naslov m" xfId="10"/>
    <cellStyle name="Naslov v" xfId="11"/>
    <cellStyle name="Navadno" xfId="0" builtinId="0"/>
    <cellStyle name="Navadno 2 2" xfId="12"/>
    <cellStyle name="Normal 2" xfId="3"/>
    <cellStyle name="Odstotek" xfId="1" builtinId="5"/>
    <cellStyle name="Odstotek 3" xfId="5"/>
    <cellStyle name="Percent 2" xfId="7"/>
    <cellStyle name="Valuta" xfId="15" builtinId="4"/>
    <cellStyle name="Valut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gedoo.sharepoint.com/development/Development/Public/01_SLO/MORS_Boh_Bela_Brnik/02%20-%20Feasibility%20&amp;%20CBA/01%20Analiza%20JZP/MORS_BBela/02%20Izra&#269;uni/BB_SKUPNA/MORS_BBela_SKUPNA_2x500_ver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gedoo.sharepoint.com/development/Development/Public/01_SLO/MORS_Boh_Bela_Brnik/02%20-%20Feasibility%20&amp;%20CBA/01%20Analiza%20JZP/MORS_LBBrnik/02%20Izra&#269;uni/MORS_VLB%20Brnik_2021_ve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REPI"/>
      <sheetName val="1.1 Referenčne vrednosti"/>
      <sheetName val="1.0 Energenti"/>
      <sheetName val="1.2 Razdelitev rabe"/>
      <sheetName val="2.0 Energetsko upravljanje"/>
      <sheetName val="2.1 Izolacija fasade"/>
      <sheetName val="2.2 Izolacija streh_podstrešij"/>
      <sheetName val="2.3 Prenova stavbnega pohištva"/>
      <sheetName val="3.1 Prenova ogrevalnega sistema"/>
      <sheetName val="3.2 Prenova toplotne postaje"/>
      <sheetName val="3.4 Prenova prezračevanja"/>
      <sheetName val="3.2 Prenova razvoda DO"/>
      <sheetName val="3.3 Prenova TP"/>
      <sheetName val="3.4 Vgradnja TV in TG in HI"/>
      <sheetName val="3.5 Prenova prezračevanjaX"/>
      <sheetName val="4.1 Prenova razsvetljave"/>
      <sheetName val="4.2 Prenova kuhinjskih kotlov"/>
      <sheetName val="7. Vgradnja term. pip_x"/>
      <sheetName val="Obračun - Toplota"/>
      <sheetName val="Obračun - Elektrika"/>
      <sheetName val="Obračun - Vzdrževanje"/>
      <sheetName val="Obračun - Skupaj"/>
      <sheetName val="DTP"/>
      <sheetName val="Emisije CO2"/>
    </sheetNames>
    <sheetDataSet>
      <sheetData sheetId="0">
        <row r="74">
          <cell r="H74">
            <v>1485335.3021852796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M9">
            <v>778168.36680216528</v>
          </cell>
        </row>
      </sheetData>
      <sheetData sheetId="19">
        <row r="7">
          <cell r="H7">
            <v>242980.76579120322</v>
          </cell>
        </row>
      </sheetData>
      <sheetData sheetId="20">
        <row r="6">
          <cell r="C6">
            <v>45025.678169398918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REPI"/>
      <sheetName val="1.0 Energenti"/>
      <sheetName val="1.1 Referenčne vrednosti"/>
      <sheetName val="2.1 Izolacija fasade"/>
      <sheetName val="2.2 Izolacija strehe"/>
      <sheetName val="2.3 Prenova stavbnega pohištva"/>
      <sheetName val="Energetsko upravljanje"/>
      <sheetName val="3.1 Prenova ogrevalnega sistema"/>
      <sheetName val="3.2 Vgradnja TV in TG in HI"/>
      <sheetName val="3.3 Prenova toplotne postaje"/>
      <sheetName val="3.4 Vzpostavitev ogrevanja 107"/>
      <sheetName val="4.1 Prenova razsvetljave"/>
      <sheetName val="Obračun - Toplota"/>
      <sheetName val="Obračun - Elektrika"/>
      <sheetName val="Obračun - Vzdrževanje"/>
      <sheetName val="Obračun - Skupaj"/>
      <sheetName val="Povzetek ukrepovX"/>
      <sheetName val="ScenarijaX"/>
      <sheetName val="METEOROLOŠKI POD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Q9">
            <v>1225628.9472524396</v>
          </cell>
        </row>
      </sheetData>
      <sheetData sheetId="13">
        <row r="7">
          <cell r="H7">
            <v>268879.46683856496</v>
          </cell>
        </row>
      </sheetData>
      <sheetData sheetId="14">
        <row r="6">
          <cell r="C6">
            <v>11981.94423114754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47"/>
  <sheetViews>
    <sheetView view="pageBreakPreview" topLeftCell="A55" zoomScaleNormal="100" zoomScaleSheetLayoutView="100" workbookViewId="0">
      <selection activeCell="H28" sqref="H28"/>
    </sheetView>
  </sheetViews>
  <sheetFormatPr defaultColWidth="9.109375" defaultRowHeight="13.8" x14ac:dyDescent="0.25"/>
  <cols>
    <col min="1" max="4" width="9.109375" style="216"/>
    <col min="5" max="5" width="9.109375" style="215"/>
    <col min="6" max="16384" width="9.109375" style="216"/>
  </cols>
  <sheetData>
    <row r="12" spans="1:9" x14ac:dyDescent="0.25">
      <c r="H12" s="69"/>
    </row>
    <row r="14" spans="1:9" x14ac:dyDescent="0.25">
      <c r="A14" s="427" t="s">
        <v>203</v>
      </c>
      <c r="B14" s="427"/>
      <c r="C14" s="427"/>
      <c r="D14" s="427"/>
      <c r="E14" s="427"/>
      <c r="F14" s="427"/>
      <c r="G14" s="427"/>
      <c r="H14" s="427"/>
      <c r="I14" s="427"/>
    </row>
    <row r="15" spans="1:9" x14ac:dyDescent="0.25">
      <c r="A15" s="427"/>
      <c r="B15" s="427"/>
      <c r="C15" s="427"/>
      <c r="D15" s="427"/>
      <c r="E15" s="427"/>
      <c r="F15" s="427"/>
      <c r="G15" s="427"/>
      <c r="H15" s="427"/>
      <c r="I15" s="427"/>
    </row>
    <row r="16" spans="1:9" ht="34.5" customHeight="1" x14ac:dyDescent="0.25">
      <c r="A16" s="427"/>
      <c r="B16" s="427"/>
      <c r="C16" s="427"/>
      <c r="D16" s="427"/>
      <c r="E16" s="427"/>
      <c r="F16" s="427"/>
      <c r="G16" s="427"/>
      <c r="H16" s="427"/>
      <c r="I16" s="427"/>
    </row>
    <row r="19" spans="1:9" ht="22.8" x14ac:dyDescent="0.25">
      <c r="A19" s="425" t="s">
        <v>219</v>
      </c>
      <c r="B19" s="425"/>
      <c r="C19" s="425"/>
      <c r="D19" s="425"/>
      <c r="E19" s="425"/>
      <c r="F19" s="425"/>
      <c r="G19" s="425"/>
      <c r="H19" s="425"/>
      <c r="I19" s="425"/>
    </row>
    <row r="20" spans="1:9" ht="14.4" x14ac:dyDescent="0.25">
      <c r="E20" s="291" t="s">
        <v>222</v>
      </c>
    </row>
    <row r="21" spans="1:9" ht="14.4" x14ac:dyDescent="0.25">
      <c r="E21" s="291" t="s">
        <v>228</v>
      </c>
    </row>
    <row r="22" spans="1:9" ht="12.75" customHeight="1" x14ac:dyDescent="0.25"/>
    <row r="23" spans="1:9" ht="23.25" customHeight="1" x14ac:dyDescent="0.25"/>
    <row r="25" spans="1:9" ht="29.25" customHeight="1" x14ac:dyDescent="0.25"/>
    <row r="27" spans="1:9" ht="15" customHeight="1" x14ac:dyDescent="0.25">
      <c r="D27" s="426" t="s">
        <v>106</v>
      </c>
      <c r="E27" s="426"/>
      <c r="F27" s="426"/>
    </row>
    <row r="28" spans="1:9" ht="15" customHeight="1" x14ac:dyDescent="0.25">
      <c r="C28" s="217"/>
      <c r="D28" s="430" t="s">
        <v>204</v>
      </c>
      <c r="E28" s="428"/>
      <c r="F28" s="428"/>
      <c r="G28" s="69"/>
    </row>
    <row r="29" spans="1:9" x14ac:dyDescent="0.25">
      <c r="C29" s="217"/>
      <c r="D29" s="430" t="s">
        <v>9</v>
      </c>
      <c r="E29" s="428"/>
      <c r="F29" s="428"/>
      <c r="G29" s="69"/>
    </row>
    <row r="30" spans="1:9" x14ac:dyDescent="0.25">
      <c r="C30" s="217"/>
      <c r="D30" s="430" t="s">
        <v>8</v>
      </c>
      <c r="E30" s="428"/>
      <c r="F30" s="428"/>
      <c r="G30" s="69"/>
    </row>
    <row r="31" spans="1:9" x14ac:dyDescent="0.25">
      <c r="C31" s="217"/>
      <c r="D31" s="429" t="s">
        <v>229</v>
      </c>
      <c r="E31" s="428"/>
      <c r="F31" s="428"/>
      <c r="G31" s="69"/>
    </row>
    <row r="32" spans="1:9" x14ac:dyDescent="0.25">
      <c r="C32" s="217"/>
      <c r="D32" s="430" t="s">
        <v>107</v>
      </c>
      <c r="E32" s="428"/>
      <c r="F32" s="428"/>
      <c r="G32" s="69"/>
    </row>
    <row r="33" spans="3:7" x14ac:dyDescent="0.25">
      <c r="C33" s="217"/>
      <c r="D33" s="430" t="s">
        <v>156</v>
      </c>
      <c r="E33" s="428"/>
      <c r="F33" s="428"/>
      <c r="G33" s="69"/>
    </row>
    <row r="34" spans="3:7" x14ac:dyDescent="0.25">
      <c r="C34" s="217"/>
      <c r="D34" s="429" t="s">
        <v>230</v>
      </c>
      <c r="E34" s="428"/>
      <c r="F34" s="428"/>
      <c r="G34" s="69"/>
    </row>
    <row r="35" spans="3:7" x14ac:dyDescent="0.25">
      <c r="C35" s="217"/>
      <c r="D35" s="430" t="s">
        <v>205</v>
      </c>
      <c r="E35" s="428"/>
      <c r="F35" s="428"/>
      <c r="G35" s="69"/>
    </row>
    <row r="36" spans="3:7" x14ac:dyDescent="0.25">
      <c r="C36" s="217"/>
      <c r="D36" s="428"/>
      <c r="E36" s="428"/>
      <c r="F36" s="428"/>
      <c r="G36" s="69"/>
    </row>
    <row r="37" spans="3:7" x14ac:dyDescent="0.25">
      <c r="C37" s="217"/>
      <c r="D37" s="428"/>
      <c r="E37" s="428"/>
      <c r="F37" s="428"/>
      <c r="G37" s="69"/>
    </row>
    <row r="38" spans="3:7" x14ac:dyDescent="0.25">
      <c r="C38" s="217"/>
      <c r="D38" s="428"/>
      <c r="E38" s="428"/>
      <c r="F38" s="428"/>
      <c r="G38" s="69"/>
    </row>
    <row r="39" spans="3:7" x14ac:dyDescent="0.25">
      <c r="C39" s="217"/>
      <c r="D39" s="428"/>
      <c r="E39" s="428"/>
      <c r="F39" s="428"/>
      <c r="G39" s="69"/>
    </row>
    <row r="40" spans="3:7" x14ac:dyDescent="0.25">
      <c r="C40" s="217"/>
      <c r="D40" s="428"/>
      <c r="E40" s="428"/>
      <c r="F40" s="428"/>
      <c r="G40" s="69"/>
    </row>
    <row r="41" spans="3:7" x14ac:dyDescent="0.25">
      <c r="C41" s="217"/>
      <c r="D41" s="428"/>
      <c r="E41" s="428"/>
      <c r="F41" s="428"/>
      <c r="G41" s="69"/>
    </row>
    <row r="42" spans="3:7" x14ac:dyDescent="0.25">
      <c r="C42" s="217"/>
      <c r="D42" s="428"/>
      <c r="E42" s="428"/>
      <c r="F42" s="428"/>
      <c r="G42" s="69"/>
    </row>
    <row r="43" spans="3:7" x14ac:dyDescent="0.25">
      <c r="C43" s="69"/>
      <c r="D43" s="69"/>
      <c r="F43" s="69"/>
      <c r="G43" s="69"/>
    </row>
    <row r="44" spans="3:7" x14ac:dyDescent="0.25">
      <c r="C44" s="69"/>
      <c r="D44" s="69"/>
      <c r="F44" s="69"/>
      <c r="G44" s="69"/>
    </row>
    <row r="45" spans="3:7" x14ac:dyDescent="0.25">
      <c r="D45" s="69"/>
      <c r="E45" s="218"/>
      <c r="F45" s="69"/>
      <c r="G45" s="69"/>
    </row>
    <row r="46" spans="3:7" x14ac:dyDescent="0.25">
      <c r="D46" s="69"/>
      <c r="E46" s="218"/>
      <c r="F46" s="69"/>
      <c r="G46" s="69"/>
    </row>
    <row r="47" spans="3:7" x14ac:dyDescent="0.25">
      <c r="D47" s="69"/>
      <c r="E47" s="218"/>
      <c r="F47" s="69"/>
      <c r="G47" s="69"/>
    </row>
  </sheetData>
  <mergeCells count="18">
    <mergeCell ref="D40:F40"/>
    <mergeCell ref="D41:F41"/>
    <mergeCell ref="A19:I19"/>
    <mergeCell ref="D27:F27"/>
    <mergeCell ref="A14:I16"/>
    <mergeCell ref="D42:F42"/>
    <mergeCell ref="D31:F31"/>
    <mergeCell ref="D30:F30"/>
    <mergeCell ref="D29:F29"/>
    <mergeCell ref="D28:F28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25" right="0.25" top="0.75" bottom="0.75" header="0.3" footer="0.3"/>
  <pageSetup paperSize="9" scale="6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6"/>
  <sheetViews>
    <sheetView view="pageBreakPreview" topLeftCell="A7" zoomScaleNormal="100" zoomScaleSheetLayoutView="100" workbookViewId="0">
      <selection activeCell="J38" sqref="J38"/>
    </sheetView>
  </sheetViews>
  <sheetFormatPr defaultColWidth="9.109375" defaultRowHeight="13.2" x14ac:dyDescent="0.25"/>
  <cols>
    <col min="1" max="1" width="5.6640625" style="69" customWidth="1"/>
    <col min="2" max="2" width="33.5546875" style="69" customWidth="1"/>
    <col min="3" max="3" width="15.109375" style="69" customWidth="1"/>
    <col min="4" max="4" width="15.6640625" style="69" customWidth="1"/>
    <col min="5" max="6" width="12.6640625" style="69" customWidth="1"/>
    <col min="7" max="7" width="14.88671875" style="69" customWidth="1"/>
    <col min="8" max="8" width="12.6640625" style="69" customWidth="1"/>
    <col min="9" max="9" width="5.6640625" style="69" customWidth="1"/>
    <col min="10" max="16384" width="9.109375" style="69"/>
  </cols>
  <sheetData>
    <row r="2" spans="2:9" ht="21" x14ac:dyDescent="0.25">
      <c r="B2" s="74" t="s">
        <v>145</v>
      </c>
    </row>
    <row r="3" spans="2:9" ht="12" customHeight="1" thickBot="1" x14ac:dyDescent="0.3"/>
    <row r="4" spans="2:9" ht="15" customHeight="1" x14ac:dyDescent="0.25">
      <c r="B4" s="26" t="s">
        <v>52</v>
      </c>
      <c r="C4" s="27"/>
      <c r="D4" s="28"/>
      <c r="I4" s="207"/>
    </row>
    <row r="5" spans="2:9" ht="15" customHeight="1" x14ac:dyDescent="0.25">
      <c r="B5" s="432" t="s">
        <v>5</v>
      </c>
      <c r="C5" s="433"/>
      <c r="D5" s="11">
        <v>2</v>
      </c>
      <c r="I5" s="207"/>
    </row>
    <row r="6" spans="2:9" ht="15" customHeight="1" x14ac:dyDescent="0.25">
      <c r="B6" s="432" t="s">
        <v>4</v>
      </c>
      <c r="C6" s="433"/>
      <c r="D6" s="11" t="str">
        <f>INDEX('Referenčne količine'!$B$4:$E$14,MATCH(B6,('Referenčne količine'!$B$4:$B$14),0),MATCH($D$5,'Referenčne količine'!$B$5:$E$5,0))</f>
        <v>OB02</v>
      </c>
      <c r="I6" s="207"/>
    </row>
    <row r="7" spans="2:9" ht="27" thickBot="1" x14ac:dyDescent="0.3">
      <c r="B7" s="464" t="s">
        <v>3</v>
      </c>
      <c r="C7" s="465"/>
      <c r="D7" s="288" t="str">
        <f>INDEX('Referenčne količine'!$B$4:$E$14,MATCH(B7,('Referenčne količine'!$B$4:$B$14),0),MATCH($D$5,'Referenčne količine'!$B$5:$E$5,0))</f>
        <v>Letalska baza Brnik</v>
      </c>
    </row>
    <row r="8" spans="2:9" ht="7.95" customHeight="1" x14ac:dyDescent="0.25"/>
    <row r="9" spans="2:9" ht="15" customHeight="1" thickBot="1" x14ac:dyDescent="0.3">
      <c r="B9" s="369" t="s">
        <v>138</v>
      </c>
    </row>
    <row r="10" spans="2:9" ht="15" customHeight="1" x14ac:dyDescent="0.25">
      <c r="B10" s="135" t="s">
        <v>139</v>
      </c>
      <c r="C10" s="197">
        <f ca="1">D65</f>
        <v>106532.99</v>
      </c>
    </row>
    <row r="11" spans="2:9" ht="15" customHeight="1" x14ac:dyDescent="0.25">
      <c r="B11" s="24" t="s">
        <v>140</v>
      </c>
      <c r="C11" s="198">
        <f ca="1">D23</f>
        <v>24812.197199862778</v>
      </c>
    </row>
    <row r="12" spans="2:9" ht="15" customHeight="1" x14ac:dyDescent="0.25">
      <c r="B12" s="24" t="s">
        <v>141</v>
      </c>
      <c r="C12" s="198">
        <f ca="1">D29</f>
        <v>11981.94423114754</v>
      </c>
    </row>
    <row r="13" spans="2:9" ht="15" customHeight="1" x14ac:dyDescent="0.25">
      <c r="B13" s="24" t="s">
        <v>142</v>
      </c>
      <c r="C13" s="198">
        <f ca="1">SUM(C10:C12)</f>
        <v>143327.13143101032</v>
      </c>
    </row>
    <row r="14" spans="2:9" ht="15" customHeight="1" x14ac:dyDescent="0.25">
      <c r="B14" s="24" t="s">
        <v>143</v>
      </c>
      <c r="C14" s="198">
        <f ca="1">INDIRECT($D$6&amp;"!E85")</f>
        <v>143327.13143101032</v>
      </c>
    </row>
    <row r="15" spans="2:9" ht="27" thickBot="1" x14ac:dyDescent="0.3">
      <c r="B15" s="204" t="s">
        <v>127</v>
      </c>
      <c r="C15" s="199">
        <f ca="1">C13-C14</f>
        <v>0</v>
      </c>
    </row>
    <row r="16" spans="2:9" ht="7.95" customHeight="1" x14ac:dyDescent="0.25"/>
    <row r="17" spans="2:10" ht="15" customHeight="1" thickBot="1" x14ac:dyDescent="0.3">
      <c r="B17" s="369" t="s">
        <v>134</v>
      </c>
      <c r="F17" s="205" t="s">
        <v>128</v>
      </c>
      <c r="G17" s="206"/>
    </row>
    <row r="18" spans="2:10" ht="15" customHeight="1" x14ac:dyDescent="0.25">
      <c r="B18" s="274" t="s">
        <v>16</v>
      </c>
      <c r="C18" s="186"/>
      <c r="D18" s="42" t="s">
        <v>109</v>
      </c>
      <c r="F18" s="200" t="s">
        <v>14</v>
      </c>
      <c r="G18" s="201">
        <f ca="1">INDIRECT($D$6&amp;"!E61")</f>
        <v>83</v>
      </c>
    </row>
    <row r="19" spans="2:10" ht="15" customHeight="1" x14ac:dyDescent="0.25">
      <c r="B19" s="22" t="s">
        <v>108</v>
      </c>
      <c r="C19" s="10" t="s">
        <v>18</v>
      </c>
      <c r="D19" s="94">
        <f ca="1">INDIRECT($D$6&amp;"!D26")</f>
        <v>662658</v>
      </c>
      <c r="F19" s="133" t="s">
        <v>15</v>
      </c>
      <c r="G19" s="202">
        <f ca="1">INDIRECT($D$6&amp;"!E62")</f>
        <v>0</v>
      </c>
    </row>
    <row r="20" spans="2:10" ht="15" customHeight="1" x14ac:dyDescent="0.25">
      <c r="B20" s="22" t="s">
        <v>129</v>
      </c>
      <c r="C20" s="10" t="s">
        <v>24</v>
      </c>
      <c r="D20" s="192">
        <f ca="1">INDIRECT($D$6&amp;"!D35")</f>
        <v>61150.080240000003</v>
      </c>
      <c r="F20" s="133" t="s">
        <v>116</v>
      </c>
      <c r="G20" s="202">
        <f ca="1">INDIRECT($D$6&amp;"!E63")</f>
        <v>42.2</v>
      </c>
    </row>
    <row r="21" spans="2:10" ht="15" customHeight="1" thickBot="1" x14ac:dyDescent="0.3">
      <c r="B21" s="22" t="s">
        <v>136</v>
      </c>
      <c r="C21" s="10" t="s">
        <v>18</v>
      </c>
      <c r="D21" s="94">
        <f ca="1">INDIRECT($D$6&amp;"!E72")</f>
        <v>393778.53316143504</v>
      </c>
      <c r="F21" s="52" t="s">
        <v>75</v>
      </c>
      <c r="G21" s="203">
        <f ca="1">INDIRECT($D$6&amp;"!E73")</f>
        <v>92.28</v>
      </c>
    </row>
    <row r="22" spans="2:10" ht="15" customHeight="1" x14ac:dyDescent="0.25">
      <c r="B22" s="22" t="s">
        <v>137</v>
      </c>
      <c r="C22" s="10" t="s">
        <v>24</v>
      </c>
      <c r="D22" s="192">
        <f ca="1">INDIRECT($D$6&amp;"!E75")</f>
        <v>36337.883040137225</v>
      </c>
    </row>
    <row r="23" spans="2:10" ht="15" customHeight="1" thickBot="1" x14ac:dyDescent="0.3">
      <c r="B23" s="187" t="s">
        <v>144</v>
      </c>
      <c r="C23" s="188" t="s">
        <v>24</v>
      </c>
      <c r="D23" s="193">
        <f ca="1">INDIRECT($D$6&amp;"!E76")</f>
        <v>24812.197199862778</v>
      </c>
    </row>
    <row r="24" spans="2:10" ht="7.95" customHeight="1" x14ac:dyDescent="0.25"/>
    <row r="25" spans="2:10" ht="16.2" thickBot="1" x14ac:dyDescent="0.3">
      <c r="B25" s="369" t="s">
        <v>135</v>
      </c>
      <c r="F25" s="369" t="s">
        <v>165</v>
      </c>
    </row>
    <row r="26" spans="2:10" ht="15" customHeight="1" x14ac:dyDescent="0.25">
      <c r="B26" s="277" t="s">
        <v>16</v>
      </c>
      <c r="C26" s="190"/>
      <c r="D26" s="191" t="s">
        <v>109</v>
      </c>
      <c r="F26" s="468" t="s">
        <v>163</v>
      </c>
      <c r="G26" s="468"/>
      <c r="H26" s="233">
        <f>HLOOKUP($D$6,'Neodvisne spremenljivke'!$E$7:E12,4)</f>
        <v>3298</v>
      </c>
      <c r="J26" s="367"/>
    </row>
    <row r="27" spans="2:10" ht="15" customHeight="1" x14ac:dyDescent="0.25">
      <c r="B27" s="132" t="s">
        <v>129</v>
      </c>
      <c r="C27" s="16" t="s">
        <v>24</v>
      </c>
      <c r="D27" s="118">
        <f ca="1">INDIRECT($D$6&amp;"!D37")</f>
        <v>11981.94423114754</v>
      </c>
      <c r="F27" s="468" t="s">
        <v>164</v>
      </c>
      <c r="G27" s="468"/>
      <c r="H27" s="233">
        <f>HLOOKUP($D$6,'Neodvisne spremenljivke'!$D$7:D13,5)</f>
        <v>0</v>
      </c>
    </row>
    <row r="28" spans="2:10" ht="15" customHeight="1" x14ac:dyDescent="0.25">
      <c r="B28" s="132" t="s">
        <v>78</v>
      </c>
      <c r="C28" s="16" t="s">
        <v>24</v>
      </c>
      <c r="D28" s="118">
        <f ca="1">INDIRECT($D$6&amp;"!E80")</f>
        <v>0</v>
      </c>
      <c r="F28" s="469" t="s">
        <v>161</v>
      </c>
      <c r="G28" s="469"/>
      <c r="H28" s="289">
        <f>HLOOKUP($D$6,'Neodvisne spremenljivke'!$D$7:D14,6)</f>
        <v>1</v>
      </c>
    </row>
    <row r="29" spans="2:10" ht="15" customHeight="1" thickBot="1" x14ac:dyDescent="0.3">
      <c r="B29" s="194" t="s">
        <v>86</v>
      </c>
      <c r="C29" s="195" t="s">
        <v>24</v>
      </c>
      <c r="D29" s="196">
        <f ca="1">INDIRECT($D$6&amp;"!E81")</f>
        <v>11981.94423114754</v>
      </c>
      <c r="F29" s="470"/>
      <c r="G29" s="470"/>
      <c r="H29" s="233"/>
    </row>
    <row r="30" spans="2:10" ht="15" customHeight="1" x14ac:dyDescent="0.25">
      <c r="F30" s="470"/>
      <c r="G30" s="470"/>
      <c r="H30" s="233"/>
    </row>
    <row r="31" spans="2:10" ht="15" customHeight="1" x14ac:dyDescent="0.25">
      <c r="F31" s="469"/>
      <c r="G31" s="469"/>
      <c r="H31" s="289"/>
    </row>
    <row r="32" spans="2:10" ht="7.95" customHeight="1" x14ac:dyDescent="0.25"/>
    <row r="33" spans="2:8" ht="7.95" customHeight="1" x14ac:dyDescent="0.3">
      <c r="B33" s="370"/>
      <c r="C33" s="370"/>
      <c r="D33" s="370"/>
    </row>
    <row r="34" spans="2:8" ht="16.2" thickBot="1" x14ac:dyDescent="0.3">
      <c r="B34" s="369" t="s">
        <v>133</v>
      </c>
    </row>
    <row r="35" spans="2:8" ht="15" customHeight="1" thickBot="1" x14ac:dyDescent="0.3">
      <c r="B35" s="466" t="s">
        <v>13</v>
      </c>
      <c r="C35" s="467"/>
      <c r="D35" s="174" t="s">
        <v>109</v>
      </c>
      <c r="E35" s="174" t="s">
        <v>111</v>
      </c>
      <c r="F35" s="174" t="s">
        <v>110</v>
      </c>
      <c r="G35" s="174" t="s">
        <v>112</v>
      </c>
      <c r="H35" s="175" t="s">
        <v>114</v>
      </c>
    </row>
    <row r="36" spans="2:8" ht="15" customHeight="1" x14ac:dyDescent="0.25">
      <c r="B36" s="176" t="s">
        <v>113</v>
      </c>
      <c r="C36" s="177"/>
      <c r="D36" s="177"/>
      <c r="E36" s="177"/>
      <c r="F36" s="177"/>
      <c r="G36" s="177"/>
      <c r="H36" s="178"/>
    </row>
    <row r="37" spans="2:8" ht="15" customHeight="1" x14ac:dyDescent="0.25">
      <c r="B37" s="20" t="s">
        <v>14</v>
      </c>
      <c r="C37" s="15" t="s">
        <v>18</v>
      </c>
      <c r="D37" s="90">
        <f ca="1">INDIRECT($D$6&amp;"!D14")</f>
        <v>1283530</v>
      </c>
      <c r="E37" s="90">
        <f ca="1">INDIRECT($D$6&amp;"!D15")</f>
        <v>1125632</v>
      </c>
      <c r="F37" s="90">
        <f ca="1">INDIRECT($D$6&amp;"!D16")</f>
        <v>105266</v>
      </c>
      <c r="G37" s="90">
        <f ca="1">INDIRECT($D$6&amp;"!D17")</f>
        <v>52633</v>
      </c>
      <c r="H37" s="91">
        <f ca="1">INDIRECT($D$6&amp;"!D18")</f>
        <v>0</v>
      </c>
    </row>
    <row r="38" spans="2:8" ht="15" customHeight="1" thickBot="1" x14ac:dyDescent="0.3">
      <c r="B38" s="179" t="s">
        <v>129</v>
      </c>
      <c r="C38" s="171" t="s">
        <v>24</v>
      </c>
      <c r="D38" s="180">
        <f ca="1">INDIRECT($D$6&amp;"!D22")+INDIRECT($D$6&amp;"!D34")</f>
        <v>106532.99</v>
      </c>
      <c r="E38" s="172"/>
      <c r="F38" s="172"/>
      <c r="G38" s="172"/>
      <c r="H38" s="173"/>
    </row>
    <row r="39" spans="2:8" ht="15" customHeight="1" x14ac:dyDescent="0.25">
      <c r="B39" s="458" t="s">
        <v>121</v>
      </c>
      <c r="C39" s="459"/>
      <c r="D39" s="459"/>
      <c r="E39" s="459"/>
      <c r="F39" s="459"/>
      <c r="G39" s="459"/>
      <c r="H39" s="460"/>
    </row>
    <row r="40" spans="2:8" ht="15" customHeight="1" x14ac:dyDescent="0.25">
      <c r="B40" s="20" t="s">
        <v>14</v>
      </c>
      <c r="C40" s="15" t="s">
        <v>18</v>
      </c>
      <c r="D40" s="90">
        <f ca="1">INDIRECT($D$6&amp;"!E58")</f>
        <v>0</v>
      </c>
      <c r="E40" s="90">
        <f ca="1">INDIRECT($D$6&amp;"!C92")</f>
        <v>0</v>
      </c>
      <c r="F40" s="90">
        <f ca="1">INDIRECT($D$6&amp;"!D92")</f>
        <v>0</v>
      </c>
      <c r="G40" s="90">
        <f ca="1">INDIRECT($D$6&amp;"!E92")</f>
        <v>0</v>
      </c>
      <c r="H40" s="91">
        <f ca="1">INDIRECT($D$6&amp;"!F92")</f>
        <v>0</v>
      </c>
    </row>
    <row r="41" spans="2:8" ht="15" customHeight="1" x14ac:dyDescent="0.25">
      <c r="B41" s="20" t="s">
        <v>15</v>
      </c>
      <c r="C41" s="15" t="s">
        <v>18</v>
      </c>
      <c r="D41" s="90">
        <f ca="1">INDIRECT($D$6&amp;"!E59")</f>
        <v>0</v>
      </c>
      <c r="E41" s="90">
        <f ca="1">INDIRECT($D$6&amp;"!C93")</f>
        <v>0</v>
      </c>
      <c r="F41" s="90">
        <f ca="1">INDIRECT($D$6&amp;"!D93")</f>
        <v>0</v>
      </c>
      <c r="G41" s="90">
        <f ca="1">INDIRECT($D$6&amp;"!E93")</f>
        <v>0</v>
      </c>
      <c r="H41" s="91">
        <f ca="1">INDIRECT($D$6&amp;"!F93")</f>
        <v>0</v>
      </c>
    </row>
    <row r="42" spans="2:8" ht="15" customHeight="1" x14ac:dyDescent="0.25">
      <c r="B42" s="20" t="s">
        <v>116</v>
      </c>
      <c r="C42" s="15" t="s">
        <v>18</v>
      </c>
      <c r="D42" s="90">
        <f ca="1">INDIRECT($D$6&amp;"!E60")</f>
        <v>0</v>
      </c>
      <c r="E42" s="90">
        <f ca="1">INDIRECT($D$6&amp;"!C94")</f>
        <v>0</v>
      </c>
      <c r="F42" s="90">
        <f ca="1">INDIRECT($D$6&amp;"!D94")</f>
        <v>0</v>
      </c>
      <c r="G42" s="90">
        <f ca="1">INDIRECT($D$6&amp;"!E94")</f>
        <v>0</v>
      </c>
      <c r="H42" s="91">
        <f ca="1">INDIRECT($D$6&amp;"!F94")</f>
        <v>0</v>
      </c>
    </row>
    <row r="43" spans="2:8" ht="15" customHeight="1" x14ac:dyDescent="0.25">
      <c r="B43" s="13" t="s">
        <v>125</v>
      </c>
      <c r="C43" s="6" t="s">
        <v>24</v>
      </c>
      <c r="D43" s="169">
        <f ca="1">INDIRECT($D$6&amp;"!E67")</f>
        <v>0</v>
      </c>
      <c r="E43" s="168"/>
      <c r="F43" s="168"/>
      <c r="G43" s="168"/>
      <c r="H43" s="170"/>
    </row>
    <row r="44" spans="2:8" ht="15" customHeight="1" thickBot="1" x14ac:dyDescent="0.3">
      <c r="B44" s="179" t="s">
        <v>72</v>
      </c>
      <c r="C44" s="171" t="s">
        <v>24</v>
      </c>
      <c r="D44" s="180">
        <f ca="1">INDIRECT($D$6&amp;"!E68")</f>
        <v>106532.99</v>
      </c>
      <c r="E44" s="172"/>
      <c r="F44" s="172"/>
      <c r="G44" s="172"/>
      <c r="H44" s="173"/>
    </row>
    <row r="45" spans="2:8" ht="15" customHeight="1" x14ac:dyDescent="0.25">
      <c r="B45" s="458" t="s">
        <v>122</v>
      </c>
      <c r="C45" s="459"/>
      <c r="D45" s="459"/>
      <c r="E45" s="459"/>
      <c r="F45" s="459"/>
      <c r="G45" s="459"/>
      <c r="H45" s="460"/>
    </row>
    <row r="46" spans="2:8" ht="15" customHeight="1" x14ac:dyDescent="0.25">
      <c r="B46" s="20" t="s">
        <v>14</v>
      </c>
      <c r="C46" s="15" t="s">
        <v>18</v>
      </c>
      <c r="D46" s="90">
        <f>SUM(E46:H46)</f>
        <v>0</v>
      </c>
      <c r="E46" s="315"/>
      <c r="F46" s="315"/>
      <c r="G46" s="315"/>
      <c r="H46" s="314"/>
    </row>
    <row r="47" spans="2:8" ht="15" customHeight="1" x14ac:dyDescent="0.25">
      <c r="B47" s="20" t="s">
        <v>15</v>
      </c>
      <c r="C47" s="15" t="s">
        <v>18</v>
      </c>
      <c r="D47" s="90">
        <f t="shared" ref="D47:D48" si="0">SUM(E47:H47)</f>
        <v>0</v>
      </c>
      <c r="E47" s="315"/>
      <c r="F47" s="315"/>
      <c r="G47" s="315"/>
      <c r="H47" s="314"/>
    </row>
    <row r="48" spans="2:8" ht="15" customHeight="1" x14ac:dyDescent="0.25">
      <c r="B48" s="20" t="s">
        <v>116</v>
      </c>
      <c r="C48" s="15" t="s">
        <v>18</v>
      </c>
      <c r="D48" s="90">
        <f t="shared" si="0"/>
        <v>0</v>
      </c>
      <c r="E48" s="315"/>
      <c r="F48" s="315"/>
      <c r="G48" s="315"/>
      <c r="H48" s="314"/>
    </row>
    <row r="49" spans="2:11" ht="15" customHeight="1" x14ac:dyDescent="0.25">
      <c r="B49" s="13" t="s">
        <v>131</v>
      </c>
      <c r="C49" s="6" t="s">
        <v>24</v>
      </c>
      <c r="D49" s="169">
        <f ca="1">D46*G18/1000+D47*G19/1000+D48*G20/1000</f>
        <v>0</v>
      </c>
      <c r="E49" s="168"/>
      <c r="F49" s="168"/>
      <c r="G49" s="168"/>
      <c r="H49" s="170"/>
    </row>
    <row r="50" spans="2:11" ht="15" customHeight="1" thickBot="1" x14ac:dyDescent="0.3">
      <c r="B50" s="179" t="s">
        <v>130</v>
      </c>
      <c r="C50" s="171" t="s">
        <v>24</v>
      </c>
      <c r="D50" s="180">
        <f ca="1">D38-D49</f>
        <v>106532.99</v>
      </c>
      <c r="E50" s="172"/>
      <c r="F50" s="172"/>
      <c r="G50" s="172"/>
      <c r="H50" s="173"/>
    </row>
    <row r="51" spans="2:11" ht="15" customHeight="1" x14ac:dyDescent="0.25">
      <c r="B51" s="458" t="s">
        <v>212</v>
      </c>
      <c r="C51" s="459"/>
      <c r="D51" s="459"/>
      <c r="E51" s="459"/>
      <c r="F51" s="459"/>
      <c r="G51" s="459"/>
      <c r="H51" s="460"/>
      <c r="I51" s="292"/>
    </row>
    <row r="52" spans="2:11" ht="15" customHeight="1" x14ac:dyDescent="0.25">
      <c r="B52" s="20" t="s">
        <v>123</v>
      </c>
      <c r="C52" s="15" t="s">
        <v>17</v>
      </c>
      <c r="D52" s="168"/>
      <c r="E52" s="287">
        <f>HLOOKUP($D$6,'Neodvisne spremenljivke'!E7:E12,6)</f>
        <v>1</v>
      </c>
      <c r="F52" s="287">
        <v>1</v>
      </c>
      <c r="G52" s="287">
        <f>HLOOKUP($D$6,'Neodvisne spremenljivke'!E7:E12,6)</f>
        <v>1</v>
      </c>
      <c r="H52" s="399">
        <v>1</v>
      </c>
      <c r="K52" s="367"/>
    </row>
    <row r="53" spans="2:11" ht="15" customHeight="1" x14ac:dyDescent="0.25">
      <c r="B53" s="20" t="s">
        <v>14</v>
      </c>
      <c r="C53" s="15" t="s">
        <v>18</v>
      </c>
      <c r="D53" s="90">
        <f>SUM(E53:H53)</f>
        <v>0</v>
      </c>
      <c r="E53" s="90">
        <f>E46*E$52</f>
        <v>0</v>
      </c>
      <c r="F53" s="90">
        <f t="shared" ref="F53:H53" si="1">F46*F$52</f>
        <v>0</v>
      </c>
      <c r="G53" s="90">
        <f>G46*G$52</f>
        <v>0</v>
      </c>
      <c r="H53" s="91">
        <f t="shared" si="1"/>
        <v>0</v>
      </c>
      <c r="K53" s="368"/>
    </row>
    <row r="54" spans="2:11" ht="15" customHeight="1" x14ac:dyDescent="0.25">
      <c r="B54" s="20" t="s">
        <v>15</v>
      </c>
      <c r="C54" s="15" t="s">
        <v>18</v>
      </c>
      <c r="D54" s="90">
        <f t="shared" ref="D54:D55" si="2">SUM(E54:H54)</f>
        <v>0</v>
      </c>
      <c r="E54" s="90">
        <f t="shared" ref="E54:H55" si="3">E47*E$52</f>
        <v>0</v>
      </c>
      <c r="F54" s="90">
        <f t="shared" si="3"/>
        <v>0</v>
      </c>
      <c r="G54" s="90">
        <f t="shared" si="3"/>
        <v>0</v>
      </c>
      <c r="H54" s="91">
        <f t="shared" si="3"/>
        <v>0</v>
      </c>
      <c r="K54" s="368"/>
    </row>
    <row r="55" spans="2:11" ht="15" customHeight="1" thickBot="1" x14ac:dyDescent="0.3">
      <c r="B55" s="20" t="s">
        <v>116</v>
      </c>
      <c r="C55" s="15" t="s">
        <v>18</v>
      </c>
      <c r="D55" s="90">
        <f t="shared" si="2"/>
        <v>0</v>
      </c>
      <c r="E55" s="90">
        <f>E48*E$52</f>
        <v>0</v>
      </c>
      <c r="F55" s="90">
        <f t="shared" si="3"/>
        <v>0</v>
      </c>
      <c r="G55" s="90">
        <f t="shared" si="3"/>
        <v>0</v>
      </c>
      <c r="H55" s="91">
        <f t="shared" si="3"/>
        <v>0</v>
      </c>
      <c r="K55" s="368"/>
    </row>
    <row r="56" spans="2:11" ht="15" customHeight="1" x14ac:dyDescent="0.25">
      <c r="B56" s="458" t="s">
        <v>234</v>
      </c>
      <c r="C56" s="459"/>
      <c r="D56" s="459"/>
      <c r="E56" s="459"/>
      <c r="F56" s="459"/>
      <c r="G56" s="459"/>
      <c r="H56" s="460"/>
      <c r="I56" s="292"/>
    </row>
    <row r="57" spans="2:11" ht="15" customHeight="1" x14ac:dyDescent="0.25">
      <c r="B57" s="20" t="s">
        <v>14</v>
      </c>
      <c r="C57" s="15" t="s">
        <v>18</v>
      </c>
      <c r="D57" s="90">
        <f>SUM(E57:H57)</f>
        <v>0</v>
      </c>
      <c r="E57" s="315">
        <v>0</v>
      </c>
      <c r="F57" s="315">
        <v>0</v>
      </c>
      <c r="G57" s="315">
        <v>0</v>
      </c>
      <c r="H57" s="314">
        <v>0</v>
      </c>
      <c r="K57" s="368"/>
    </row>
    <row r="58" spans="2:11" ht="15" customHeight="1" x14ac:dyDescent="0.25">
      <c r="B58" s="20" t="s">
        <v>15</v>
      </c>
      <c r="C58" s="15" t="s">
        <v>18</v>
      </c>
      <c r="D58" s="90">
        <f t="shared" ref="D58:D59" si="4">SUM(E58:H58)</f>
        <v>0</v>
      </c>
      <c r="E58" s="315">
        <v>0</v>
      </c>
      <c r="F58" s="315">
        <v>0</v>
      </c>
      <c r="G58" s="315">
        <v>0</v>
      </c>
      <c r="H58" s="314">
        <v>0</v>
      </c>
      <c r="K58" s="368"/>
    </row>
    <row r="59" spans="2:11" ht="15" customHeight="1" x14ac:dyDescent="0.25">
      <c r="B59" s="20" t="s">
        <v>116</v>
      </c>
      <c r="C59" s="15" t="s">
        <v>18</v>
      </c>
      <c r="D59" s="90">
        <f t="shared" si="4"/>
        <v>0</v>
      </c>
      <c r="E59" s="315">
        <v>0</v>
      </c>
      <c r="F59" s="315">
        <v>0</v>
      </c>
      <c r="G59" s="315">
        <v>0</v>
      </c>
      <c r="H59" s="314">
        <v>0</v>
      </c>
      <c r="K59" s="368"/>
    </row>
    <row r="60" spans="2:11" ht="15" customHeight="1" x14ac:dyDescent="0.25">
      <c r="B60" s="461" t="s">
        <v>124</v>
      </c>
      <c r="C60" s="462"/>
      <c r="D60" s="462"/>
      <c r="E60" s="462"/>
      <c r="F60" s="462"/>
      <c r="G60" s="462"/>
      <c r="H60" s="463"/>
      <c r="K60" s="367"/>
    </row>
    <row r="61" spans="2:11" ht="15" customHeight="1" x14ac:dyDescent="0.25">
      <c r="B61" s="20" t="s">
        <v>14</v>
      </c>
      <c r="C61" s="15" t="s">
        <v>18</v>
      </c>
      <c r="D61" s="90">
        <f>D46+D53</f>
        <v>0</v>
      </c>
      <c r="E61" s="168"/>
      <c r="F61" s="168"/>
      <c r="G61" s="168"/>
      <c r="H61" s="170"/>
    </row>
    <row r="62" spans="2:11" ht="15" customHeight="1" x14ac:dyDescent="0.25">
      <c r="B62" s="20" t="s">
        <v>15</v>
      </c>
      <c r="C62" s="15" t="s">
        <v>18</v>
      </c>
      <c r="D62" s="90">
        <f>D47+D54</f>
        <v>0</v>
      </c>
      <c r="E62" s="168"/>
      <c r="F62" s="168"/>
      <c r="G62" s="168"/>
      <c r="H62" s="170"/>
    </row>
    <row r="63" spans="2:11" ht="15" customHeight="1" x14ac:dyDescent="0.25">
      <c r="B63" s="20" t="s">
        <v>116</v>
      </c>
      <c r="C63" s="15" t="s">
        <v>18</v>
      </c>
      <c r="D63" s="90">
        <f>D48+D55</f>
        <v>0</v>
      </c>
      <c r="E63" s="168"/>
      <c r="F63" s="168"/>
      <c r="G63" s="168"/>
      <c r="H63" s="170"/>
    </row>
    <row r="64" spans="2:11" ht="15" customHeight="1" x14ac:dyDescent="0.25">
      <c r="B64" s="13" t="s">
        <v>126</v>
      </c>
      <c r="C64" s="6" t="s">
        <v>24</v>
      </c>
      <c r="D64" s="169">
        <f ca="1">D61*G18/1000+D62*G19/1000+D63*G20/1000</f>
        <v>0</v>
      </c>
      <c r="E64" s="168"/>
      <c r="F64" s="168"/>
      <c r="G64" s="168"/>
      <c r="H64" s="170"/>
    </row>
    <row r="65" spans="2:8" ht="15" customHeight="1" thickBot="1" x14ac:dyDescent="0.3">
      <c r="B65" s="179" t="s">
        <v>132</v>
      </c>
      <c r="C65" s="171" t="s">
        <v>24</v>
      </c>
      <c r="D65" s="180">
        <f ca="1">D38-D64</f>
        <v>106532.99</v>
      </c>
      <c r="E65" s="172"/>
      <c r="F65" s="172"/>
      <c r="G65" s="172"/>
      <c r="H65" s="173"/>
    </row>
    <row r="66" spans="2:8" ht="30" customHeight="1" thickBot="1" x14ac:dyDescent="0.3">
      <c r="B66" s="181" t="s">
        <v>127</v>
      </c>
      <c r="C66" s="174" t="s">
        <v>24</v>
      </c>
      <c r="D66" s="182">
        <f ca="1">D65-D44</f>
        <v>0</v>
      </c>
      <c r="E66" s="183"/>
      <c r="F66" s="183"/>
      <c r="G66" s="183"/>
      <c r="H66" s="184"/>
    </row>
  </sheetData>
  <sheetProtection sheet="1" objects="1" scenarios="1"/>
  <mergeCells count="15">
    <mergeCell ref="F28:G28"/>
    <mergeCell ref="B5:C5"/>
    <mergeCell ref="B6:C6"/>
    <mergeCell ref="B7:C7"/>
    <mergeCell ref="F26:G26"/>
    <mergeCell ref="F27:G27"/>
    <mergeCell ref="B51:H51"/>
    <mergeCell ref="B56:H56"/>
    <mergeCell ref="B60:H60"/>
    <mergeCell ref="F29:G29"/>
    <mergeCell ref="F30:G30"/>
    <mergeCell ref="F31:G31"/>
    <mergeCell ref="B35:C35"/>
    <mergeCell ref="B39:H39"/>
    <mergeCell ref="B45:H45"/>
  </mergeCells>
  <pageMargins left="0.25" right="0.25" top="0.75" bottom="0.75" header="0.3" footer="0.3"/>
  <pageSetup paperSize="9" scale="93" fitToWidth="0" orientation="landscape" r:id="rId1"/>
  <rowBreaks count="1" manualBreakCount="1">
    <brk id="33" max="10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'Osnovni podatki'!$B$6:$B$15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view="pageBreakPreview" zoomScale="160" zoomScaleNormal="100" zoomScaleSheetLayoutView="160" workbookViewId="0">
      <selection activeCell="L39" sqref="L39"/>
    </sheetView>
  </sheetViews>
  <sheetFormatPr defaultColWidth="25.109375" defaultRowHeight="13.2" x14ac:dyDescent="0.25"/>
  <cols>
    <col min="1" max="1" width="6.33203125" style="343" customWidth="1"/>
    <col min="2" max="2" width="31.5546875" style="343" customWidth="1"/>
    <col min="3" max="4" width="25.109375" style="343"/>
    <col min="5" max="5" width="24.44140625" style="343" customWidth="1"/>
    <col min="6" max="6" width="19" style="343" customWidth="1"/>
    <col min="7" max="16384" width="25.109375" style="343"/>
  </cols>
  <sheetData>
    <row r="2" spans="2:6" ht="16.2" thickBot="1" x14ac:dyDescent="0.3">
      <c r="B2" s="366" t="s">
        <v>146</v>
      </c>
    </row>
    <row r="3" spans="2:6" x14ac:dyDescent="0.25">
      <c r="B3" s="208"/>
      <c r="C3" s="228" t="s">
        <v>147</v>
      </c>
      <c r="D3" s="228" t="s">
        <v>238</v>
      </c>
      <c r="E3" s="234" t="s">
        <v>100</v>
      </c>
    </row>
    <row r="4" spans="2:6" x14ac:dyDescent="0.25">
      <c r="B4" s="345" t="s">
        <v>139</v>
      </c>
      <c r="C4" s="363">
        <f ca="1">INDIRECT(C$3&amp;"!C10")</f>
        <v>140125.16500000001</v>
      </c>
      <c r="D4" s="406">
        <f ca="1">INDIRECT(D$3&amp;"!C10")</f>
        <v>106532.99</v>
      </c>
      <c r="E4" s="364"/>
    </row>
    <row r="5" spans="2:6" x14ac:dyDescent="0.25">
      <c r="B5" s="345" t="s">
        <v>140</v>
      </c>
      <c r="C5" s="363">
        <f ca="1">INDIRECT(C$3&amp;"!C11")</f>
        <v>16117.136181916125</v>
      </c>
      <c r="D5" s="406">
        <f ca="1">INDIRECT(D$3&amp;"!C11")</f>
        <v>24812.197199862778</v>
      </c>
      <c r="E5" s="364"/>
    </row>
    <row r="6" spans="2:6" x14ac:dyDescent="0.25">
      <c r="B6" s="345" t="s">
        <v>141</v>
      </c>
      <c r="C6" s="363">
        <f ca="1">INDIRECT(C$3&amp;"!C12")</f>
        <v>45025.678169398918</v>
      </c>
      <c r="D6" s="406">
        <f ca="1">INDIRECT(D$3&amp;"!C12")</f>
        <v>11981.94423114754</v>
      </c>
      <c r="E6" s="364"/>
    </row>
    <row r="7" spans="2:6" x14ac:dyDescent="0.25">
      <c r="B7" s="345" t="s">
        <v>142</v>
      </c>
      <c r="C7" s="363">
        <f ca="1">INDIRECT(C$3&amp;"!C13")</f>
        <v>201267.97935131507</v>
      </c>
      <c r="D7" s="406">
        <f ca="1">INDIRECT(D$3&amp;"!C13")</f>
        <v>143327.13143101032</v>
      </c>
      <c r="E7" s="408">
        <f ca="1">SUM('Presežni prihranki'!C7:D7)</f>
        <v>344595.11078232538</v>
      </c>
    </row>
    <row r="8" spans="2:6" x14ac:dyDescent="0.25">
      <c r="B8" s="345" t="s">
        <v>218</v>
      </c>
      <c r="C8" s="363">
        <f ca="1">INDIRECT(C$3&amp;"!C14")</f>
        <v>201267.97935131507</v>
      </c>
      <c r="D8" s="406">
        <f ca="1">INDIRECT(D$3&amp;"!C14")</f>
        <v>143327.13143101032</v>
      </c>
      <c r="E8" s="408">
        <f ca="1">SUM(C8:D8)</f>
        <v>344595.11078232538</v>
      </c>
    </row>
    <row r="9" spans="2:6" ht="30" customHeight="1" thickBot="1" x14ac:dyDescent="0.3">
      <c r="B9" s="204" t="s">
        <v>127</v>
      </c>
      <c r="C9" s="365">
        <f ca="1">INDIRECT(C$3&amp;"!C15")</f>
        <v>0</v>
      </c>
      <c r="D9" s="407">
        <f ca="1">INDIRECT(D$3&amp;"!C15")</f>
        <v>0</v>
      </c>
      <c r="E9" s="409">
        <f ca="1">SUM(C9:D9)</f>
        <v>0</v>
      </c>
    </row>
    <row r="12" spans="2:6" ht="15" customHeight="1" x14ac:dyDescent="0.25"/>
    <row r="13" spans="2:6" ht="16.2" thickBot="1" x14ac:dyDescent="0.3">
      <c r="B13" s="346" t="s">
        <v>155</v>
      </c>
    </row>
    <row r="14" spans="2:6" ht="45" customHeight="1" x14ac:dyDescent="0.25">
      <c r="B14" s="471" t="s">
        <v>151</v>
      </c>
      <c r="C14" s="472"/>
      <c r="D14" s="347" t="s">
        <v>166</v>
      </c>
      <c r="E14" s="417" t="s">
        <v>148</v>
      </c>
      <c r="F14" s="348" t="s">
        <v>149</v>
      </c>
    </row>
    <row r="15" spans="2:6" x14ac:dyDescent="0.25">
      <c r="B15" s="349" t="s">
        <v>154</v>
      </c>
      <c r="C15" s="418">
        <v>5.0000000000000001E-3</v>
      </c>
      <c r="D15" s="350"/>
      <c r="E15" s="350"/>
      <c r="F15" s="351"/>
    </row>
    <row r="16" spans="2:6" x14ac:dyDescent="0.25">
      <c r="B16" s="352" t="s">
        <v>152</v>
      </c>
      <c r="C16" s="353" t="s">
        <v>153</v>
      </c>
      <c r="D16" s="353"/>
      <c r="E16" s="353" t="s">
        <v>150</v>
      </c>
      <c r="F16" s="354" t="s">
        <v>24</v>
      </c>
    </row>
    <row r="17" spans="2:6" x14ac:dyDescent="0.25">
      <c r="B17" s="355">
        <v>0</v>
      </c>
      <c r="C17" s="356">
        <f ca="1">ROUND(E8*C15,-1)</f>
        <v>1720</v>
      </c>
      <c r="D17" s="356">
        <f>ROUND(B17*0.5,-1)</f>
        <v>0</v>
      </c>
      <c r="E17" s="357">
        <f ca="1">IF(AND($E$9&gt;=B17,$E$9&lt;=C17),1,0)</f>
        <v>1</v>
      </c>
      <c r="F17" s="358">
        <f ca="1">D17*E17</f>
        <v>0</v>
      </c>
    </row>
    <row r="18" spans="2:6" x14ac:dyDescent="0.25">
      <c r="B18" s="355">
        <f ca="1">C17+0.01</f>
        <v>1720.01</v>
      </c>
      <c r="C18" s="356">
        <f ca="1">C17+$C$17</f>
        <v>3440</v>
      </c>
      <c r="D18" s="356">
        <f t="shared" ref="D18:D21" ca="1" si="0">ROUND(B18*0.5,-1)</f>
        <v>860</v>
      </c>
      <c r="E18" s="357">
        <f ca="1">IF(AND($E$9&gt;=B18,$E$9&lt;=C18),1,0)</f>
        <v>0</v>
      </c>
      <c r="F18" s="358">
        <f t="shared" ref="F18:F21" ca="1" si="1">D18*E18</f>
        <v>0</v>
      </c>
    </row>
    <row r="19" spans="2:6" x14ac:dyDescent="0.25">
      <c r="B19" s="355">
        <f t="shared" ref="B19:B21" ca="1" si="2">C18+0.01</f>
        <v>3440.01</v>
      </c>
      <c r="C19" s="356">
        <f ca="1">C18+$C$17</f>
        <v>5160</v>
      </c>
      <c r="D19" s="356">
        <f t="shared" ca="1" si="0"/>
        <v>1720</v>
      </c>
      <c r="E19" s="357">
        <f ca="1">IF(AND($E$9&gt;=B19,$E$9&lt;=C19),1,0)</f>
        <v>0</v>
      </c>
      <c r="F19" s="358">
        <f t="shared" ca="1" si="1"/>
        <v>0</v>
      </c>
    </row>
    <row r="20" spans="2:6" x14ac:dyDescent="0.25">
      <c r="B20" s="355">
        <f t="shared" ca="1" si="2"/>
        <v>5160.01</v>
      </c>
      <c r="C20" s="356">
        <f ca="1">C19+$C$17</f>
        <v>6880</v>
      </c>
      <c r="D20" s="356">
        <f t="shared" ca="1" si="0"/>
        <v>2580</v>
      </c>
      <c r="E20" s="357">
        <f ca="1">IF(AND($E$9&gt;=B20,$E$9&lt;=C20),1,0)</f>
        <v>0</v>
      </c>
      <c r="F20" s="358">
        <f t="shared" ca="1" si="1"/>
        <v>0</v>
      </c>
    </row>
    <row r="21" spans="2:6" x14ac:dyDescent="0.25">
      <c r="B21" s="355">
        <f t="shared" ca="1" si="2"/>
        <v>6880.01</v>
      </c>
      <c r="C21" s="356">
        <f ca="1">C20+$C$17</f>
        <v>8600</v>
      </c>
      <c r="D21" s="356">
        <f t="shared" ca="1" si="0"/>
        <v>3440</v>
      </c>
      <c r="E21" s="357">
        <f ca="1">IF(AND($E$9&gt;=B21,$E$9&lt;=C21),1,0)</f>
        <v>0</v>
      </c>
      <c r="F21" s="358">
        <f t="shared" ca="1" si="1"/>
        <v>0</v>
      </c>
    </row>
    <row r="22" spans="2:6" x14ac:dyDescent="0.25">
      <c r="B22" s="355">
        <f t="shared" ref="B22:B29" ca="1" si="3">C21+0.01</f>
        <v>8600.01</v>
      </c>
      <c r="C22" s="356">
        <f t="shared" ref="C22:C38" ca="1" si="4">C21+$C$17</f>
        <v>10320</v>
      </c>
      <c r="D22" s="356">
        <f t="shared" ref="D22:D29" ca="1" si="5">ROUND(B22*0.5,-1)</f>
        <v>4300</v>
      </c>
      <c r="E22" s="357">
        <f t="shared" ref="E22:E29" ca="1" si="6">IF(AND($E$9&gt;=B22,$E$9&lt;=C22),1,0)</f>
        <v>0</v>
      </c>
      <c r="F22" s="358">
        <f t="shared" ref="F22:F29" ca="1" si="7">D22*E22</f>
        <v>0</v>
      </c>
    </row>
    <row r="23" spans="2:6" x14ac:dyDescent="0.25">
      <c r="B23" s="355">
        <f t="shared" ca="1" si="3"/>
        <v>10320.01</v>
      </c>
      <c r="C23" s="356">
        <f t="shared" ca="1" si="4"/>
        <v>12040</v>
      </c>
      <c r="D23" s="356">
        <f t="shared" ca="1" si="5"/>
        <v>5160</v>
      </c>
      <c r="E23" s="357">
        <f t="shared" ca="1" si="6"/>
        <v>0</v>
      </c>
      <c r="F23" s="358">
        <f t="shared" ca="1" si="7"/>
        <v>0</v>
      </c>
    </row>
    <row r="24" spans="2:6" x14ac:dyDescent="0.25">
      <c r="B24" s="355">
        <f t="shared" ca="1" si="3"/>
        <v>12040.01</v>
      </c>
      <c r="C24" s="356">
        <f t="shared" ca="1" si="4"/>
        <v>13760</v>
      </c>
      <c r="D24" s="356">
        <f t="shared" ca="1" si="5"/>
        <v>6020</v>
      </c>
      <c r="E24" s="357">
        <f t="shared" ca="1" si="6"/>
        <v>0</v>
      </c>
      <c r="F24" s="358">
        <f t="shared" ca="1" si="7"/>
        <v>0</v>
      </c>
    </row>
    <row r="25" spans="2:6" x14ac:dyDescent="0.25">
      <c r="B25" s="355">
        <f t="shared" ca="1" si="3"/>
        <v>13760.01</v>
      </c>
      <c r="C25" s="356">
        <f t="shared" ca="1" si="4"/>
        <v>15480</v>
      </c>
      <c r="D25" s="356">
        <f t="shared" ca="1" si="5"/>
        <v>6880</v>
      </c>
      <c r="E25" s="357">
        <f t="shared" ca="1" si="6"/>
        <v>0</v>
      </c>
      <c r="F25" s="358">
        <f t="shared" ca="1" si="7"/>
        <v>0</v>
      </c>
    </row>
    <row r="26" spans="2:6" x14ac:dyDescent="0.25">
      <c r="B26" s="355">
        <f t="shared" ca="1" si="3"/>
        <v>15480.01</v>
      </c>
      <c r="C26" s="356">
        <f t="shared" ca="1" si="4"/>
        <v>17200</v>
      </c>
      <c r="D26" s="356">
        <f t="shared" ca="1" si="5"/>
        <v>7740</v>
      </c>
      <c r="E26" s="357">
        <f t="shared" ca="1" si="6"/>
        <v>0</v>
      </c>
      <c r="F26" s="358">
        <f t="shared" ca="1" si="7"/>
        <v>0</v>
      </c>
    </row>
    <row r="27" spans="2:6" x14ac:dyDescent="0.25">
      <c r="B27" s="355">
        <f t="shared" ca="1" si="3"/>
        <v>17200.009999999998</v>
      </c>
      <c r="C27" s="356">
        <f t="shared" ca="1" si="4"/>
        <v>18920</v>
      </c>
      <c r="D27" s="356">
        <f t="shared" ca="1" si="5"/>
        <v>8600</v>
      </c>
      <c r="E27" s="357">
        <f t="shared" ca="1" si="6"/>
        <v>0</v>
      </c>
      <c r="F27" s="358">
        <f t="shared" ca="1" si="7"/>
        <v>0</v>
      </c>
    </row>
    <row r="28" spans="2:6" x14ac:dyDescent="0.25">
      <c r="B28" s="355">
        <f t="shared" ca="1" si="3"/>
        <v>18920.009999999998</v>
      </c>
      <c r="C28" s="356">
        <f t="shared" ca="1" si="4"/>
        <v>20640</v>
      </c>
      <c r="D28" s="356">
        <f t="shared" ca="1" si="5"/>
        <v>9460</v>
      </c>
      <c r="E28" s="357">
        <f t="shared" ca="1" si="6"/>
        <v>0</v>
      </c>
      <c r="F28" s="358">
        <f t="shared" ca="1" si="7"/>
        <v>0</v>
      </c>
    </row>
    <row r="29" spans="2:6" x14ac:dyDescent="0.25">
      <c r="B29" s="355">
        <f t="shared" ca="1" si="3"/>
        <v>20640.009999999998</v>
      </c>
      <c r="C29" s="356">
        <f t="shared" ca="1" si="4"/>
        <v>22360</v>
      </c>
      <c r="D29" s="356">
        <f t="shared" ca="1" si="5"/>
        <v>10320</v>
      </c>
      <c r="E29" s="357">
        <f t="shared" ca="1" si="6"/>
        <v>0</v>
      </c>
      <c r="F29" s="358">
        <f t="shared" ca="1" si="7"/>
        <v>0</v>
      </c>
    </row>
    <row r="30" spans="2:6" x14ac:dyDescent="0.25">
      <c r="B30" s="355">
        <f t="shared" ref="B30:B39" ca="1" si="8">C29+0.01</f>
        <v>22360.01</v>
      </c>
      <c r="C30" s="356">
        <f t="shared" ca="1" si="4"/>
        <v>24080</v>
      </c>
      <c r="D30" s="356">
        <f t="shared" ref="D30:D38" ca="1" si="9">ROUND(B30*0.5,-1)</f>
        <v>11180</v>
      </c>
      <c r="E30" s="357">
        <f t="shared" ref="E30:E38" ca="1" si="10">IF(AND($E$9&gt;=B30,$E$9&lt;=C30),1,0)</f>
        <v>0</v>
      </c>
      <c r="F30" s="358">
        <f t="shared" ref="F30:F38" ca="1" si="11">D30*E30</f>
        <v>0</v>
      </c>
    </row>
    <row r="31" spans="2:6" x14ac:dyDescent="0.25">
      <c r="B31" s="355">
        <f t="shared" ca="1" si="8"/>
        <v>24080.01</v>
      </c>
      <c r="C31" s="356">
        <f t="shared" ca="1" si="4"/>
        <v>25800</v>
      </c>
      <c r="D31" s="356">
        <f t="shared" ca="1" si="9"/>
        <v>12040</v>
      </c>
      <c r="E31" s="357">
        <f t="shared" ca="1" si="10"/>
        <v>0</v>
      </c>
      <c r="F31" s="358">
        <f t="shared" ca="1" si="11"/>
        <v>0</v>
      </c>
    </row>
    <row r="32" spans="2:6" x14ac:dyDescent="0.25">
      <c r="B32" s="355">
        <f t="shared" ca="1" si="8"/>
        <v>25800.01</v>
      </c>
      <c r="C32" s="356">
        <f t="shared" ca="1" si="4"/>
        <v>27520</v>
      </c>
      <c r="D32" s="356">
        <f t="shared" ca="1" si="9"/>
        <v>12900</v>
      </c>
      <c r="E32" s="357">
        <f t="shared" ca="1" si="10"/>
        <v>0</v>
      </c>
      <c r="F32" s="358">
        <f t="shared" ca="1" si="11"/>
        <v>0</v>
      </c>
    </row>
    <row r="33" spans="2:6" x14ac:dyDescent="0.25">
      <c r="B33" s="355">
        <f t="shared" ca="1" si="8"/>
        <v>27520.01</v>
      </c>
      <c r="C33" s="356">
        <f t="shared" ca="1" si="4"/>
        <v>29240</v>
      </c>
      <c r="D33" s="356">
        <f t="shared" ca="1" si="9"/>
        <v>13760</v>
      </c>
      <c r="E33" s="357">
        <f t="shared" ca="1" si="10"/>
        <v>0</v>
      </c>
      <c r="F33" s="358">
        <f t="shared" ca="1" si="11"/>
        <v>0</v>
      </c>
    </row>
    <row r="34" spans="2:6" x14ac:dyDescent="0.25">
      <c r="B34" s="355">
        <f t="shared" ca="1" si="8"/>
        <v>29240.01</v>
      </c>
      <c r="C34" s="356">
        <f t="shared" ca="1" si="4"/>
        <v>30960</v>
      </c>
      <c r="D34" s="356">
        <f t="shared" ca="1" si="9"/>
        <v>14620</v>
      </c>
      <c r="E34" s="357">
        <f t="shared" ca="1" si="10"/>
        <v>0</v>
      </c>
      <c r="F34" s="358">
        <f t="shared" ca="1" si="11"/>
        <v>0</v>
      </c>
    </row>
    <row r="35" spans="2:6" x14ac:dyDescent="0.25">
      <c r="B35" s="355">
        <f t="shared" ca="1" si="8"/>
        <v>30960.01</v>
      </c>
      <c r="C35" s="356">
        <f t="shared" ca="1" si="4"/>
        <v>32680</v>
      </c>
      <c r="D35" s="356">
        <f t="shared" ca="1" si="9"/>
        <v>15480</v>
      </c>
      <c r="E35" s="357">
        <f t="shared" ca="1" si="10"/>
        <v>0</v>
      </c>
      <c r="F35" s="358">
        <f t="shared" ca="1" si="11"/>
        <v>0</v>
      </c>
    </row>
    <row r="36" spans="2:6" x14ac:dyDescent="0.25">
      <c r="B36" s="355">
        <f t="shared" ca="1" si="8"/>
        <v>32680.01</v>
      </c>
      <c r="C36" s="356">
        <f t="shared" ca="1" si="4"/>
        <v>34400</v>
      </c>
      <c r="D36" s="356">
        <f t="shared" ca="1" si="9"/>
        <v>16340</v>
      </c>
      <c r="E36" s="357">
        <f t="shared" ca="1" si="10"/>
        <v>0</v>
      </c>
      <c r="F36" s="358">
        <f t="shared" ca="1" si="11"/>
        <v>0</v>
      </c>
    </row>
    <row r="37" spans="2:6" x14ac:dyDescent="0.25">
      <c r="B37" s="355">
        <f t="shared" ca="1" si="8"/>
        <v>34400.01</v>
      </c>
      <c r="C37" s="356">
        <f t="shared" ca="1" si="4"/>
        <v>36120</v>
      </c>
      <c r="D37" s="356">
        <f t="shared" ca="1" si="9"/>
        <v>17200</v>
      </c>
      <c r="E37" s="357">
        <f t="shared" ca="1" si="10"/>
        <v>0</v>
      </c>
      <c r="F37" s="358">
        <f t="shared" ca="1" si="11"/>
        <v>0</v>
      </c>
    </row>
    <row r="38" spans="2:6" x14ac:dyDescent="0.25">
      <c r="B38" s="355">
        <f t="shared" ca="1" si="8"/>
        <v>36120.01</v>
      </c>
      <c r="C38" s="356">
        <f t="shared" ca="1" si="4"/>
        <v>37840</v>
      </c>
      <c r="D38" s="356">
        <f t="shared" ca="1" si="9"/>
        <v>18060</v>
      </c>
      <c r="E38" s="357">
        <f t="shared" ca="1" si="10"/>
        <v>0</v>
      </c>
      <c r="F38" s="358">
        <f t="shared" ca="1" si="11"/>
        <v>0</v>
      </c>
    </row>
    <row r="39" spans="2:6" ht="13.8" thickBot="1" x14ac:dyDescent="0.3">
      <c r="B39" s="359">
        <f t="shared" ca="1" si="8"/>
        <v>37840.01</v>
      </c>
      <c r="C39" s="360"/>
      <c r="D39" s="360">
        <f ca="1">ROUND(B39*0.5,-1)</f>
        <v>18920</v>
      </c>
      <c r="E39" s="361">
        <f ca="1">IF(($E$9&gt;=B39),1,0)</f>
        <v>0</v>
      </c>
      <c r="F39" s="362">
        <f ca="1">D39*E39</f>
        <v>0</v>
      </c>
    </row>
  </sheetData>
  <sheetProtection sheet="1" objects="1" scenarios="1"/>
  <mergeCells count="1">
    <mergeCell ref="B14:C14"/>
  </mergeCells>
  <phoneticPr fontId="25" type="noConversion"/>
  <pageMargins left="0.25" right="0.25" top="0.75" bottom="0.75" header="0.3" footer="0.3"/>
  <pageSetup paperSize="9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view="pageBreakPreview" topLeftCell="A4" zoomScale="130" zoomScaleNormal="100" zoomScaleSheetLayoutView="130" workbookViewId="0">
      <selection activeCell="L39" sqref="L39"/>
    </sheetView>
  </sheetViews>
  <sheetFormatPr defaultColWidth="9.109375" defaultRowHeight="13.2" x14ac:dyDescent="0.25"/>
  <cols>
    <col min="1" max="1" width="3.33203125" style="69" customWidth="1"/>
    <col min="2" max="2" width="3.44140625" style="69" bestFit="1" customWidth="1"/>
    <col min="3" max="3" width="5.6640625" style="69" bestFit="1" customWidth="1"/>
    <col min="4" max="4" width="25.88671875" style="69" bestFit="1" customWidth="1"/>
    <col min="5" max="5" width="19" style="69" bestFit="1" customWidth="1"/>
    <col min="6" max="6" width="23.44140625" style="69" bestFit="1" customWidth="1"/>
    <col min="7" max="7" width="23.44140625" style="69" customWidth="1"/>
    <col min="8" max="8" width="16.33203125" style="69" bestFit="1" customWidth="1"/>
    <col min="9" max="10" width="9.109375" style="69"/>
    <col min="11" max="11" width="16.33203125" style="69" bestFit="1" customWidth="1"/>
    <col min="12" max="12" width="23.44140625" style="69" bestFit="1" customWidth="1"/>
    <col min="13" max="13" width="25.88671875" style="69" bestFit="1" customWidth="1"/>
    <col min="14" max="14" width="23.33203125" style="69" bestFit="1" customWidth="1"/>
    <col min="15" max="15" width="23.44140625" style="69" bestFit="1" customWidth="1"/>
    <col min="16" max="16" width="16.6640625" style="69" bestFit="1" customWidth="1"/>
    <col min="17" max="20" width="4.6640625" style="69" bestFit="1" customWidth="1"/>
    <col min="21" max="21" width="5.6640625" style="69" bestFit="1" customWidth="1"/>
    <col min="22" max="16384" width="9.109375" style="69"/>
  </cols>
  <sheetData>
    <row r="2" spans="2:8" ht="21" x14ac:dyDescent="0.4">
      <c r="B2" s="70" t="s">
        <v>9</v>
      </c>
    </row>
    <row r="3" spans="2:8" ht="15.6" x14ac:dyDescent="0.25">
      <c r="B3" s="431" t="s">
        <v>88</v>
      </c>
      <c r="C3" s="431"/>
      <c r="D3" s="431"/>
      <c r="E3" s="431"/>
      <c r="F3" s="431"/>
      <c r="G3" s="431"/>
      <c r="H3" s="431"/>
    </row>
    <row r="4" spans="2:8" ht="16.2" thickBot="1" x14ac:dyDescent="0.35">
      <c r="B4" s="71"/>
      <c r="C4" s="71"/>
      <c r="D4" s="71"/>
      <c r="E4" s="71"/>
      <c r="F4" s="71"/>
      <c r="G4" s="71"/>
      <c r="H4" s="71"/>
    </row>
    <row r="5" spans="2:8" x14ac:dyDescent="0.25">
      <c r="B5" s="80" t="s">
        <v>5</v>
      </c>
      <c r="C5" s="81" t="s">
        <v>4</v>
      </c>
      <c r="D5" s="82" t="s">
        <v>3</v>
      </c>
      <c r="E5" s="82" t="s">
        <v>2</v>
      </c>
      <c r="F5" s="82" t="s">
        <v>1</v>
      </c>
      <c r="G5" s="82" t="s">
        <v>6</v>
      </c>
      <c r="H5" s="83" t="s">
        <v>7</v>
      </c>
    </row>
    <row r="6" spans="2:8" ht="26.4" x14ac:dyDescent="0.25">
      <c r="B6" s="235">
        <v>1</v>
      </c>
      <c r="C6" s="3" t="s">
        <v>42</v>
      </c>
      <c r="D6" s="322" t="s">
        <v>215</v>
      </c>
      <c r="E6" s="322" t="s">
        <v>216</v>
      </c>
      <c r="F6" s="321" t="s">
        <v>214</v>
      </c>
      <c r="G6" s="321" t="s">
        <v>217</v>
      </c>
      <c r="H6" s="280"/>
    </row>
    <row r="7" spans="2:8" ht="26.4" x14ac:dyDescent="0.25">
      <c r="B7" s="236">
        <v>2</v>
      </c>
      <c r="C7" s="410" t="s">
        <v>43</v>
      </c>
      <c r="D7" s="2" t="s">
        <v>231</v>
      </c>
      <c r="E7" s="374" t="s">
        <v>232</v>
      </c>
      <c r="F7" s="2" t="s">
        <v>233</v>
      </c>
      <c r="G7" s="2" t="s">
        <v>217</v>
      </c>
      <c r="H7" s="237"/>
    </row>
    <row r="8" spans="2:8" x14ac:dyDescent="0.25">
      <c r="B8" s="235">
        <v>3</v>
      </c>
      <c r="C8" s="3" t="s">
        <v>44</v>
      </c>
      <c r="D8" s="3"/>
      <c r="E8" s="3"/>
      <c r="F8" s="3"/>
      <c r="G8" s="3"/>
      <c r="H8" s="87"/>
    </row>
    <row r="9" spans="2:8" x14ac:dyDescent="0.25">
      <c r="B9" s="236">
        <v>4</v>
      </c>
      <c r="C9" s="410" t="s">
        <v>45</v>
      </c>
      <c r="D9" s="2"/>
      <c r="E9" s="2"/>
      <c r="F9" s="2"/>
      <c r="G9" s="2"/>
      <c r="H9" s="237"/>
    </row>
    <row r="10" spans="2:8" x14ac:dyDescent="0.25">
      <c r="B10" s="235">
        <v>5</v>
      </c>
      <c r="C10" s="3" t="s">
        <v>46</v>
      </c>
      <c r="D10" s="3"/>
      <c r="E10" s="3"/>
      <c r="F10" s="3"/>
      <c r="G10" s="3"/>
      <c r="H10" s="87"/>
    </row>
    <row r="11" spans="2:8" x14ac:dyDescent="0.25">
      <c r="B11" s="236">
        <v>6</v>
      </c>
      <c r="C11" s="410" t="s">
        <v>47</v>
      </c>
      <c r="D11" s="2"/>
      <c r="E11" s="2"/>
      <c r="F11" s="2"/>
      <c r="G11" s="2"/>
      <c r="H11" s="237"/>
    </row>
    <row r="12" spans="2:8" x14ac:dyDescent="0.25">
      <c r="B12" s="235">
        <v>7</v>
      </c>
      <c r="C12" s="3" t="s">
        <v>48</v>
      </c>
      <c r="D12" s="3"/>
      <c r="E12" s="3"/>
      <c r="F12" s="3"/>
      <c r="G12" s="3"/>
      <c r="H12" s="87"/>
    </row>
    <row r="13" spans="2:8" x14ac:dyDescent="0.25">
      <c r="B13" s="236">
        <v>8</v>
      </c>
      <c r="C13" s="410" t="s">
        <v>49</v>
      </c>
      <c r="D13" s="2"/>
      <c r="E13" s="2"/>
      <c r="F13" s="2"/>
      <c r="G13" s="2"/>
      <c r="H13" s="237"/>
    </row>
    <row r="14" spans="2:8" x14ac:dyDescent="0.25">
      <c r="B14" s="235">
        <v>9</v>
      </c>
      <c r="C14" s="3" t="s">
        <v>50</v>
      </c>
      <c r="D14" s="3"/>
      <c r="E14" s="3"/>
      <c r="F14" s="3"/>
      <c r="G14" s="3"/>
      <c r="H14" s="87"/>
    </row>
    <row r="15" spans="2:8" ht="13.8" thickBot="1" x14ac:dyDescent="0.3">
      <c r="B15" s="238">
        <v>10</v>
      </c>
      <c r="C15" s="411" t="s">
        <v>0</v>
      </c>
      <c r="D15" s="239"/>
      <c r="E15" s="239"/>
      <c r="F15" s="239"/>
      <c r="G15" s="239"/>
      <c r="H15" s="240"/>
    </row>
    <row r="19" spans="11:21" ht="14.4" x14ac:dyDescent="0.3"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1:21" ht="14.4" x14ac:dyDescent="0.3"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1:21" ht="14.4" x14ac:dyDescent="0.3"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</row>
    <row r="22" spans="11:21" ht="14.4" x14ac:dyDescent="0.3"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</row>
    <row r="23" spans="11:21" ht="14.4" x14ac:dyDescent="0.3"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</row>
    <row r="24" spans="11:21" ht="14.4" x14ac:dyDescent="0.3"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</row>
    <row r="25" spans="11:21" ht="14.4" x14ac:dyDescent="0.3"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</row>
    <row r="26" spans="11:21" ht="14.4" x14ac:dyDescent="0.3"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</row>
  </sheetData>
  <mergeCells count="1">
    <mergeCell ref="B3:H3"/>
  </mergeCells>
  <phoneticPr fontId="25" type="noConversion"/>
  <pageMargins left="0.25" right="0.25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view="pageBreakPreview" topLeftCell="A19" zoomScaleNormal="100" zoomScaleSheetLayoutView="100" workbookViewId="0">
      <selection activeCell="M12" sqref="M12"/>
    </sheetView>
  </sheetViews>
  <sheetFormatPr defaultColWidth="9.109375" defaultRowHeight="13.2" x14ac:dyDescent="0.3"/>
  <cols>
    <col min="1" max="1" width="9.109375" style="284"/>
    <col min="2" max="2" width="21.6640625" style="284" bestFit="1" customWidth="1"/>
    <col min="3" max="3" width="40.5546875" style="284" bestFit="1" customWidth="1"/>
    <col min="4" max="16384" width="9.109375" style="284"/>
  </cols>
  <sheetData>
    <row r="2" spans="2:3" ht="21" x14ac:dyDescent="0.3">
      <c r="B2" s="293" t="s">
        <v>189</v>
      </c>
    </row>
    <row r="3" spans="2:3" ht="12" customHeight="1" x14ac:dyDescent="0.3">
      <c r="B3" s="293"/>
    </row>
    <row r="4" spans="2:3" ht="12" customHeight="1" x14ac:dyDescent="0.3">
      <c r="B4" s="405"/>
    </row>
    <row r="5" spans="2:3" ht="12" customHeight="1" x14ac:dyDescent="0.3">
      <c r="B5" s="405"/>
    </row>
    <row r="6" spans="2:3" ht="12" customHeight="1" x14ac:dyDescent="0.3">
      <c r="B6" s="405"/>
    </row>
    <row r="7" spans="2:3" ht="12" customHeight="1" thickBot="1" x14ac:dyDescent="0.35"/>
    <row r="8" spans="2:3" ht="12" customHeight="1" x14ac:dyDescent="0.3">
      <c r="B8" s="294" t="s">
        <v>171</v>
      </c>
      <c r="C8" s="295"/>
    </row>
    <row r="9" spans="2:3" ht="12" customHeight="1" x14ac:dyDescent="0.3">
      <c r="B9" s="296"/>
      <c r="C9" s="297" t="s">
        <v>172</v>
      </c>
    </row>
    <row r="10" spans="2:3" ht="12" customHeight="1" thickBot="1" x14ac:dyDescent="0.35">
      <c r="B10" s="298"/>
      <c r="C10" s="299" t="s">
        <v>173</v>
      </c>
    </row>
    <row r="11" spans="2:3" ht="13.8" thickBot="1" x14ac:dyDescent="0.35"/>
    <row r="12" spans="2:3" ht="12" customHeight="1" x14ac:dyDescent="0.3">
      <c r="B12" s="294" t="s">
        <v>174</v>
      </c>
      <c r="C12" s="295"/>
    </row>
    <row r="13" spans="2:3" ht="12" customHeight="1" x14ac:dyDescent="0.3">
      <c r="B13" s="300" t="s">
        <v>58</v>
      </c>
      <c r="C13" s="297" t="s">
        <v>175</v>
      </c>
    </row>
    <row r="14" spans="2:3" ht="12" customHeight="1" x14ac:dyDescent="0.3">
      <c r="B14" s="300" t="s">
        <v>190</v>
      </c>
      <c r="C14" s="297" t="s">
        <v>178</v>
      </c>
    </row>
    <row r="15" spans="2:3" ht="12" customHeight="1" x14ac:dyDescent="0.3">
      <c r="B15" s="300" t="s">
        <v>191</v>
      </c>
      <c r="C15" s="297" t="s">
        <v>176</v>
      </c>
    </row>
    <row r="16" spans="2:3" ht="12" customHeight="1" x14ac:dyDescent="0.3">
      <c r="B16" s="300" t="s">
        <v>192</v>
      </c>
      <c r="C16" s="297" t="s">
        <v>177</v>
      </c>
    </row>
    <row r="17" spans="2:3" ht="12" customHeight="1" thickBot="1" x14ac:dyDescent="0.35">
      <c r="B17" s="301" t="s">
        <v>194</v>
      </c>
      <c r="C17" s="299" t="s">
        <v>193</v>
      </c>
    </row>
    <row r="19" spans="2:3" ht="12" customHeight="1" x14ac:dyDescent="0.3">
      <c r="B19" s="284" t="s">
        <v>179</v>
      </c>
    </row>
    <row r="20" spans="2:3" ht="12" customHeight="1" x14ac:dyDescent="0.3">
      <c r="B20" s="306" t="s">
        <v>180</v>
      </c>
    </row>
    <row r="21" spans="2:3" ht="12" customHeight="1" x14ac:dyDescent="0.3">
      <c r="B21" s="284" t="s">
        <v>181</v>
      </c>
    </row>
    <row r="22" spans="2:3" ht="12" customHeight="1" x14ac:dyDescent="0.3">
      <c r="B22" s="305" t="s">
        <v>182</v>
      </c>
    </row>
    <row r="23" spans="2:3" ht="12" customHeight="1" x14ac:dyDescent="0.3">
      <c r="B23" s="284" t="s">
        <v>183</v>
      </c>
    </row>
    <row r="24" spans="2:3" ht="12" customHeight="1" x14ac:dyDescent="0.3"/>
    <row r="26" spans="2:3" ht="12" customHeight="1" x14ac:dyDescent="0.3">
      <c r="B26" s="284" t="s">
        <v>184</v>
      </c>
    </row>
    <row r="27" spans="2:3" ht="12" customHeight="1" x14ac:dyDescent="0.3">
      <c r="B27" s="284" t="s">
        <v>185</v>
      </c>
      <c r="C27" s="310" t="s">
        <v>186</v>
      </c>
    </row>
    <row r="28" spans="2:3" ht="12" customHeight="1" x14ac:dyDescent="0.3">
      <c r="B28" s="284" t="s">
        <v>187</v>
      </c>
      <c r="C28" s="310" t="s">
        <v>63</v>
      </c>
    </row>
    <row r="29" spans="2:3" ht="12" customHeight="1" x14ac:dyDescent="0.3">
      <c r="B29" s="284" t="s">
        <v>188</v>
      </c>
      <c r="C29" s="310" t="s">
        <v>209</v>
      </c>
    </row>
    <row r="30" spans="2:3" ht="13.8" thickBot="1" x14ac:dyDescent="0.35"/>
    <row r="31" spans="2:3" ht="12" customHeight="1" x14ac:dyDescent="0.3">
      <c r="B31" s="294" t="s">
        <v>195</v>
      </c>
      <c r="C31" s="295"/>
    </row>
    <row r="32" spans="2:3" ht="12" customHeight="1" x14ac:dyDescent="0.3">
      <c r="B32" s="300" t="s">
        <v>167</v>
      </c>
      <c r="C32" s="297" t="s">
        <v>196</v>
      </c>
    </row>
    <row r="33" spans="2:3" ht="12" customHeight="1" x14ac:dyDescent="0.3">
      <c r="B33" s="300" t="s">
        <v>197</v>
      </c>
      <c r="C33" s="297" t="s">
        <v>198</v>
      </c>
    </row>
    <row r="34" spans="2:3" ht="12" customHeight="1" x14ac:dyDescent="0.3">
      <c r="B34" s="300" t="s">
        <v>199</v>
      </c>
      <c r="C34" s="297" t="s">
        <v>200</v>
      </c>
    </row>
    <row r="35" spans="2:3" ht="12" customHeight="1" x14ac:dyDescent="0.3">
      <c r="B35" s="300" t="s">
        <v>201</v>
      </c>
      <c r="C35" s="297" t="s">
        <v>202</v>
      </c>
    </row>
    <row r="36" spans="2:3" ht="12" customHeight="1" x14ac:dyDescent="0.3">
      <c r="B36" s="300" t="s">
        <v>75</v>
      </c>
      <c r="C36" s="297" t="s">
        <v>16</v>
      </c>
    </row>
    <row r="37" spans="2:3" ht="12" customHeight="1" x14ac:dyDescent="0.3">
      <c r="B37" s="300" t="s">
        <v>206</v>
      </c>
      <c r="C37" s="297" t="s">
        <v>207</v>
      </c>
    </row>
    <row r="38" spans="2:3" ht="12" customHeight="1" x14ac:dyDescent="0.3">
      <c r="B38" s="303" t="s">
        <v>210</v>
      </c>
      <c r="C38" s="304" t="s">
        <v>211</v>
      </c>
    </row>
    <row r="39" spans="2:3" ht="12" customHeight="1" thickBot="1" x14ac:dyDescent="0.35">
      <c r="B39" s="301" t="s">
        <v>208</v>
      </c>
      <c r="C39" s="299" t="s">
        <v>123</v>
      </c>
    </row>
    <row r="40" spans="2:3" ht="13.8" thickBot="1" x14ac:dyDescent="0.35">
      <c r="B40" s="302"/>
      <c r="C40" s="302"/>
    </row>
    <row r="41" spans="2:3" x14ac:dyDescent="0.3">
      <c r="B41" s="400" t="s">
        <v>235</v>
      </c>
      <c r="C41" s="295"/>
    </row>
    <row r="42" spans="2:3" x14ac:dyDescent="0.3">
      <c r="B42" s="401" t="s">
        <v>14</v>
      </c>
      <c r="C42" s="402" t="s">
        <v>236</v>
      </c>
    </row>
    <row r="43" spans="2:3" x14ac:dyDescent="0.3">
      <c r="B43" s="401" t="s">
        <v>15</v>
      </c>
      <c r="C43" s="402" t="s">
        <v>62</v>
      </c>
    </row>
    <row r="44" spans="2:3" ht="13.8" thickBot="1" x14ac:dyDescent="0.35">
      <c r="B44" s="403" t="s">
        <v>15</v>
      </c>
      <c r="C44" s="404" t="s">
        <v>237</v>
      </c>
    </row>
    <row r="46" spans="2:3" x14ac:dyDescent="0.3">
      <c r="B46" s="419"/>
    </row>
  </sheetData>
  <pageMargins left="0.25" right="0.25" top="0.75" bottom="0.75" header="0.3" footer="0.3"/>
  <pageSetup paperSize="9" scale="8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view="pageBreakPreview" topLeftCell="A34" zoomScaleNormal="100" zoomScaleSheetLayoutView="100" workbookViewId="0">
      <selection activeCell="L39" sqref="L39"/>
    </sheetView>
  </sheetViews>
  <sheetFormatPr defaultColWidth="9.109375" defaultRowHeight="13.2" x14ac:dyDescent="0.3"/>
  <cols>
    <col min="1" max="1" width="2.6640625" style="73" customWidth="1"/>
    <col min="2" max="2" width="30.109375" style="73" customWidth="1"/>
    <col min="3" max="3" width="9.88671875" style="73" bestFit="1" customWidth="1"/>
    <col min="4" max="5" width="15.6640625" style="73" customWidth="1"/>
    <col min="6" max="8" width="9.109375" style="73"/>
    <col min="9" max="9" width="15.88671875" style="73" bestFit="1" customWidth="1"/>
    <col min="10" max="16384" width="9.109375" style="73"/>
  </cols>
  <sheetData>
    <row r="1" spans="2:11" ht="18" customHeight="1" x14ac:dyDescent="0.3"/>
    <row r="2" spans="2:11" ht="21.75" customHeight="1" x14ac:dyDescent="0.3">
      <c r="B2" s="74" t="s">
        <v>8</v>
      </c>
    </row>
    <row r="3" spans="2:11" ht="15" customHeight="1" thickBot="1" x14ac:dyDescent="0.35"/>
    <row r="4" spans="2:11" ht="15" customHeight="1" x14ac:dyDescent="0.3">
      <c r="B4" s="26" t="s">
        <v>9</v>
      </c>
      <c r="C4" s="84"/>
      <c r="D4" s="85"/>
      <c r="E4" s="85"/>
      <c r="I4"/>
    </row>
    <row r="5" spans="2:11" ht="15" customHeight="1" x14ac:dyDescent="0.3">
      <c r="B5" s="86" t="s">
        <v>5</v>
      </c>
      <c r="C5" s="79"/>
      <c r="D5" s="87">
        <v>1</v>
      </c>
      <c r="E5" s="11">
        <v>2</v>
      </c>
    </row>
    <row r="6" spans="2:11" ht="15" customHeight="1" x14ac:dyDescent="0.3">
      <c r="B6" s="86" t="s">
        <v>4</v>
      </c>
      <c r="C6" s="79"/>
      <c r="D6" s="87" t="str">
        <f>VLOOKUP(D$5,'Osnovni podatki'!$B$6:$H$10,2,FALSE)</f>
        <v>OB01</v>
      </c>
      <c r="E6" s="11" t="str">
        <f>VLOOKUP(E$5,'Osnovni podatki'!$B$6:$H$10,2,FALSE)</f>
        <v>OB02</v>
      </c>
    </row>
    <row r="7" spans="2:11" ht="26.4" x14ac:dyDescent="0.3">
      <c r="B7" s="86" t="s">
        <v>3</v>
      </c>
      <c r="C7" s="79"/>
      <c r="D7" s="88" t="str">
        <f>VLOOKUP(D$5,'Osnovni podatki'!$B$6:$H$10,3,FALSE)</f>
        <v>Vojašnica Boštjana Kekca</v>
      </c>
      <c r="E7" s="65" t="str">
        <f>VLOOKUP(E$5,'Osnovni podatki'!$B$6:$H$10,3,FALSE)</f>
        <v>Letalska baza Brnik</v>
      </c>
      <c r="K7"/>
    </row>
    <row r="8" spans="2:11" ht="15" customHeight="1" x14ac:dyDescent="0.3">
      <c r="B8" s="21" t="s">
        <v>19</v>
      </c>
      <c r="C8" s="14" t="s">
        <v>64</v>
      </c>
      <c r="D8" s="89">
        <v>9129</v>
      </c>
      <c r="E8" s="57">
        <v>5858</v>
      </c>
    </row>
    <row r="9" spans="2:11" ht="15" customHeight="1" x14ac:dyDescent="0.3">
      <c r="B9" s="21" t="s">
        <v>20</v>
      </c>
      <c r="C9" s="14" t="s">
        <v>64</v>
      </c>
      <c r="D9" s="89">
        <v>9129</v>
      </c>
      <c r="E9" s="57">
        <v>5858</v>
      </c>
    </row>
    <row r="10" spans="2:11" ht="15" customHeight="1" x14ac:dyDescent="0.3">
      <c r="B10" s="21" t="s">
        <v>21</v>
      </c>
      <c r="C10" s="14" t="s">
        <v>64</v>
      </c>
      <c r="D10" s="89"/>
      <c r="E10" s="57"/>
    </row>
    <row r="11" spans="2:11" ht="15" customHeight="1" x14ac:dyDescent="0.3">
      <c r="B11" s="86" t="s">
        <v>10</v>
      </c>
      <c r="C11" s="79"/>
      <c r="D11" s="89"/>
      <c r="E11" s="57"/>
    </row>
    <row r="12" spans="2:11" ht="15" customHeight="1" x14ac:dyDescent="0.3">
      <c r="B12" s="21" t="s">
        <v>22</v>
      </c>
      <c r="C12" s="14" t="s">
        <v>99</v>
      </c>
      <c r="D12" s="89"/>
      <c r="E12" s="57"/>
    </row>
    <row r="13" spans="2:11" ht="15" customHeight="1" x14ac:dyDescent="0.3">
      <c r="B13" s="86" t="s">
        <v>11</v>
      </c>
      <c r="C13" s="79"/>
      <c r="D13" s="87">
        <v>1930</v>
      </c>
      <c r="E13" s="11"/>
    </row>
    <row r="14" spans="2:11" ht="15" customHeight="1" thickBot="1" x14ac:dyDescent="0.35">
      <c r="B14" s="99" t="s">
        <v>12</v>
      </c>
      <c r="C14" s="100"/>
      <c r="D14" s="255"/>
      <c r="E14" s="375"/>
    </row>
    <row r="15" spans="2:11" ht="15" customHeight="1" thickBot="1" x14ac:dyDescent="0.35">
      <c r="B15" s="247" t="s">
        <v>13</v>
      </c>
      <c r="C15" s="248"/>
      <c r="D15" s="256"/>
      <c r="E15" s="256"/>
      <c r="G15" s="75"/>
      <c r="H15" s="75"/>
      <c r="I15" s="75"/>
      <c r="J15" s="75"/>
    </row>
    <row r="16" spans="2:11" ht="15" customHeight="1" x14ac:dyDescent="0.3">
      <c r="B16" s="249" t="s">
        <v>14</v>
      </c>
      <c r="C16" s="246"/>
      <c r="D16" s="323" t="s">
        <v>201</v>
      </c>
      <c r="E16" s="376" t="s">
        <v>201</v>
      </c>
      <c r="G16" s="76"/>
      <c r="H16" s="75"/>
      <c r="I16" s="75"/>
      <c r="J16" s="75"/>
    </row>
    <row r="17" spans="2:10" ht="15" customHeight="1" x14ac:dyDescent="0.3">
      <c r="B17" s="20" t="s">
        <v>25</v>
      </c>
      <c r="C17" s="15" t="s">
        <v>18</v>
      </c>
      <c r="D17" s="91">
        <v>1688255</v>
      </c>
      <c r="E17" s="57">
        <v>1052656</v>
      </c>
      <c r="G17" s="76"/>
      <c r="H17" s="75"/>
      <c r="I17" s="75"/>
      <c r="J17" s="75"/>
    </row>
    <row r="18" spans="2:10" ht="15" customHeight="1" x14ac:dyDescent="0.3">
      <c r="B18" s="20" t="s">
        <v>26</v>
      </c>
      <c r="C18" s="15" t="s">
        <v>18</v>
      </c>
      <c r="D18" s="91">
        <v>0</v>
      </c>
      <c r="E18" s="57">
        <v>230874</v>
      </c>
      <c r="F18" s="316" t="s">
        <v>220</v>
      </c>
      <c r="G18" s="76"/>
      <c r="H18" s="75"/>
      <c r="I18" s="75"/>
      <c r="J18" s="75"/>
    </row>
    <row r="19" spans="2:10" ht="15" customHeight="1" x14ac:dyDescent="0.3">
      <c r="B19" s="20" t="s">
        <v>27</v>
      </c>
      <c r="C19" s="15" t="s">
        <v>18</v>
      </c>
      <c r="D19" s="91">
        <f>D17+D18</f>
        <v>1688255</v>
      </c>
      <c r="E19" s="57">
        <f>E17+E18</f>
        <v>1283530</v>
      </c>
      <c r="G19" s="76"/>
      <c r="H19" s="75"/>
      <c r="I19" s="75"/>
      <c r="J19" s="75"/>
    </row>
    <row r="20" spans="2:10" ht="15" customHeight="1" x14ac:dyDescent="0.3">
      <c r="B20" s="20" t="s">
        <v>28</v>
      </c>
      <c r="C20" s="15" t="s">
        <v>18</v>
      </c>
      <c r="D20" s="91">
        <v>1113986</v>
      </c>
      <c r="E20" s="57">
        <v>1125632</v>
      </c>
      <c r="G20" s="76"/>
      <c r="H20" s="75"/>
      <c r="I20" s="75"/>
      <c r="J20" s="75"/>
    </row>
    <row r="21" spans="2:10" ht="15" customHeight="1" x14ac:dyDescent="0.3">
      <c r="B21" s="20" t="s">
        <v>29</v>
      </c>
      <c r="C21" s="15" t="s">
        <v>18</v>
      </c>
      <c r="D21" s="91">
        <v>261590</v>
      </c>
      <c r="E21" s="57">
        <v>105266</v>
      </c>
      <c r="G21" s="76"/>
      <c r="H21" s="75"/>
      <c r="I21" s="75"/>
      <c r="J21" s="75"/>
    </row>
    <row r="22" spans="2:10" ht="15" customHeight="1" x14ac:dyDescent="0.3">
      <c r="B22" s="20" t="s">
        <v>30</v>
      </c>
      <c r="C22" s="15" t="s">
        <v>18</v>
      </c>
      <c r="D22" s="91">
        <v>203304</v>
      </c>
      <c r="E22" s="57">
        <v>52633</v>
      </c>
      <c r="G22" s="76"/>
      <c r="H22" s="75"/>
      <c r="I22" s="75"/>
      <c r="J22" s="75"/>
    </row>
    <row r="23" spans="2:10" ht="15" customHeight="1" x14ac:dyDescent="0.3">
      <c r="B23" s="20" t="s">
        <v>31</v>
      </c>
      <c r="C23" s="15" t="s">
        <v>18</v>
      </c>
      <c r="D23" s="91">
        <v>109375</v>
      </c>
      <c r="E23" s="57">
        <v>0</v>
      </c>
      <c r="F23" s="381"/>
      <c r="G23" s="76"/>
      <c r="H23" s="344"/>
      <c r="I23" s="75"/>
      <c r="J23" s="75"/>
    </row>
    <row r="24" spans="2:10" ht="15" customHeight="1" x14ac:dyDescent="0.3">
      <c r="B24" s="20" t="s">
        <v>32</v>
      </c>
      <c r="C24" s="15" t="s">
        <v>23</v>
      </c>
      <c r="D24" s="92">
        <v>83</v>
      </c>
      <c r="E24" s="377">
        <v>83</v>
      </c>
      <c r="G24" s="76"/>
      <c r="H24" s="75"/>
      <c r="I24" s="72"/>
      <c r="J24" s="75"/>
    </row>
    <row r="25" spans="2:10" ht="15" customHeight="1" x14ac:dyDescent="0.3">
      <c r="B25" s="20" t="s">
        <v>33</v>
      </c>
      <c r="C25" s="15" t="s">
        <v>24</v>
      </c>
      <c r="D25" s="93">
        <f>D17*D24/1000</f>
        <v>140125.16500000001</v>
      </c>
      <c r="E25" s="378">
        <f>E17*E24/1000</f>
        <v>87370.448000000004</v>
      </c>
      <c r="G25" s="76"/>
      <c r="H25" s="75"/>
      <c r="I25" s="75"/>
      <c r="J25" s="75"/>
    </row>
    <row r="26" spans="2:10" ht="15" customHeight="1" x14ac:dyDescent="0.3">
      <c r="B26" s="20" t="s">
        <v>34</v>
      </c>
      <c r="C26" s="15" t="s">
        <v>24</v>
      </c>
      <c r="D26" s="93">
        <f>D18*D24/1000</f>
        <v>0</v>
      </c>
      <c r="E26" s="378">
        <f>E18*E24/1000</f>
        <v>19162.542000000001</v>
      </c>
      <c r="G26" s="75"/>
      <c r="H26" s="75"/>
      <c r="I26" s="75"/>
      <c r="J26" s="75"/>
    </row>
    <row r="27" spans="2:10" ht="15" customHeight="1" thickBot="1" x14ac:dyDescent="0.35">
      <c r="B27" s="101" t="s">
        <v>35</v>
      </c>
      <c r="C27" s="102" t="s">
        <v>24</v>
      </c>
      <c r="D27" s="103">
        <f>D19*D24/1000</f>
        <v>140125.16500000001</v>
      </c>
      <c r="E27" s="379">
        <f>E19*E24/1000</f>
        <v>106532.99</v>
      </c>
      <c r="G27" s="75"/>
      <c r="H27" s="75"/>
      <c r="I27" s="75"/>
      <c r="J27" s="75"/>
    </row>
    <row r="28" spans="2:10" ht="15" customHeight="1" x14ac:dyDescent="0.3">
      <c r="B28" s="244" t="s">
        <v>16</v>
      </c>
      <c r="C28" s="245"/>
      <c r="D28" s="257"/>
      <c r="E28" s="257"/>
      <c r="G28" s="75"/>
      <c r="H28" s="75"/>
      <c r="I28" s="75"/>
      <c r="J28" s="75"/>
    </row>
    <row r="29" spans="2:10" ht="15" customHeight="1" x14ac:dyDescent="0.3">
      <c r="B29" s="22" t="s">
        <v>25</v>
      </c>
      <c r="C29" s="10" t="s">
        <v>18</v>
      </c>
      <c r="D29" s="94">
        <v>309099</v>
      </c>
      <c r="E29" s="57">
        <v>662658</v>
      </c>
      <c r="F29" s="316"/>
      <c r="G29" s="76"/>
      <c r="H29" s="75"/>
      <c r="I29" s="75"/>
      <c r="J29" s="75"/>
    </row>
    <row r="30" spans="2:10" ht="15" customHeight="1" x14ac:dyDescent="0.3">
      <c r="B30" s="22" t="s">
        <v>26</v>
      </c>
      <c r="C30" s="10" t="s">
        <v>18</v>
      </c>
      <c r="D30" s="94">
        <v>0</v>
      </c>
      <c r="E30" s="57">
        <v>0</v>
      </c>
      <c r="F30" s="316" t="s">
        <v>220</v>
      </c>
      <c r="G30" s="76"/>
      <c r="H30" s="75"/>
      <c r="I30" s="75"/>
      <c r="J30" s="75"/>
    </row>
    <row r="31" spans="2:10" ht="15" customHeight="1" x14ac:dyDescent="0.3">
      <c r="B31" s="22" t="s">
        <v>27</v>
      </c>
      <c r="C31" s="10" t="s">
        <v>18</v>
      </c>
      <c r="D31" s="94">
        <f>D29+D30</f>
        <v>309099</v>
      </c>
      <c r="E31" s="57">
        <f>E29+E30</f>
        <v>662658</v>
      </c>
      <c r="G31" s="76"/>
      <c r="H31" s="75"/>
      <c r="I31" s="75"/>
      <c r="J31" s="75"/>
    </row>
    <row r="32" spans="2:10" ht="15" customHeight="1" x14ac:dyDescent="0.3">
      <c r="B32" s="282" t="s">
        <v>168</v>
      </c>
      <c r="C32" s="10" t="s">
        <v>18</v>
      </c>
      <c r="D32" s="285">
        <v>0</v>
      </c>
      <c r="E32" s="380">
        <v>0</v>
      </c>
      <c r="G32" s="76"/>
      <c r="H32" s="75"/>
      <c r="I32" s="75"/>
      <c r="J32" s="75"/>
    </row>
    <row r="33" spans="2:10" ht="15" customHeight="1" x14ac:dyDescent="0.3">
      <c r="B33" s="22" t="s">
        <v>29</v>
      </c>
      <c r="C33" s="10" t="s">
        <v>18</v>
      </c>
      <c r="D33" s="94">
        <v>0</v>
      </c>
      <c r="E33" s="57">
        <v>0</v>
      </c>
      <c r="G33" s="76"/>
      <c r="H33" s="75"/>
      <c r="I33" s="75"/>
      <c r="J33" s="75"/>
    </row>
    <row r="34" spans="2:10" ht="15" customHeight="1" x14ac:dyDescent="0.3">
      <c r="B34" s="22" t="s">
        <v>30</v>
      </c>
      <c r="C34" s="10" t="s">
        <v>18</v>
      </c>
      <c r="D34" s="94">
        <v>0</v>
      </c>
      <c r="E34" s="57">
        <v>0</v>
      </c>
      <c r="G34" s="76"/>
      <c r="H34" s="75"/>
      <c r="I34" s="75"/>
      <c r="J34" s="75"/>
    </row>
    <row r="35" spans="2:10" ht="15" customHeight="1" x14ac:dyDescent="0.3">
      <c r="B35" s="22" t="s">
        <v>36</v>
      </c>
      <c r="C35" s="10" t="s">
        <v>18</v>
      </c>
      <c r="D35" s="94">
        <f>'[1]Obračun - Elektrika'!$H$7</f>
        <v>242980.76579120322</v>
      </c>
      <c r="E35" s="57">
        <f>'[2]Obračun - Elektrika'!$H$7</f>
        <v>268879.46683856496</v>
      </c>
      <c r="G35" s="76"/>
      <c r="H35" s="75"/>
      <c r="I35" s="75"/>
      <c r="J35" s="75"/>
    </row>
    <row r="36" spans="2:10" ht="15" customHeight="1" x14ac:dyDescent="0.3">
      <c r="B36" s="22" t="s">
        <v>31</v>
      </c>
      <c r="C36" s="10" t="s">
        <v>18</v>
      </c>
      <c r="D36" s="94">
        <f>D31-D32-D33-D34-D35</f>
        <v>66118.234208796785</v>
      </c>
      <c r="E36" s="57">
        <f>E31-E32-E33-E34-E35</f>
        <v>393778.53316143504</v>
      </c>
      <c r="G36" s="76"/>
      <c r="H36" s="75"/>
      <c r="I36" s="75"/>
      <c r="J36" s="75"/>
    </row>
    <row r="37" spans="2:10" ht="15" customHeight="1" x14ac:dyDescent="0.3">
      <c r="B37" s="22" t="s">
        <v>32</v>
      </c>
      <c r="C37" s="10" t="s">
        <v>23</v>
      </c>
      <c r="D37" s="95">
        <v>103.66</v>
      </c>
      <c r="E37" s="377">
        <v>92.28</v>
      </c>
      <c r="G37" s="76"/>
      <c r="H37" s="75"/>
      <c r="I37" s="75"/>
      <c r="J37" s="75"/>
    </row>
    <row r="38" spans="2:10" ht="15" customHeight="1" x14ac:dyDescent="0.3">
      <c r="B38" s="22" t="s">
        <v>33</v>
      </c>
      <c r="C38" s="10" t="s">
        <v>24</v>
      </c>
      <c r="D38" s="96">
        <f>D29*D37/1000</f>
        <v>32041.20234</v>
      </c>
      <c r="E38" s="378">
        <f>E29*E37/1000</f>
        <v>61150.080240000003</v>
      </c>
      <c r="G38" s="76"/>
      <c r="H38" s="75"/>
      <c r="I38" s="75"/>
      <c r="J38" s="75"/>
    </row>
    <row r="39" spans="2:10" ht="15" customHeight="1" x14ac:dyDescent="0.3">
      <c r="B39" s="22" t="s">
        <v>34</v>
      </c>
      <c r="C39" s="10" t="s">
        <v>24</v>
      </c>
      <c r="D39" s="96">
        <f>D30*D37/1000</f>
        <v>0</v>
      </c>
      <c r="E39" s="378">
        <f>E30*E37/1000</f>
        <v>0</v>
      </c>
      <c r="G39" s="76"/>
      <c r="H39" s="75"/>
      <c r="I39" s="75"/>
      <c r="J39" s="75"/>
    </row>
    <row r="40" spans="2:10" ht="15" customHeight="1" thickBot="1" x14ac:dyDescent="0.35">
      <c r="B40" s="104" t="s">
        <v>35</v>
      </c>
      <c r="C40" s="105" t="s">
        <v>24</v>
      </c>
      <c r="D40" s="106">
        <f>D31*D37/1000</f>
        <v>32041.20234</v>
      </c>
      <c r="E40" s="379">
        <f>E31*E37/1000</f>
        <v>61150.080240000003</v>
      </c>
      <c r="G40" s="76"/>
      <c r="H40" s="75"/>
      <c r="I40" s="75"/>
      <c r="J40" s="75"/>
    </row>
    <row r="41" spans="2:10" ht="15" customHeight="1" x14ac:dyDescent="0.3">
      <c r="B41" s="107" t="s">
        <v>37</v>
      </c>
      <c r="C41" s="108"/>
      <c r="D41" s="109"/>
      <c r="E41" s="109"/>
      <c r="G41" s="75"/>
      <c r="H41" s="75"/>
      <c r="I41" s="75"/>
      <c r="J41" s="75"/>
    </row>
    <row r="42" spans="2:10" ht="27" thickBot="1" x14ac:dyDescent="0.35">
      <c r="B42" s="110" t="s">
        <v>38</v>
      </c>
      <c r="C42" s="111" t="s">
        <v>24</v>
      </c>
      <c r="D42" s="112">
        <f>'[1]Obračun - Vzdrževanje'!$C$6</f>
        <v>45025.678169398918</v>
      </c>
      <c r="E42" s="112">
        <f>'[2]Obračun - Vzdrževanje'!$C$6</f>
        <v>11981.94423114754</v>
      </c>
      <c r="F42" s="413"/>
      <c r="G42" s="75"/>
      <c r="H42" s="75"/>
      <c r="I42" s="75"/>
      <c r="J42" s="75"/>
    </row>
    <row r="43" spans="2:10" ht="15" customHeight="1" x14ac:dyDescent="0.3">
      <c r="B43" s="113" t="s">
        <v>39</v>
      </c>
      <c r="C43" s="114"/>
      <c r="D43" s="115"/>
      <c r="E43" s="115"/>
      <c r="G43" s="75"/>
      <c r="H43" s="75"/>
      <c r="I43" s="75"/>
      <c r="J43" s="75"/>
    </row>
    <row r="44" spans="2:10" ht="15" customHeight="1" x14ac:dyDescent="0.3">
      <c r="B44" s="24" t="s">
        <v>40</v>
      </c>
      <c r="C44" s="17" t="s">
        <v>24</v>
      </c>
      <c r="D44" s="97">
        <f>D25+D38+D42</f>
        <v>217192.04550939891</v>
      </c>
      <c r="E44" s="378">
        <f>E25+E38+E42</f>
        <v>160502.47247114754</v>
      </c>
    </row>
    <row r="45" spans="2:10" ht="15" customHeight="1" thickBot="1" x14ac:dyDescent="0.35">
      <c r="B45" s="25" t="s">
        <v>41</v>
      </c>
      <c r="C45" s="18" t="s">
        <v>24</v>
      </c>
      <c r="D45" s="98">
        <f>D27+D40+D42</f>
        <v>217192.04550939891</v>
      </c>
      <c r="E45" s="379">
        <f>E27+E40+E42</f>
        <v>179665.01447114753</v>
      </c>
    </row>
    <row r="46" spans="2:10" ht="15" customHeight="1" x14ac:dyDescent="0.3"/>
    <row r="47" spans="2:10" ht="15" customHeight="1" x14ac:dyDescent="0.3"/>
    <row r="48" spans="2:10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</sheetData>
  <sheetProtection sheet="1" objects="1" scenarios="1"/>
  <pageMargins left="0.25" right="0.25" top="0.75" bottom="0.75" header="0.3" footer="0.3"/>
  <pageSetup paperSize="9" scale="98" fitToWidth="0" orientation="landscape" r:id="rId1"/>
  <rowBreaks count="1" manualBreakCount="1">
    <brk id="2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Y223"/>
  <sheetViews>
    <sheetView view="pageBreakPreview" zoomScaleNormal="100" zoomScaleSheetLayoutView="100" workbookViewId="0">
      <selection activeCell="G20" sqref="G20"/>
    </sheetView>
  </sheetViews>
  <sheetFormatPr defaultColWidth="9.109375" defaultRowHeight="13.2" x14ac:dyDescent="0.25"/>
  <cols>
    <col min="1" max="1" width="4.88671875" style="69" customWidth="1"/>
    <col min="2" max="2" width="32.5546875" style="69" customWidth="1"/>
    <col min="3" max="6" width="15" style="69" customWidth="1"/>
    <col min="7" max="8" width="11.6640625" style="69" customWidth="1"/>
    <col min="9" max="9" width="9.88671875" style="69" customWidth="1"/>
    <col min="10" max="11" width="14.6640625" style="69" customWidth="1"/>
    <col min="12" max="12" width="12.6640625" style="69" customWidth="1"/>
    <col min="13" max="13" width="16.33203125" style="69" customWidth="1"/>
    <col min="14" max="14" width="18.44140625" style="69" customWidth="1"/>
    <col min="15" max="15" width="14.6640625" style="69" bestFit="1" customWidth="1"/>
    <col min="16" max="16" width="9.109375" style="69" customWidth="1"/>
    <col min="17" max="24" width="9.109375" style="69"/>
    <col min="25" max="25" width="14.5546875" style="69" bestFit="1" customWidth="1"/>
    <col min="26" max="16384" width="9.109375" style="69"/>
  </cols>
  <sheetData>
    <row r="1" spans="2:14" ht="14.1" customHeight="1" x14ac:dyDescent="0.25"/>
    <row r="2" spans="2:14" ht="28.35" customHeight="1" x14ac:dyDescent="0.25">
      <c r="B2" s="74" t="s">
        <v>51</v>
      </c>
    </row>
    <row r="3" spans="2:14" ht="14.1" customHeight="1" x14ac:dyDescent="0.25"/>
    <row r="4" spans="2:14" ht="19.649999999999999" customHeight="1" thickBot="1" x14ac:dyDescent="0.3">
      <c r="B4" s="77" t="s">
        <v>9</v>
      </c>
    </row>
    <row r="5" spans="2:14" ht="17.100000000000001" customHeight="1" x14ac:dyDescent="0.25">
      <c r="B5" s="26" t="s">
        <v>52</v>
      </c>
      <c r="C5" s="27"/>
      <c r="D5" s="28"/>
    </row>
    <row r="6" spans="2:14" ht="17.100000000000001" customHeight="1" x14ac:dyDescent="0.25">
      <c r="B6" s="432" t="s">
        <v>5</v>
      </c>
      <c r="C6" s="433"/>
      <c r="D6" s="11">
        <v>1</v>
      </c>
    </row>
    <row r="7" spans="2:14" ht="17.100000000000001" customHeight="1" x14ac:dyDescent="0.25">
      <c r="B7" s="432" t="s">
        <v>4</v>
      </c>
      <c r="C7" s="433"/>
      <c r="D7" s="11" t="str">
        <f>INDEX('Referenčne količine'!$B$4:$D$14,MATCH(B7,('Referenčne količine'!$B$4:$B$14),0),MATCH($D$6,'Referenčne količine'!$B$5:$D$5,0))</f>
        <v>OB01</v>
      </c>
    </row>
    <row r="8" spans="2:14" ht="42.6" customHeight="1" x14ac:dyDescent="0.25">
      <c r="B8" s="432" t="s">
        <v>3</v>
      </c>
      <c r="C8" s="433"/>
      <c r="D8" s="65" t="str">
        <f>INDEX('Referenčne količine'!$B$4:$D$14,MATCH(B8,('Referenčne količine'!$B$4:$B$14),0),MATCH($D$6,'Referenčne količine'!$B$5:$D$5,0))</f>
        <v>Vojašnica Boštjana Kekca</v>
      </c>
    </row>
    <row r="9" spans="2:14" ht="17.100000000000001" customHeight="1" x14ac:dyDescent="0.25">
      <c r="B9" s="21" t="s">
        <v>19</v>
      </c>
      <c r="C9" s="14" t="s">
        <v>64</v>
      </c>
      <c r="D9" s="57">
        <f>INDEX('Referenčne količine'!$B$4:$D$14,MATCH(B9,('Referenčne količine'!$B$4:$B$14),0),MATCH($D$6,'Referenčne količine'!$B$5:$D$5,0))</f>
        <v>9129</v>
      </c>
    </row>
    <row r="10" spans="2:14" ht="17.100000000000001" customHeight="1" thickBot="1" x14ac:dyDescent="0.3">
      <c r="B10" s="12" t="s">
        <v>53</v>
      </c>
      <c r="C10" s="29"/>
      <c r="D10" s="30"/>
      <c r="K10" s="317" t="s">
        <v>55</v>
      </c>
    </row>
    <row r="11" spans="2:14" ht="17.100000000000001" customHeight="1" x14ac:dyDescent="0.25">
      <c r="B11" s="241" t="s">
        <v>14</v>
      </c>
      <c r="C11" s="19"/>
      <c r="D11" s="11" t="str">
        <f>INDEX('Referenčne količine'!$B$15:$D$27,MATCH(B11,('Referenčne količine'!$B$15:$B$27),0),MATCH($D$6,'Referenčne količine'!$B$5:$D$5,0))</f>
        <v>ELKO</v>
      </c>
      <c r="K11" s="318" t="s">
        <v>55</v>
      </c>
      <c r="L11" s="319"/>
      <c r="M11" s="320"/>
      <c r="N11" s="116" t="str">
        <f>D7</f>
        <v>OB01</v>
      </c>
    </row>
    <row r="12" spans="2:14" ht="17.100000000000001" customHeight="1" x14ac:dyDescent="0.25">
      <c r="B12" s="20" t="s">
        <v>25</v>
      </c>
      <c r="C12" s="15" t="s">
        <v>18</v>
      </c>
      <c r="D12" s="57">
        <f>INDEX('Referenčne količine'!$B$15:$D$27,MATCH(B12,('Referenčne količine'!$B$15:$B$27),0),MATCH($D$6,'Referenčne količine'!$B$5:$D$5,0))</f>
        <v>1688255</v>
      </c>
      <c r="K12" s="209" t="s">
        <v>56</v>
      </c>
      <c r="L12" s="210"/>
      <c r="M12" s="211"/>
      <c r="N12" s="117" t="s">
        <v>58</v>
      </c>
    </row>
    <row r="13" spans="2:14" ht="17.100000000000001" customHeight="1" x14ac:dyDescent="0.25">
      <c r="B13" s="20" t="s">
        <v>26</v>
      </c>
      <c r="C13" s="15" t="s">
        <v>18</v>
      </c>
      <c r="D13" s="57">
        <f>INDEX('Referenčne količine'!$B$15:$D$27,MATCH(B13,('Referenčne količine'!$B$15:$B$27),0),MATCH($D$6,'Referenčne količine'!$B$5:$D$5,0))</f>
        <v>0</v>
      </c>
      <c r="K13" s="448"/>
      <c r="L13" s="441"/>
      <c r="M13" s="442"/>
      <c r="N13" s="311"/>
    </row>
    <row r="14" spans="2:14" ht="17.100000000000001" customHeight="1" x14ac:dyDescent="0.25">
      <c r="B14" s="20" t="s">
        <v>27</v>
      </c>
      <c r="C14" s="15" t="s">
        <v>18</v>
      </c>
      <c r="D14" s="57">
        <f>INDEX('Referenčne količine'!$B$15:$D$27,MATCH(B14,('Referenčne količine'!$B$15:$B$27),0),MATCH($D$6,'Referenčne količine'!$B$5:$D$5,0))</f>
        <v>1688255</v>
      </c>
      <c r="K14" s="440"/>
      <c r="L14" s="441"/>
      <c r="M14" s="442"/>
      <c r="N14" s="311"/>
    </row>
    <row r="15" spans="2:14" ht="17.100000000000001" customHeight="1" x14ac:dyDescent="0.25">
      <c r="B15" s="20" t="s">
        <v>28</v>
      </c>
      <c r="C15" s="15" t="s">
        <v>18</v>
      </c>
      <c r="D15" s="57">
        <f>INDEX('Referenčne količine'!$B$15:$D$27,MATCH(B15,('Referenčne količine'!$B$15:$B$27),0),MATCH($D$6,'Referenčne količine'!$B$5:$D$5,0))</f>
        <v>1113986</v>
      </c>
      <c r="K15" s="440"/>
      <c r="L15" s="441"/>
      <c r="M15" s="442"/>
      <c r="N15" s="311"/>
    </row>
    <row r="16" spans="2:14" ht="17.100000000000001" customHeight="1" x14ac:dyDescent="0.25">
      <c r="B16" s="20" t="s">
        <v>29</v>
      </c>
      <c r="C16" s="15" t="s">
        <v>18</v>
      </c>
      <c r="D16" s="57">
        <f>INDEX('Referenčne količine'!$B$15:$D$27,MATCH(B16,('Referenčne količine'!$B$15:$B$27),0),MATCH($D$6,'Referenčne količine'!$B$5:$D$5,0))</f>
        <v>261590</v>
      </c>
      <c r="K16" s="440"/>
      <c r="L16" s="441"/>
      <c r="M16" s="442"/>
      <c r="N16" s="311"/>
    </row>
    <row r="17" spans="2:14" ht="17.100000000000001" customHeight="1" x14ac:dyDescent="0.25">
      <c r="B17" s="20" t="s">
        <v>30</v>
      </c>
      <c r="C17" s="15" t="s">
        <v>18</v>
      </c>
      <c r="D17" s="57">
        <f>INDEX('Referenčne količine'!$B$15:$D$27,MATCH(B17,('Referenčne količine'!$B$15:$B$27),0),MATCH($D$6,'Referenčne količine'!$B$5:$D$5,0))</f>
        <v>203304</v>
      </c>
      <c r="K17" s="440"/>
      <c r="L17" s="441"/>
      <c r="M17" s="442"/>
      <c r="N17" s="311"/>
    </row>
    <row r="18" spans="2:14" ht="17.100000000000001" customHeight="1" x14ac:dyDescent="0.25">
      <c r="B18" s="20" t="s">
        <v>31</v>
      </c>
      <c r="C18" s="15" t="s">
        <v>18</v>
      </c>
      <c r="D18" s="57">
        <f>INDEX('Referenčne količine'!$B$15:$D$27,MATCH(B18,('Referenčne količine'!$B$15:$B$27),0),MATCH($D$6,'Referenčne količine'!$B$5:$D$5,0))</f>
        <v>109375</v>
      </c>
      <c r="K18" s="440"/>
      <c r="L18" s="441"/>
      <c r="M18" s="442"/>
      <c r="N18" s="311"/>
    </row>
    <row r="19" spans="2:14" ht="17.100000000000001" customHeight="1" x14ac:dyDescent="0.3">
      <c r="B19" s="20" t="s">
        <v>32</v>
      </c>
      <c r="C19" s="15" t="s">
        <v>23</v>
      </c>
      <c r="D19" s="58">
        <f>INDEX('Referenčne količine'!$B$15:$D$27,MATCH(B19,('Referenčne količine'!$B$15:$B$27),0),MATCH($D$6,'Referenčne količine'!$B$5:$D$5,0))</f>
        <v>83</v>
      </c>
      <c r="E19" s="72"/>
      <c r="K19" s="440"/>
      <c r="L19" s="441"/>
      <c r="M19" s="442"/>
      <c r="N19" s="311"/>
    </row>
    <row r="20" spans="2:14" ht="17.100000000000001" customHeight="1" x14ac:dyDescent="0.25">
      <c r="B20" s="20" t="s">
        <v>33</v>
      </c>
      <c r="C20" s="15" t="s">
        <v>24</v>
      </c>
      <c r="D20" s="59">
        <f>INDEX('Referenčne količine'!$B$15:$D$27,MATCH(B20,('Referenčne količine'!$B$15:$B$27),0),MATCH($D$6,'Referenčne količine'!$B$5:$D$5,0))</f>
        <v>140125.16500000001</v>
      </c>
      <c r="K20" s="440"/>
      <c r="L20" s="441"/>
      <c r="M20" s="442"/>
      <c r="N20" s="311"/>
    </row>
    <row r="21" spans="2:14" ht="17.100000000000001" customHeight="1" x14ac:dyDescent="0.25">
      <c r="B21" s="20" t="s">
        <v>34</v>
      </c>
      <c r="C21" s="15" t="s">
        <v>24</v>
      </c>
      <c r="D21" s="59">
        <f>INDEX('Referenčne količine'!$B$15:$D$27,MATCH(B21,('Referenčne količine'!$B$15:$B$27),0),MATCH($D$6,'Referenčne količine'!$B$5:$D$5,0))</f>
        <v>0</v>
      </c>
      <c r="K21" s="440"/>
      <c r="L21" s="441"/>
      <c r="M21" s="442"/>
      <c r="N21" s="311"/>
    </row>
    <row r="22" spans="2:14" ht="17.100000000000001" customHeight="1" x14ac:dyDescent="0.25">
      <c r="B22" s="242" t="s">
        <v>35</v>
      </c>
      <c r="C22" s="243" t="s">
        <v>24</v>
      </c>
      <c r="D22" s="250">
        <f>INDEX('Referenčne količine'!$B$15:$D$27,MATCH(B22,('Referenčne količine'!$B$15:$B$27),0),MATCH($D$6,'Referenčne količine'!$B$5:$D$5,0))</f>
        <v>140125.16500000001</v>
      </c>
      <c r="K22" s="438"/>
      <c r="L22" s="439"/>
      <c r="M22" s="439"/>
      <c r="N22" s="311"/>
    </row>
    <row r="23" spans="2:14" ht="17.100000000000001" customHeight="1" x14ac:dyDescent="0.25">
      <c r="B23" s="326" t="s">
        <v>54</v>
      </c>
      <c r="C23" s="327"/>
      <c r="D23" s="328"/>
      <c r="K23" s="438"/>
      <c r="L23" s="439"/>
      <c r="M23" s="439"/>
      <c r="N23" s="311"/>
    </row>
    <row r="24" spans="2:14" ht="17.100000000000001" customHeight="1" x14ac:dyDescent="0.25">
      <c r="B24" s="22" t="s">
        <v>25</v>
      </c>
      <c r="C24" s="10" t="s">
        <v>18</v>
      </c>
      <c r="D24" s="57">
        <f>INDEX('Referenčne količine'!$B$28:$D$40,MATCH(B24,('Referenčne količine'!$B$28:$B$40),0),MATCH($D$6,'Referenčne količine'!$B$5:$D$5,0))</f>
        <v>309099</v>
      </c>
      <c r="K24" s="438"/>
      <c r="L24" s="439"/>
      <c r="M24" s="439"/>
      <c r="N24" s="311"/>
    </row>
    <row r="25" spans="2:14" ht="17.100000000000001" customHeight="1" x14ac:dyDescent="0.25">
      <c r="B25" s="22" t="s">
        <v>26</v>
      </c>
      <c r="C25" s="10" t="s">
        <v>18</v>
      </c>
      <c r="D25" s="57">
        <f>INDEX('Referenčne količine'!$B$28:$D$40,MATCH(B25,('Referenčne količine'!$B$28:$B$40),0),MATCH($D$6,'Referenčne količine'!$B$5:$D$5,0))</f>
        <v>0</v>
      </c>
      <c r="K25" s="438"/>
      <c r="L25" s="439"/>
      <c r="M25" s="439"/>
      <c r="N25" s="311"/>
    </row>
    <row r="26" spans="2:14" ht="17.100000000000001" customHeight="1" x14ac:dyDescent="0.25">
      <c r="B26" s="22" t="s">
        <v>27</v>
      </c>
      <c r="C26" s="10" t="s">
        <v>18</v>
      </c>
      <c r="D26" s="57">
        <f>INDEX('Referenčne količine'!$B$28:$D$40,MATCH(B26,('Referenčne količine'!$B$28:$B$40),0),MATCH($D$6,'Referenčne količine'!$B$5:$D$5,0))</f>
        <v>309099</v>
      </c>
      <c r="K26" s="438"/>
      <c r="L26" s="439"/>
      <c r="M26" s="439"/>
      <c r="N26" s="311"/>
    </row>
    <row r="27" spans="2:14" ht="17.100000000000001" customHeight="1" x14ac:dyDescent="0.25">
      <c r="B27" s="282" t="s">
        <v>168</v>
      </c>
      <c r="C27" s="10" t="s">
        <v>18</v>
      </c>
      <c r="D27" s="57">
        <f>INDEX('Referenčne količine'!$B$28:$D$40,MATCH(B27,('Referenčne količine'!$B$28:$B$40),0),MATCH($D$6,'Referenčne količine'!$B$5:$D$5,0))</f>
        <v>0</v>
      </c>
      <c r="K27" s="438"/>
      <c r="L27" s="439"/>
      <c r="M27" s="439"/>
      <c r="N27" s="311"/>
    </row>
    <row r="28" spans="2:14" ht="17.100000000000001" customHeight="1" x14ac:dyDescent="0.25">
      <c r="B28" s="22" t="s">
        <v>29</v>
      </c>
      <c r="C28" s="10" t="s">
        <v>18</v>
      </c>
      <c r="D28" s="57">
        <f>INDEX('Referenčne količine'!$B$28:$D$40,MATCH(B28,('Referenčne količine'!$B$28:$B$40),0),MATCH($D$6,'Referenčne količine'!$B$5:$D$5,0))</f>
        <v>0</v>
      </c>
      <c r="K28" s="438"/>
      <c r="L28" s="439"/>
      <c r="M28" s="439"/>
      <c r="N28" s="311"/>
    </row>
    <row r="29" spans="2:14" ht="17.100000000000001" customHeight="1" x14ac:dyDescent="0.25">
      <c r="B29" s="22" t="s">
        <v>30</v>
      </c>
      <c r="C29" s="10" t="s">
        <v>18</v>
      </c>
      <c r="D29" s="57">
        <f>INDEX('Referenčne količine'!$B$28:$D$40,MATCH(B29,('Referenčne količine'!$B$28:$B$40),0),MATCH($D$6,'Referenčne količine'!$B$5:$D$5,0))</f>
        <v>0</v>
      </c>
      <c r="K29" s="438"/>
      <c r="L29" s="439"/>
      <c r="M29" s="439"/>
      <c r="N29" s="311"/>
    </row>
    <row r="30" spans="2:14" ht="17.100000000000001" customHeight="1" x14ac:dyDescent="0.25">
      <c r="B30" s="22" t="s">
        <v>36</v>
      </c>
      <c r="C30" s="10" t="s">
        <v>18</v>
      </c>
      <c r="D30" s="57">
        <f>INDEX('Referenčne količine'!$B$28:$D$40,MATCH(B30,('Referenčne količine'!$B$28:$B$40),0),MATCH($D$6,'Referenčne količine'!$B$5:$D$5,0))</f>
        <v>242980.76579120322</v>
      </c>
      <c r="K30" s="438"/>
      <c r="L30" s="439"/>
      <c r="M30" s="439"/>
      <c r="N30" s="311"/>
    </row>
    <row r="31" spans="2:14" ht="17.100000000000001" customHeight="1" x14ac:dyDescent="0.25">
      <c r="B31" s="22" t="s">
        <v>31</v>
      </c>
      <c r="C31" s="10" t="s">
        <v>18</v>
      </c>
      <c r="D31" s="57">
        <f>INDEX('Referenčne količine'!$B$28:$D$40,MATCH(B31,('Referenčne količine'!$B$28:$B$40),0),MATCH($D$6,'Referenčne količine'!$B$5:$D$5,0))</f>
        <v>66118.234208796785</v>
      </c>
      <c r="K31" s="438"/>
      <c r="L31" s="439"/>
      <c r="M31" s="439"/>
      <c r="N31" s="311"/>
    </row>
    <row r="32" spans="2:14" ht="17.100000000000001" customHeight="1" x14ac:dyDescent="0.25">
      <c r="B32" s="22" t="s">
        <v>32</v>
      </c>
      <c r="C32" s="10" t="s">
        <v>23</v>
      </c>
      <c r="D32" s="58">
        <f>INDEX('Referenčne količine'!$B$28:$D$40,MATCH(B32,('Referenčne količine'!$B$28:$B$40),0),MATCH($D$6,'Referenčne količine'!$B$5:$D$5,0))</f>
        <v>103.66</v>
      </c>
      <c r="K32" s="438"/>
      <c r="L32" s="439"/>
      <c r="M32" s="439"/>
      <c r="N32" s="311"/>
    </row>
    <row r="33" spans="2:14" ht="17.100000000000001" customHeight="1" x14ac:dyDescent="0.25">
      <c r="B33" s="22" t="s">
        <v>33</v>
      </c>
      <c r="C33" s="10" t="s">
        <v>24</v>
      </c>
      <c r="D33" s="59">
        <f>INDEX('Referenčne količine'!$B$28:$D$40,MATCH(B33,('Referenčne količine'!$B$28:$B$40),0),MATCH($D$6,'Referenčne količine'!$B$5:$D$5,0))</f>
        <v>32041.20234</v>
      </c>
      <c r="K33" s="209" t="s">
        <v>57</v>
      </c>
      <c r="L33" s="210"/>
      <c r="M33" s="211"/>
      <c r="N33" s="63">
        <f>SUM(N13:N32)</f>
        <v>0</v>
      </c>
    </row>
    <row r="34" spans="2:14" ht="17.100000000000001" customHeight="1" x14ac:dyDescent="0.25">
      <c r="B34" s="22" t="s">
        <v>34</v>
      </c>
      <c r="C34" s="10" t="s">
        <v>24</v>
      </c>
      <c r="D34" s="59">
        <f>INDEX('Referenčne količine'!$B$28:$D$40,MATCH(B34,('Referenčne količine'!$B$28:$B$40),0),MATCH($D$6,'Referenčne količine'!$B$5:$D$5,0))</f>
        <v>0</v>
      </c>
      <c r="K34" s="209" t="s">
        <v>59</v>
      </c>
      <c r="L34" s="210"/>
      <c r="M34" s="211"/>
      <c r="N34" s="63">
        <f>0.22*N33</f>
        <v>0</v>
      </c>
    </row>
    <row r="35" spans="2:14" ht="17.100000000000001" customHeight="1" thickBot="1" x14ac:dyDescent="0.3">
      <c r="B35" s="22" t="s">
        <v>35</v>
      </c>
      <c r="C35" s="10" t="s">
        <v>24</v>
      </c>
      <c r="D35" s="59">
        <f>INDEX('Referenčne količine'!$B$28:$D$40,MATCH(B35,('Referenčne količine'!$B$28:$B$40),0),MATCH($D$6,'Referenčne količine'!$B$5:$D$5,0))</f>
        <v>32041.20234</v>
      </c>
      <c r="K35" s="212" t="s">
        <v>117</v>
      </c>
      <c r="L35" s="213"/>
      <c r="M35" s="214"/>
      <c r="N35" s="119">
        <f>N33+N34</f>
        <v>0</v>
      </c>
    </row>
    <row r="36" spans="2:14" ht="17.100000000000001" customHeight="1" x14ac:dyDescent="0.25">
      <c r="B36" s="31" t="s">
        <v>37</v>
      </c>
      <c r="C36" s="32"/>
      <c r="D36" s="33"/>
    </row>
    <row r="37" spans="2:14" ht="28.35" customHeight="1" x14ac:dyDescent="0.25">
      <c r="B37" s="23" t="s">
        <v>38</v>
      </c>
      <c r="C37" s="16" t="s">
        <v>24</v>
      </c>
      <c r="D37" s="59">
        <f>INDEX('Referenčne količine'!$B$41:$D$42,MATCH(B37,('Referenčne količine'!$B$41:$B$42),0),MATCH($D$6,'Referenčne količine'!$B$5:$D$5,0))</f>
        <v>45025.678169398918</v>
      </c>
    </row>
    <row r="38" spans="2:14" ht="17.100000000000001" customHeight="1" x14ac:dyDescent="0.25">
      <c r="B38" s="34" t="s">
        <v>39</v>
      </c>
      <c r="C38" s="35"/>
      <c r="D38" s="36"/>
    </row>
    <row r="39" spans="2:14" ht="17.100000000000001" customHeight="1" x14ac:dyDescent="0.25">
      <c r="B39" s="24" t="s">
        <v>40</v>
      </c>
      <c r="C39" s="17" t="s">
        <v>24</v>
      </c>
      <c r="D39" s="59">
        <f>INDEX('Referenčne količine'!$B$43:$D$45,MATCH(B39,('Referenčne količine'!$B$43:$B$45),0),MATCH($D$6,'Referenčne količine'!$B$5:$D$5,0))</f>
        <v>217192.04550939891</v>
      </c>
    </row>
    <row r="40" spans="2:14" ht="17.100000000000001" customHeight="1" thickBot="1" x14ac:dyDescent="0.3">
      <c r="B40" s="25" t="s">
        <v>41</v>
      </c>
      <c r="C40" s="18" t="s">
        <v>24</v>
      </c>
      <c r="D40" s="60">
        <f>INDEX('Referenčne količine'!$B$43:$D$45,MATCH(B40,('Referenčne količine'!$B$43:$B$45),0),MATCH($D$6,'Referenčne količine'!$B$5:$D$5,0))</f>
        <v>217192.04550939891</v>
      </c>
    </row>
    <row r="41" spans="2:14" ht="14.1" customHeight="1" x14ac:dyDescent="0.25"/>
    <row r="42" spans="2:14" ht="14.1" customHeight="1" x14ac:dyDescent="0.25"/>
    <row r="43" spans="2:14" ht="14.1" customHeight="1" x14ac:dyDescent="0.25"/>
    <row r="44" spans="2:14" ht="14.1" customHeight="1" x14ac:dyDescent="0.25"/>
    <row r="45" spans="2:14" ht="14.1" customHeight="1" x14ac:dyDescent="0.25"/>
    <row r="46" spans="2:14" ht="14.1" customHeight="1" x14ac:dyDescent="0.25"/>
    <row r="47" spans="2:14" ht="14.1" customHeight="1" x14ac:dyDescent="0.25"/>
    <row r="48" spans="2:14" ht="14.1" customHeight="1" x14ac:dyDescent="0.25"/>
    <row r="49" spans="2:25" ht="14.1" customHeight="1" x14ac:dyDescent="0.25"/>
    <row r="50" spans="2:25" ht="14.1" customHeight="1" x14ac:dyDescent="0.25"/>
    <row r="51" spans="2:25" ht="14.1" customHeight="1" x14ac:dyDescent="0.25"/>
    <row r="52" spans="2:25" ht="14.1" customHeight="1" x14ac:dyDescent="0.25">
      <c r="R52" s="343"/>
      <c r="Y52" s="343"/>
    </row>
    <row r="53" spans="2:25" ht="14.1" customHeight="1" x14ac:dyDescent="0.25"/>
    <row r="54" spans="2:25" ht="14.1" customHeight="1" x14ac:dyDescent="0.3">
      <c r="N54" s="72"/>
      <c r="O54" s="72"/>
      <c r="P54" s="72"/>
    </row>
    <row r="55" spans="2:25" ht="14.1" customHeight="1" x14ac:dyDescent="0.3">
      <c r="N55" s="337"/>
      <c r="O55" s="337"/>
      <c r="P55" s="337"/>
    </row>
    <row r="56" spans="2:25" ht="17.100000000000001" customHeight="1" thickBot="1" x14ac:dyDescent="0.35">
      <c r="B56" s="258" t="s">
        <v>60</v>
      </c>
      <c r="K56" s="258" t="s">
        <v>89</v>
      </c>
      <c r="N56" s="72"/>
      <c r="O56" s="72"/>
      <c r="P56" s="72"/>
    </row>
    <row r="57" spans="2:25" ht="17.100000000000001" customHeight="1" x14ac:dyDescent="0.3">
      <c r="B57" s="271" t="s">
        <v>61</v>
      </c>
      <c r="C57" s="272"/>
      <c r="D57" s="272"/>
      <c r="E57" s="273"/>
      <c r="K57" s="268" t="s">
        <v>82</v>
      </c>
      <c r="L57" s="269"/>
      <c r="M57" s="270"/>
      <c r="N57" s="72"/>
      <c r="O57" s="72"/>
      <c r="P57" s="72"/>
    </row>
    <row r="58" spans="2:25" ht="17.100000000000001" customHeight="1" x14ac:dyDescent="0.3">
      <c r="B58" s="38" t="s">
        <v>14</v>
      </c>
      <c r="C58" s="7" t="str">
        <f>D11</f>
        <v>ELKO</v>
      </c>
      <c r="D58" s="7" t="s">
        <v>18</v>
      </c>
      <c r="E58" s="57">
        <f>SUM(C92:F92)</f>
        <v>0</v>
      </c>
      <c r="K58" s="48" t="s">
        <v>83</v>
      </c>
      <c r="L58" s="49" t="s">
        <v>86</v>
      </c>
      <c r="M58" s="50" t="s">
        <v>84</v>
      </c>
      <c r="N58" s="336"/>
      <c r="O58" s="336"/>
      <c r="P58" s="72"/>
      <c r="Y58" s="340"/>
    </row>
    <row r="59" spans="2:25" ht="17.100000000000001" customHeight="1" x14ac:dyDescent="0.3">
      <c r="B59" s="38" t="s">
        <v>15</v>
      </c>
      <c r="C59" s="7" t="s">
        <v>62</v>
      </c>
      <c r="D59" s="7" t="s">
        <v>18</v>
      </c>
      <c r="E59" s="57">
        <f>SUM(C93:F93)</f>
        <v>0</v>
      </c>
      <c r="F59" s="331" t="s">
        <v>221</v>
      </c>
      <c r="G59" s="331"/>
      <c r="K59" s="51">
        <v>1</v>
      </c>
      <c r="L59" s="46">
        <f t="shared" ref="L59:L73" si="0">$E$85</f>
        <v>201267.97935131507</v>
      </c>
      <c r="M59" s="47">
        <f t="shared" ref="M59:M71" si="1">L59/((1+$M$76)^K59)</f>
        <v>193526.90322241833</v>
      </c>
      <c r="N59" s="336"/>
      <c r="O59" s="336"/>
      <c r="P59" s="72"/>
      <c r="Y59" s="340"/>
    </row>
    <row r="60" spans="2:25" ht="17.100000000000001" customHeight="1" x14ac:dyDescent="0.3">
      <c r="B60" s="38" t="s">
        <v>116</v>
      </c>
      <c r="C60" s="383" t="s">
        <v>223</v>
      </c>
      <c r="D60" s="7" t="s">
        <v>18</v>
      </c>
      <c r="E60" s="57">
        <f>SUM(C94:F94)</f>
        <v>0</v>
      </c>
      <c r="K60" s="51">
        <v>2</v>
      </c>
      <c r="L60" s="46">
        <f t="shared" si="0"/>
        <v>201267.97935131507</v>
      </c>
      <c r="M60" s="47">
        <f t="shared" si="1"/>
        <v>186083.56079078684</v>
      </c>
      <c r="N60" s="336"/>
      <c r="O60" s="336"/>
      <c r="P60" s="72"/>
      <c r="Y60" s="340"/>
    </row>
    <row r="61" spans="2:25" ht="17.100000000000001" customHeight="1" x14ac:dyDescent="0.3">
      <c r="B61" s="38" t="s">
        <v>65</v>
      </c>
      <c r="C61" s="7" t="str">
        <f>C58</f>
        <v>ELKO</v>
      </c>
      <c r="D61" s="7" t="s">
        <v>23</v>
      </c>
      <c r="E61" s="62">
        <f>D19</f>
        <v>83</v>
      </c>
      <c r="K61" s="51">
        <v>3</v>
      </c>
      <c r="L61" s="46">
        <f t="shared" si="0"/>
        <v>201267.97935131507</v>
      </c>
      <c r="M61" s="47">
        <f t="shared" si="1"/>
        <v>178926.50076037197</v>
      </c>
      <c r="N61" s="336"/>
      <c r="O61" s="336"/>
      <c r="P61" s="72"/>
      <c r="Y61" s="340"/>
    </row>
    <row r="62" spans="2:25" ht="17.100000000000001" customHeight="1" x14ac:dyDescent="0.3">
      <c r="B62" s="38" t="s">
        <v>66</v>
      </c>
      <c r="C62" s="7" t="str">
        <f t="shared" ref="C62:C63" si="2">C59</f>
        <v>EE za TČ</v>
      </c>
      <c r="D62" s="7" t="s">
        <v>23</v>
      </c>
      <c r="E62" s="62"/>
      <c r="K62" s="51">
        <v>4</v>
      </c>
      <c r="L62" s="46">
        <f t="shared" si="0"/>
        <v>201267.97935131507</v>
      </c>
      <c r="M62" s="47">
        <f t="shared" si="1"/>
        <v>172044.7122695884</v>
      </c>
      <c r="N62" s="336"/>
      <c r="O62" s="336"/>
      <c r="P62" s="72"/>
      <c r="Y62" s="340"/>
    </row>
    <row r="63" spans="2:25" ht="17.100000000000001" customHeight="1" x14ac:dyDescent="0.3">
      <c r="B63" s="38" t="s">
        <v>67</v>
      </c>
      <c r="C63" s="383" t="str">
        <f t="shared" si="2"/>
        <v>Biomasa (kal.)</v>
      </c>
      <c r="D63" s="7" t="s">
        <v>23</v>
      </c>
      <c r="E63" s="62">
        <v>30</v>
      </c>
      <c r="F63" s="414"/>
      <c r="K63" s="51">
        <v>5</v>
      </c>
      <c r="L63" s="46">
        <f t="shared" si="0"/>
        <v>201267.97935131507</v>
      </c>
      <c r="M63" s="47">
        <f t="shared" si="1"/>
        <v>165427.60795152729</v>
      </c>
      <c r="N63" s="336"/>
      <c r="O63" s="336"/>
      <c r="P63" s="72"/>
      <c r="Y63" s="340"/>
    </row>
    <row r="64" spans="2:25" ht="17.100000000000001" customHeight="1" x14ac:dyDescent="0.3">
      <c r="B64" s="38" t="s">
        <v>68</v>
      </c>
      <c r="C64" s="7" t="str">
        <f>C58</f>
        <v>ELKO</v>
      </c>
      <c r="D64" s="7" t="s">
        <v>18</v>
      </c>
      <c r="E64" s="61">
        <f>D14-E58</f>
        <v>1688255</v>
      </c>
      <c r="K64" s="51">
        <v>6</v>
      </c>
      <c r="L64" s="46">
        <f t="shared" si="0"/>
        <v>201267.97935131507</v>
      </c>
      <c r="M64" s="47">
        <f t="shared" si="1"/>
        <v>159065.00764569931</v>
      </c>
      <c r="N64" s="336"/>
      <c r="O64" s="336"/>
      <c r="P64" s="72"/>
      <c r="Y64" s="340"/>
    </row>
    <row r="65" spans="2:25" ht="17.100000000000001" customHeight="1" x14ac:dyDescent="0.3">
      <c r="B65" s="38" t="s">
        <v>69</v>
      </c>
      <c r="C65" s="7" t="str">
        <f t="shared" ref="C65:C66" si="3">C59</f>
        <v>EE za TČ</v>
      </c>
      <c r="D65" s="7" t="s">
        <v>18</v>
      </c>
      <c r="E65" s="61">
        <f>(-1)*E59</f>
        <v>0</v>
      </c>
      <c r="K65" s="51">
        <v>7</v>
      </c>
      <c r="L65" s="46">
        <f t="shared" si="0"/>
        <v>201267.97935131507</v>
      </c>
      <c r="M65" s="47">
        <f t="shared" si="1"/>
        <v>152947.12273624935</v>
      </c>
      <c r="N65" s="336"/>
      <c r="O65" s="336"/>
      <c r="P65" s="72"/>
      <c r="Y65" s="340"/>
    </row>
    <row r="66" spans="2:25" ht="17.100000000000001" customHeight="1" x14ac:dyDescent="0.3">
      <c r="B66" s="38" t="s">
        <v>70</v>
      </c>
      <c r="C66" s="7" t="str">
        <f t="shared" si="3"/>
        <v>Biomasa (kal.)</v>
      </c>
      <c r="D66" s="7" t="s">
        <v>18</v>
      </c>
      <c r="E66" s="61">
        <f>(-1)*E60</f>
        <v>0</v>
      </c>
      <c r="K66" s="51">
        <v>8</v>
      </c>
      <c r="L66" s="46">
        <f t="shared" si="0"/>
        <v>201267.97935131507</v>
      </c>
      <c r="M66" s="47">
        <f t="shared" si="1"/>
        <v>147064.54109254744</v>
      </c>
      <c r="N66" s="336"/>
      <c r="O66" s="336"/>
      <c r="P66" s="72"/>
      <c r="Y66" s="340"/>
    </row>
    <row r="67" spans="2:25" ht="17.100000000000001" customHeight="1" x14ac:dyDescent="0.3">
      <c r="B67" s="38" t="s">
        <v>71</v>
      </c>
      <c r="C67" s="5"/>
      <c r="D67" s="7" t="s">
        <v>24</v>
      </c>
      <c r="E67" s="63">
        <f>(E58*E61+E59*E62+E60*E63)/1000</f>
        <v>0</v>
      </c>
      <c r="K67" s="51">
        <v>9</v>
      </c>
      <c r="L67" s="46">
        <f t="shared" si="0"/>
        <v>201267.97935131507</v>
      </c>
      <c r="M67" s="47">
        <f t="shared" si="1"/>
        <v>141408.21258898792</v>
      </c>
      <c r="N67" s="336"/>
      <c r="O67" s="336"/>
      <c r="P67" s="72"/>
      <c r="Y67" s="340"/>
    </row>
    <row r="68" spans="2:25" ht="17.100000000000001" customHeight="1" x14ac:dyDescent="0.3">
      <c r="B68" s="154" t="s">
        <v>79</v>
      </c>
      <c r="C68" s="155"/>
      <c r="D68" s="7" t="s">
        <v>24</v>
      </c>
      <c r="E68" s="63">
        <f>D22+-E67</f>
        <v>140125.16500000001</v>
      </c>
      <c r="K68" s="51">
        <v>10</v>
      </c>
      <c r="L68" s="46">
        <f t="shared" si="0"/>
        <v>201267.97935131507</v>
      </c>
      <c r="M68" s="47">
        <f t="shared" si="1"/>
        <v>135969.43518171913</v>
      </c>
      <c r="N68" s="336"/>
      <c r="O68" s="336"/>
      <c r="P68" s="72"/>
      <c r="Y68" s="340"/>
    </row>
    <row r="69" spans="2:25" ht="17.100000000000001" customHeight="1" thickBot="1" x14ac:dyDescent="0.35">
      <c r="B69" s="156" t="s">
        <v>101</v>
      </c>
      <c r="C69" s="157"/>
      <c r="D69" s="55" t="s">
        <v>73</v>
      </c>
      <c r="E69" s="167">
        <f>E68/D22</f>
        <v>1</v>
      </c>
      <c r="K69" s="51">
        <v>11</v>
      </c>
      <c r="L69" s="46">
        <f t="shared" si="0"/>
        <v>201267.97935131507</v>
      </c>
      <c r="M69" s="47">
        <f t="shared" si="1"/>
        <v>130739.84152088381</v>
      </c>
      <c r="N69" s="336"/>
      <c r="O69" s="336"/>
      <c r="P69" s="72"/>
      <c r="Y69" s="340"/>
    </row>
    <row r="70" spans="2:25" ht="14.1" customHeight="1" thickBot="1" x14ac:dyDescent="0.35">
      <c r="B70" s="1"/>
      <c r="C70" s="1"/>
      <c r="D70" s="1"/>
      <c r="E70" s="1"/>
      <c r="K70" s="51">
        <v>12</v>
      </c>
      <c r="L70" s="46">
        <f t="shared" si="0"/>
        <v>201267.97935131507</v>
      </c>
      <c r="M70" s="47">
        <f t="shared" si="1"/>
        <v>125711.38607777287</v>
      </c>
      <c r="N70" s="336"/>
      <c r="O70" s="336"/>
      <c r="P70" s="72"/>
      <c r="Y70" s="340"/>
    </row>
    <row r="71" spans="2:25" ht="17.100000000000001" customHeight="1" x14ac:dyDescent="0.3">
      <c r="B71" s="274" t="s">
        <v>76</v>
      </c>
      <c r="C71" s="275"/>
      <c r="D71" s="275"/>
      <c r="E71" s="276"/>
      <c r="K71" s="51">
        <v>13</v>
      </c>
      <c r="L71" s="46">
        <f t="shared" si="0"/>
        <v>201267.97935131507</v>
      </c>
      <c r="M71" s="47">
        <f t="shared" si="1"/>
        <v>120876.33276708929</v>
      </c>
      <c r="N71" s="336"/>
      <c r="O71" s="336"/>
      <c r="P71" s="72"/>
      <c r="Y71" s="340"/>
    </row>
    <row r="72" spans="2:25" ht="17.100000000000001" customHeight="1" x14ac:dyDescent="0.3">
      <c r="B72" s="40" t="s">
        <v>74</v>
      </c>
      <c r="C72" s="8" t="s">
        <v>75</v>
      </c>
      <c r="D72" s="8" t="s">
        <v>18</v>
      </c>
      <c r="E72" s="61">
        <f>SUM(C97:H97)</f>
        <v>153618.23420879678</v>
      </c>
      <c r="K72" s="51">
        <v>14</v>
      </c>
      <c r="L72" s="46">
        <f t="shared" si="0"/>
        <v>201267.97935131507</v>
      </c>
      <c r="M72" s="47">
        <f>L72/((1+$M$76)^K72)</f>
        <v>116227.24304527817</v>
      </c>
      <c r="N72" s="336"/>
      <c r="O72" s="336"/>
      <c r="P72" s="337"/>
      <c r="Y72" s="340"/>
    </row>
    <row r="73" spans="2:25" ht="17.100000000000001" customHeight="1" x14ac:dyDescent="0.3">
      <c r="B73" s="40" t="s">
        <v>32</v>
      </c>
      <c r="C73" s="8" t="str">
        <f>C72</f>
        <v>EE</v>
      </c>
      <c r="D73" s="8" t="s">
        <v>23</v>
      </c>
      <c r="E73" s="62">
        <f>D32</f>
        <v>103.66</v>
      </c>
      <c r="K73" s="51">
        <v>15</v>
      </c>
      <c r="L73" s="46">
        <f t="shared" si="0"/>
        <v>201267.97935131507</v>
      </c>
      <c r="M73" s="47">
        <f>L73/((1+$M$76)^K73)</f>
        <v>111756.96446661362</v>
      </c>
      <c r="N73" s="336"/>
      <c r="O73" s="336"/>
      <c r="P73" s="72"/>
      <c r="Y73" s="340"/>
    </row>
    <row r="74" spans="2:25" ht="17.100000000000001" customHeight="1" thickBot="1" x14ac:dyDescent="0.35">
      <c r="B74" s="40" t="s">
        <v>77</v>
      </c>
      <c r="C74" s="8" t="str">
        <f>C72</f>
        <v>EE</v>
      </c>
      <c r="D74" s="8" t="s">
        <v>18</v>
      </c>
      <c r="E74" s="61">
        <f>D26-E72</f>
        <v>155480.76579120322</v>
      </c>
      <c r="K74" s="260" t="s">
        <v>85</v>
      </c>
      <c r="L74" s="261"/>
      <c r="M74" s="129">
        <f>SUM(M59:M73)</f>
        <v>2237775.3721175338</v>
      </c>
      <c r="N74" s="72"/>
      <c r="O74" s="72"/>
      <c r="P74" s="72"/>
      <c r="Y74" s="341"/>
    </row>
    <row r="75" spans="2:25" ht="17.100000000000001" customHeight="1" x14ac:dyDescent="0.3">
      <c r="B75" s="40" t="s">
        <v>78</v>
      </c>
      <c r="C75" s="8" t="s">
        <v>75</v>
      </c>
      <c r="D75" s="8" t="s">
        <v>24</v>
      </c>
      <c r="E75" s="63">
        <f>E72*E73/1000</f>
        <v>15924.066158083875</v>
      </c>
      <c r="K75" s="262"/>
      <c r="L75" s="263"/>
      <c r="M75" s="264"/>
      <c r="N75" s="72"/>
      <c r="O75" s="72"/>
      <c r="P75" s="72"/>
      <c r="Y75" s="341"/>
    </row>
    <row r="76" spans="2:25" ht="17.100000000000001" customHeight="1" thickBot="1" x14ac:dyDescent="0.35">
      <c r="B76" s="40" t="s">
        <v>79</v>
      </c>
      <c r="C76" s="8" t="str">
        <f>C75</f>
        <v>EE</v>
      </c>
      <c r="D76" s="8" t="s">
        <v>24</v>
      </c>
      <c r="E76" s="63">
        <f>D35-E75</f>
        <v>16117.136181916125</v>
      </c>
      <c r="K76" s="52" t="s">
        <v>87</v>
      </c>
      <c r="L76" s="53"/>
      <c r="M76" s="54">
        <v>0.04</v>
      </c>
      <c r="N76" s="72"/>
      <c r="O76" s="72"/>
      <c r="P76" s="72"/>
      <c r="Y76" s="341"/>
    </row>
    <row r="77" spans="2:25" ht="17.100000000000001" customHeight="1" thickBot="1" x14ac:dyDescent="0.35">
      <c r="B77" s="41" t="s">
        <v>102</v>
      </c>
      <c r="C77" s="56" t="str">
        <f>C75</f>
        <v>EE</v>
      </c>
      <c r="D77" s="56" t="s">
        <v>73</v>
      </c>
      <c r="E77" s="167">
        <f>E76/D35</f>
        <v>0.50301283987073142</v>
      </c>
      <c r="L77" s="335"/>
      <c r="N77" s="339"/>
      <c r="O77" s="339"/>
      <c r="P77" s="72"/>
      <c r="Y77" s="342"/>
    </row>
    <row r="78" spans="2:25" ht="14.1" customHeight="1" thickBot="1" x14ac:dyDescent="0.35">
      <c r="B78" s="1"/>
      <c r="C78" s="1"/>
      <c r="D78" s="1"/>
      <c r="E78" s="1"/>
      <c r="N78" s="72"/>
      <c r="O78" s="72"/>
      <c r="P78" s="72"/>
    </row>
    <row r="79" spans="2:25" ht="17.100000000000001" customHeight="1" x14ac:dyDescent="0.3">
      <c r="B79" s="277" t="s">
        <v>37</v>
      </c>
      <c r="C79" s="278"/>
      <c r="D79" s="278"/>
      <c r="E79" s="279"/>
      <c r="N79" s="443"/>
      <c r="O79" s="443"/>
      <c r="P79" s="443"/>
    </row>
    <row r="80" spans="2:25" ht="28.35" customHeight="1" x14ac:dyDescent="0.3">
      <c r="B80" s="444" t="s">
        <v>80</v>
      </c>
      <c r="C80" s="445"/>
      <c r="D80" s="9" t="s">
        <v>24</v>
      </c>
      <c r="E80" s="312">
        <v>0</v>
      </c>
      <c r="N80" s="72"/>
      <c r="O80" s="72"/>
      <c r="P80" s="72"/>
    </row>
    <row r="81" spans="2:19" ht="28.35" customHeight="1" x14ac:dyDescent="0.3">
      <c r="B81" s="444" t="s">
        <v>81</v>
      </c>
      <c r="C81" s="445"/>
      <c r="D81" s="9" t="s">
        <v>24</v>
      </c>
      <c r="E81" s="63">
        <f>D37-E80</f>
        <v>45025.678169398918</v>
      </c>
      <c r="I81" s="259"/>
      <c r="J81" s="259"/>
      <c r="K81" s="259"/>
      <c r="L81" s="259"/>
      <c r="M81" s="259"/>
      <c r="N81" s="72"/>
      <c r="O81" s="72"/>
      <c r="P81" s="72"/>
    </row>
    <row r="82" spans="2:19" ht="28.35" customHeight="1" thickBot="1" x14ac:dyDescent="0.35">
      <c r="B82" s="446" t="s">
        <v>105</v>
      </c>
      <c r="C82" s="447"/>
      <c r="D82" s="43" t="s">
        <v>73</v>
      </c>
      <c r="E82" s="167">
        <f>E81/D37</f>
        <v>1</v>
      </c>
      <c r="I82" s="259"/>
      <c r="J82" s="259"/>
      <c r="K82" s="259"/>
      <c r="L82" s="259"/>
      <c r="M82" s="259"/>
      <c r="N82" s="72"/>
      <c r="O82" s="72"/>
      <c r="P82" s="259"/>
      <c r="Q82" s="259"/>
      <c r="R82" s="259"/>
      <c r="S82" s="259"/>
    </row>
    <row r="83" spans="2:19" ht="14.1" customHeight="1" thickBot="1" x14ac:dyDescent="0.35">
      <c r="B83" s="1"/>
      <c r="C83" s="1"/>
      <c r="D83" s="1"/>
      <c r="E83" s="1"/>
      <c r="N83" s="72"/>
      <c r="O83" s="72"/>
      <c r="P83" s="259"/>
      <c r="Q83" s="259"/>
      <c r="R83" s="259"/>
      <c r="S83" s="259"/>
    </row>
    <row r="84" spans="2:19" ht="17.100000000000001" customHeight="1" x14ac:dyDescent="0.3">
      <c r="B84" s="265" t="s">
        <v>96</v>
      </c>
      <c r="C84" s="266"/>
      <c r="D84" s="266"/>
      <c r="E84" s="267"/>
      <c r="N84" s="72"/>
      <c r="O84" s="72"/>
      <c r="P84" s="72"/>
    </row>
    <row r="85" spans="2:19" ht="17.100000000000001" customHeight="1" x14ac:dyDescent="0.3">
      <c r="B85" s="165" t="s">
        <v>103</v>
      </c>
      <c r="C85" s="164"/>
      <c r="D85" s="44" t="s">
        <v>24</v>
      </c>
      <c r="E85" s="166">
        <f>E68+E76+E81</f>
        <v>201267.97935131507</v>
      </c>
      <c r="N85" s="72"/>
      <c r="O85" s="72"/>
      <c r="P85" s="72"/>
    </row>
    <row r="86" spans="2:19" ht="17.100000000000001" customHeight="1" x14ac:dyDescent="0.3">
      <c r="B86" s="160" t="s">
        <v>104</v>
      </c>
      <c r="C86" s="161"/>
      <c r="D86" s="44" t="s">
        <v>73</v>
      </c>
      <c r="E86" s="286">
        <f>E85/D40</f>
        <v>0.92668209316443528</v>
      </c>
      <c r="N86" s="72"/>
      <c r="O86" s="72"/>
      <c r="P86" s="72"/>
    </row>
    <row r="87" spans="2:19" ht="17.100000000000001" customHeight="1" thickBot="1" x14ac:dyDescent="0.35">
      <c r="B87" s="162" t="s">
        <v>97</v>
      </c>
      <c r="C87" s="163"/>
      <c r="D87" s="45" t="s">
        <v>24</v>
      </c>
      <c r="E87" s="64">
        <f>M74</f>
        <v>2237775.3721175338</v>
      </c>
      <c r="N87" s="72"/>
      <c r="O87" s="72"/>
      <c r="P87" s="72"/>
    </row>
    <row r="88" spans="2:19" ht="14.1" customHeight="1" x14ac:dyDescent="0.3">
      <c r="B88" s="335"/>
      <c r="D88" s="335"/>
      <c r="E88" s="338"/>
      <c r="N88" s="72"/>
      <c r="O88" s="72"/>
      <c r="P88" s="72"/>
    </row>
    <row r="89" spans="2:19" ht="14.1" customHeight="1" x14ac:dyDescent="0.3">
      <c r="N89" s="72"/>
      <c r="O89" s="72"/>
      <c r="P89" s="72"/>
    </row>
    <row r="90" spans="2:19" ht="17.100000000000001" customHeight="1" thickBot="1" x14ac:dyDescent="0.35">
      <c r="B90" s="258" t="s">
        <v>115</v>
      </c>
      <c r="C90" s="309" t="s">
        <v>213</v>
      </c>
      <c r="N90" s="72"/>
      <c r="O90" s="72"/>
      <c r="P90" s="72"/>
    </row>
    <row r="91" spans="2:19" ht="17.100000000000001" customHeight="1" x14ac:dyDescent="0.3">
      <c r="B91" s="37" t="s">
        <v>118</v>
      </c>
      <c r="C91" s="138" t="s">
        <v>111</v>
      </c>
      <c r="D91" s="138" t="s">
        <v>110</v>
      </c>
      <c r="E91" s="138" t="s">
        <v>112</v>
      </c>
      <c r="F91" s="139" t="s">
        <v>114</v>
      </c>
      <c r="G91" s="206"/>
      <c r="N91" s="72"/>
      <c r="O91" s="72"/>
      <c r="P91" s="72"/>
    </row>
    <row r="92" spans="2:19" ht="17.100000000000001" customHeight="1" x14ac:dyDescent="0.3">
      <c r="B92" s="20" t="s">
        <v>14</v>
      </c>
      <c r="C92" s="420"/>
      <c r="D92" s="420"/>
      <c r="E92" s="420"/>
      <c r="F92" s="421"/>
      <c r="G92" s="333"/>
      <c r="N92" s="72"/>
      <c r="O92" s="72"/>
      <c r="P92" s="72"/>
    </row>
    <row r="93" spans="2:19" ht="17.100000000000001" customHeight="1" x14ac:dyDescent="0.3">
      <c r="B93" s="20" t="s">
        <v>15</v>
      </c>
      <c r="C93" s="420"/>
      <c r="D93" s="420"/>
      <c r="E93" s="420"/>
      <c r="F93" s="421"/>
      <c r="G93" s="333"/>
      <c r="N93" s="72"/>
      <c r="O93" s="72"/>
      <c r="P93" s="72"/>
    </row>
    <row r="94" spans="2:19" ht="17.100000000000001" customHeight="1" thickBot="1" x14ac:dyDescent="0.35">
      <c r="B94" s="101" t="s">
        <v>116</v>
      </c>
      <c r="C94" s="422"/>
      <c r="D94" s="422"/>
      <c r="E94" s="422"/>
      <c r="F94" s="423"/>
      <c r="G94" s="334"/>
      <c r="N94" s="72"/>
      <c r="O94" s="259"/>
      <c r="P94" s="259"/>
      <c r="Q94" s="259"/>
      <c r="R94" s="259"/>
      <c r="S94" s="259"/>
    </row>
    <row r="95" spans="2:19" ht="14.1" customHeight="1" thickBot="1" x14ac:dyDescent="0.35">
      <c r="N95" s="72"/>
      <c r="O95" s="72"/>
      <c r="P95" s="72"/>
    </row>
    <row r="96" spans="2:19" ht="17.100000000000001" customHeight="1" x14ac:dyDescent="0.3">
      <c r="B96" s="39" t="s">
        <v>119</v>
      </c>
      <c r="C96" s="283" t="s">
        <v>169</v>
      </c>
      <c r="D96" s="140" t="s">
        <v>110</v>
      </c>
      <c r="E96" s="140" t="s">
        <v>112</v>
      </c>
      <c r="F96" s="140" t="s">
        <v>120</v>
      </c>
      <c r="G96" s="147" t="s">
        <v>224</v>
      </c>
      <c r="H96" s="141" t="s">
        <v>114</v>
      </c>
      <c r="N96" s="443"/>
      <c r="O96" s="443"/>
      <c r="P96" s="72"/>
    </row>
    <row r="97" spans="2:16" ht="17.100000000000001" customHeight="1" thickBot="1" x14ac:dyDescent="0.35">
      <c r="B97" s="227" t="s">
        <v>75</v>
      </c>
      <c r="C97" s="219">
        <v>0</v>
      </c>
      <c r="D97" s="219">
        <f>D28</f>
        <v>0</v>
      </c>
      <c r="E97" s="219">
        <f>D29</f>
        <v>0</v>
      </c>
      <c r="F97" s="219">
        <f>E104</f>
        <v>0</v>
      </c>
      <c r="G97" s="332">
        <v>87500</v>
      </c>
      <c r="H97" s="308">
        <f>D31</f>
        <v>66118.234208796785</v>
      </c>
      <c r="N97" s="443"/>
      <c r="O97" s="443"/>
      <c r="P97" s="443"/>
    </row>
    <row r="98" spans="2:16" ht="14.1" customHeight="1" x14ac:dyDescent="0.3">
      <c r="C98" s="309"/>
      <c r="N98" s="72"/>
      <c r="O98" s="72"/>
      <c r="P98" s="72"/>
    </row>
    <row r="99" spans="2:16" ht="14.1" customHeight="1" x14ac:dyDescent="0.3">
      <c r="N99" s="72"/>
      <c r="O99" s="72"/>
      <c r="P99" s="72"/>
    </row>
    <row r="100" spans="2:16" ht="17.100000000000001" customHeight="1" thickBot="1" x14ac:dyDescent="0.3">
      <c r="B100" s="258" t="s">
        <v>225</v>
      </c>
    </row>
    <row r="101" spans="2:16" ht="28.35" customHeight="1" x14ac:dyDescent="0.25">
      <c r="B101" s="120" t="s">
        <v>90</v>
      </c>
      <c r="C101" s="121" t="s">
        <v>91</v>
      </c>
      <c r="D101" s="121" t="s">
        <v>92</v>
      </c>
      <c r="E101" s="122" t="s">
        <v>93</v>
      </c>
    </row>
    <row r="102" spans="2:16" ht="17.100000000000001" customHeight="1" x14ac:dyDescent="0.25">
      <c r="B102" s="123" t="s">
        <v>170</v>
      </c>
      <c r="C102" s="66">
        <v>138.80000000000001</v>
      </c>
      <c r="D102" s="67">
        <v>1750</v>
      </c>
      <c r="E102" s="124">
        <f>C102*D102</f>
        <v>242900.00000000003</v>
      </c>
      <c r="F102" s="324"/>
      <c r="G102" s="324"/>
    </row>
    <row r="103" spans="2:16" ht="28.35" customHeight="1" x14ac:dyDescent="0.25">
      <c r="B103" s="125" t="s">
        <v>95</v>
      </c>
      <c r="C103" s="68" t="s">
        <v>91</v>
      </c>
      <c r="D103" s="68" t="s">
        <v>92</v>
      </c>
      <c r="E103" s="126" t="s">
        <v>93</v>
      </c>
    </row>
    <row r="104" spans="2:16" ht="17.100000000000001" customHeight="1" x14ac:dyDescent="0.25">
      <c r="B104" s="123" t="s">
        <v>170</v>
      </c>
      <c r="C104" s="313"/>
      <c r="D104" s="67">
        <f>D102</f>
        <v>1750</v>
      </c>
      <c r="E104" s="124">
        <f>C104*D104</f>
        <v>0</v>
      </c>
    </row>
    <row r="105" spans="2:16" ht="28.35" customHeight="1" x14ac:dyDescent="0.25">
      <c r="B105" s="125" t="s">
        <v>86</v>
      </c>
      <c r="C105" s="434"/>
      <c r="D105" s="435"/>
      <c r="E105" s="126" t="s">
        <v>94</v>
      </c>
    </row>
    <row r="106" spans="2:16" ht="17.100000000000001" customHeight="1" thickBot="1" x14ac:dyDescent="0.3">
      <c r="B106" s="127" t="s">
        <v>170</v>
      </c>
      <c r="C106" s="436"/>
      <c r="D106" s="437"/>
      <c r="E106" s="128">
        <f>E102-E104</f>
        <v>242900.00000000003</v>
      </c>
    </row>
    <row r="107" spans="2:16" ht="17.100000000000001" customHeight="1" thickBot="1" x14ac:dyDescent="0.3">
      <c r="B107" s="78"/>
      <c r="C107" s="78"/>
      <c r="D107" s="78"/>
      <c r="E107" s="281">
        <f>E106</f>
        <v>242900.00000000003</v>
      </c>
    </row>
    <row r="108" spans="2:16" ht="14.1" customHeight="1" x14ac:dyDescent="0.25"/>
    <row r="109" spans="2:16" ht="14.1" customHeight="1" x14ac:dyDescent="0.25"/>
    <row r="110" spans="2:16" ht="14.1" customHeight="1" thickBot="1" x14ac:dyDescent="0.3">
      <c r="B110" s="325" t="s">
        <v>226</v>
      </c>
    </row>
    <row r="111" spans="2:16" ht="26.4" x14ac:dyDescent="0.25">
      <c r="B111" s="120" t="s">
        <v>90</v>
      </c>
      <c r="C111" s="121" t="s">
        <v>91</v>
      </c>
      <c r="D111" s="121" t="s">
        <v>92</v>
      </c>
      <c r="E111" s="122" t="s">
        <v>93</v>
      </c>
    </row>
    <row r="112" spans="2:16" ht="14.1" customHeight="1" x14ac:dyDescent="0.25">
      <c r="B112" s="123" t="s">
        <v>170</v>
      </c>
      <c r="C112" s="66">
        <v>92.4</v>
      </c>
      <c r="D112" s="67">
        <v>946.96969696969711</v>
      </c>
      <c r="E112" s="124">
        <f>C112*D112</f>
        <v>87500.000000000015</v>
      </c>
    </row>
    <row r="113" spans="2:5" ht="26.4" x14ac:dyDescent="0.25">
      <c r="B113" s="125" t="s">
        <v>95</v>
      </c>
      <c r="C113" s="68" t="s">
        <v>91</v>
      </c>
      <c r="D113" s="68" t="s">
        <v>92</v>
      </c>
      <c r="E113" s="126" t="s">
        <v>93</v>
      </c>
    </row>
    <row r="114" spans="2:5" ht="14.1" customHeight="1" x14ac:dyDescent="0.25">
      <c r="B114" s="123" t="s">
        <v>170</v>
      </c>
      <c r="C114" s="313"/>
      <c r="D114" s="67">
        <v>946.96969696969711</v>
      </c>
      <c r="E114" s="124">
        <f>C114*D114</f>
        <v>0</v>
      </c>
    </row>
    <row r="115" spans="2:5" ht="26.4" x14ac:dyDescent="0.25">
      <c r="B115" s="125" t="s">
        <v>86</v>
      </c>
      <c r="C115" s="434"/>
      <c r="D115" s="435"/>
      <c r="E115" s="126" t="s">
        <v>94</v>
      </c>
    </row>
    <row r="116" spans="2:5" ht="14.1" customHeight="1" thickBot="1" x14ac:dyDescent="0.3">
      <c r="B116" s="127" t="s">
        <v>170</v>
      </c>
      <c r="C116" s="436"/>
      <c r="D116" s="437"/>
      <c r="E116" s="128">
        <f>E112-E114</f>
        <v>87500.000000000015</v>
      </c>
    </row>
    <row r="117" spans="2:5" ht="14.1" customHeight="1" thickBot="1" x14ac:dyDescent="0.3">
      <c r="B117" s="78"/>
      <c r="C117" s="78"/>
      <c r="D117" s="78"/>
      <c r="E117" s="281">
        <f>E116</f>
        <v>87500.000000000015</v>
      </c>
    </row>
    <row r="118" spans="2:5" ht="14.1" customHeight="1" x14ac:dyDescent="0.25"/>
    <row r="119" spans="2:5" ht="14.1" customHeight="1" x14ac:dyDescent="0.25"/>
    <row r="120" spans="2:5" ht="14.1" customHeight="1" x14ac:dyDescent="0.25"/>
    <row r="121" spans="2:5" ht="14.1" customHeight="1" x14ac:dyDescent="0.25"/>
    <row r="122" spans="2:5" ht="14.1" customHeight="1" x14ac:dyDescent="0.25"/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</sheetData>
  <sheetProtection sheet="1" objects="1" scenarios="1"/>
  <mergeCells count="31">
    <mergeCell ref="K17:M17"/>
    <mergeCell ref="K18:M18"/>
    <mergeCell ref="K20:M20"/>
    <mergeCell ref="K13:M13"/>
    <mergeCell ref="K14:M14"/>
    <mergeCell ref="K15:M15"/>
    <mergeCell ref="K16:M16"/>
    <mergeCell ref="K19:M19"/>
    <mergeCell ref="C105:D106"/>
    <mergeCell ref="N79:P79"/>
    <mergeCell ref="N96:O96"/>
    <mergeCell ref="B80:C80"/>
    <mergeCell ref="B81:C81"/>
    <mergeCell ref="B82:C82"/>
    <mergeCell ref="N97:P97"/>
    <mergeCell ref="B6:C6"/>
    <mergeCell ref="B7:C7"/>
    <mergeCell ref="B8:C8"/>
    <mergeCell ref="C115:D116"/>
    <mergeCell ref="K32:M32"/>
    <mergeCell ref="K25:M25"/>
    <mergeCell ref="K26:M26"/>
    <mergeCell ref="K27:M27"/>
    <mergeCell ref="K28:M28"/>
    <mergeCell ref="K29:M29"/>
    <mergeCell ref="K30:M30"/>
    <mergeCell ref="K21:M21"/>
    <mergeCell ref="K22:M22"/>
    <mergeCell ref="K23:M23"/>
    <mergeCell ref="K31:M31"/>
    <mergeCell ref="K24:M24"/>
  </mergeCells>
  <phoneticPr fontId="25" type="noConversion"/>
  <pageMargins left="0.25" right="0.25" top="0.75" bottom="0.75" header="0.3" footer="0.3"/>
  <pageSetup paperSize="9" scale="43" fitToWidth="0" orientation="landscape" r:id="rId1"/>
  <rowBreaks count="1" manualBreakCount="1">
    <brk id="53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'Osnovni podatki'!$B$6:$B$15</xm:f>
          </x14:formula1>
          <xm:sqref>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Y214"/>
  <sheetViews>
    <sheetView showWhiteSpace="0" view="pageBreakPreview" topLeftCell="A79" zoomScale="115" zoomScaleNormal="100" zoomScaleSheetLayoutView="115" workbookViewId="0">
      <selection activeCell="C104" activeCellId="3" sqref="K13:N32 E80 C92:F94 C104"/>
    </sheetView>
  </sheetViews>
  <sheetFormatPr defaultColWidth="9.109375" defaultRowHeight="13.2" x14ac:dyDescent="0.25"/>
  <cols>
    <col min="1" max="1" width="4.88671875" style="69" customWidth="1"/>
    <col min="2" max="2" width="32.5546875" style="69" customWidth="1"/>
    <col min="3" max="8" width="15" style="69" customWidth="1"/>
    <col min="9" max="9" width="12.6640625" style="69" customWidth="1"/>
    <col min="10" max="11" width="14.6640625" style="69" customWidth="1"/>
    <col min="12" max="12" width="12.6640625" style="69" customWidth="1"/>
    <col min="13" max="13" width="16.33203125" style="69" customWidth="1"/>
    <col min="14" max="14" width="18.44140625" style="69" customWidth="1"/>
    <col min="15" max="15" width="14.6640625" style="69" bestFit="1" customWidth="1"/>
    <col min="16" max="16" width="9.109375" style="69" customWidth="1"/>
    <col min="17" max="24" width="9.109375" style="69"/>
    <col min="25" max="25" width="14.5546875" style="69" bestFit="1" customWidth="1"/>
    <col min="26" max="16384" width="9.109375" style="69"/>
  </cols>
  <sheetData>
    <row r="1" spans="2:14" ht="14.1" customHeight="1" x14ac:dyDescent="0.25"/>
    <row r="2" spans="2:14" ht="28.35" customHeight="1" x14ac:dyDescent="0.25">
      <c r="B2" s="74" t="s">
        <v>51</v>
      </c>
    </row>
    <row r="3" spans="2:14" ht="14.1" customHeight="1" x14ac:dyDescent="0.25"/>
    <row r="4" spans="2:14" ht="19.649999999999999" customHeight="1" thickBot="1" x14ac:dyDescent="0.3">
      <c r="B4" s="369" t="s">
        <v>9</v>
      </c>
    </row>
    <row r="5" spans="2:14" ht="17.100000000000001" customHeight="1" x14ac:dyDescent="0.25">
      <c r="B5" s="26" t="s">
        <v>52</v>
      </c>
      <c r="C5" s="27"/>
      <c r="D5" s="28"/>
    </row>
    <row r="6" spans="2:14" ht="17.100000000000001" customHeight="1" x14ac:dyDescent="0.25">
      <c r="B6" s="432" t="s">
        <v>5</v>
      </c>
      <c r="C6" s="433"/>
      <c r="D6" s="11">
        <v>2</v>
      </c>
    </row>
    <row r="7" spans="2:14" ht="17.100000000000001" customHeight="1" x14ac:dyDescent="0.25">
      <c r="B7" s="432" t="s">
        <v>4</v>
      </c>
      <c r="C7" s="433"/>
      <c r="D7" s="11" t="str">
        <f>INDEX('Referenčne količine'!$B$4:$E$14,MATCH(B7,('Referenčne količine'!$B$4:$B$14),0),MATCH($D$6,'Referenčne količine'!$B$5:$E$5,0))</f>
        <v>OB02</v>
      </c>
    </row>
    <row r="8" spans="2:14" ht="42.6" customHeight="1" x14ac:dyDescent="0.25">
      <c r="B8" s="432" t="s">
        <v>3</v>
      </c>
      <c r="C8" s="433"/>
      <c r="D8" s="65" t="str">
        <f>INDEX('Referenčne količine'!$B$4:$E$14,MATCH(B8,('Referenčne količine'!$B$4:$B$14),0),MATCH($D$6,'Referenčne količine'!$B$5:$E$5,0))</f>
        <v>Letalska baza Brnik</v>
      </c>
    </row>
    <row r="9" spans="2:14" ht="17.100000000000001" customHeight="1" x14ac:dyDescent="0.25">
      <c r="B9" s="21" t="s">
        <v>19</v>
      </c>
      <c r="C9" s="14" t="s">
        <v>64</v>
      </c>
      <c r="D9" s="11">
        <f>INDEX('Referenčne količine'!$B$4:$E$14,MATCH(B9,('Referenčne količine'!$B$4:$B$14),0),MATCH($D$6,'Referenčne količine'!$B$5:$E$5,0))</f>
        <v>5858</v>
      </c>
    </row>
    <row r="10" spans="2:14" ht="17.100000000000001" customHeight="1" thickBot="1" x14ac:dyDescent="0.3">
      <c r="B10" s="12" t="s">
        <v>53</v>
      </c>
      <c r="C10" s="29"/>
      <c r="D10" s="30"/>
      <c r="K10" s="369" t="s">
        <v>55</v>
      </c>
    </row>
    <row r="11" spans="2:14" ht="17.100000000000001" customHeight="1" x14ac:dyDescent="0.25">
      <c r="B11" s="241" t="s">
        <v>14</v>
      </c>
      <c r="C11" s="19"/>
      <c r="D11" s="11" t="str">
        <f>INDEX('Referenčne količine'!$B$15:$E$27,MATCH(B11,('Referenčne količine'!$B$15:$B$27),0),MATCH($D$6,'Referenčne količine'!$B$5:$E$5,0))</f>
        <v>ELKO</v>
      </c>
      <c r="K11" s="318" t="s">
        <v>55</v>
      </c>
      <c r="L11" s="319"/>
      <c r="M11" s="320"/>
      <c r="N11" s="116" t="str">
        <f>D7</f>
        <v>OB02</v>
      </c>
    </row>
    <row r="12" spans="2:14" ht="17.100000000000001" customHeight="1" x14ac:dyDescent="0.25">
      <c r="B12" s="20" t="s">
        <v>25</v>
      </c>
      <c r="C12" s="15" t="s">
        <v>18</v>
      </c>
      <c r="D12" s="57">
        <f>INDEX('Referenčne količine'!$B$15:$E$27,MATCH(B12,('Referenčne količine'!$B$15:$B$27),0),MATCH($D$6,'Referenčne količine'!$B$5:$E$5,0))</f>
        <v>1052656</v>
      </c>
      <c r="K12" s="209" t="s">
        <v>56</v>
      </c>
      <c r="L12" s="210"/>
      <c r="M12" s="211"/>
      <c r="N12" s="117" t="s">
        <v>58</v>
      </c>
    </row>
    <row r="13" spans="2:14" ht="17.100000000000001" customHeight="1" x14ac:dyDescent="0.25">
      <c r="B13" s="20" t="s">
        <v>26</v>
      </c>
      <c r="C13" s="15" t="s">
        <v>18</v>
      </c>
      <c r="D13" s="57">
        <f>INDEX('Referenčne količine'!$B$15:$E$27,MATCH(B13,('Referenčne količine'!$B$15:$B$27),0),MATCH($D$6,'Referenčne količine'!$B$5:$E$5,0))</f>
        <v>230874</v>
      </c>
      <c r="K13" s="449"/>
      <c r="L13" s="450"/>
      <c r="M13" s="451"/>
      <c r="N13" s="382"/>
    </row>
    <row r="14" spans="2:14" ht="17.100000000000001" customHeight="1" x14ac:dyDescent="0.25">
      <c r="B14" s="20" t="s">
        <v>27</v>
      </c>
      <c r="C14" s="15" t="s">
        <v>18</v>
      </c>
      <c r="D14" s="57">
        <f>INDEX('Referenčne količine'!$B$15:$E$27,MATCH(B14,('Referenčne količine'!$B$15:$B$27),0),MATCH($D$6,'Referenčne količine'!$B$5:$E$5,0))</f>
        <v>1283530</v>
      </c>
      <c r="K14" s="449"/>
      <c r="L14" s="450"/>
      <c r="M14" s="451"/>
      <c r="N14" s="382"/>
    </row>
    <row r="15" spans="2:14" ht="17.100000000000001" customHeight="1" x14ac:dyDescent="0.25">
      <c r="B15" s="20" t="s">
        <v>28</v>
      </c>
      <c r="C15" s="15" t="s">
        <v>18</v>
      </c>
      <c r="D15" s="57">
        <f>INDEX('Referenčne količine'!$B$15:$E$27,MATCH(B15,('Referenčne količine'!$B$15:$B$27),0),MATCH($D$6,'Referenčne količine'!$B$5:$E$5,0))</f>
        <v>1125632</v>
      </c>
      <c r="K15" s="449"/>
      <c r="L15" s="450"/>
      <c r="M15" s="451"/>
      <c r="N15" s="382"/>
    </row>
    <row r="16" spans="2:14" ht="17.100000000000001" customHeight="1" x14ac:dyDescent="0.25">
      <c r="B16" s="20" t="s">
        <v>29</v>
      </c>
      <c r="C16" s="15" t="s">
        <v>18</v>
      </c>
      <c r="D16" s="57">
        <f>INDEX('Referenčne količine'!$B$15:$E$27,MATCH(B16,('Referenčne količine'!$B$15:$B$27),0),MATCH($D$6,'Referenčne količine'!$B$5:$E$5,0))</f>
        <v>105266</v>
      </c>
      <c r="K16" s="449"/>
      <c r="L16" s="450"/>
      <c r="M16" s="451"/>
      <c r="N16" s="382"/>
    </row>
    <row r="17" spans="2:14" ht="17.100000000000001" customHeight="1" x14ac:dyDescent="0.25">
      <c r="B17" s="20" t="s">
        <v>30</v>
      </c>
      <c r="C17" s="15" t="s">
        <v>18</v>
      </c>
      <c r="D17" s="57">
        <f>INDEX('Referenčne količine'!$B$15:$E$27,MATCH(B17,('Referenčne količine'!$B$15:$B$27),0),MATCH($D$6,'Referenčne količine'!$B$5:$E$5,0))</f>
        <v>52633</v>
      </c>
      <c r="K17" s="449"/>
      <c r="L17" s="450"/>
      <c r="M17" s="451"/>
      <c r="N17" s="382"/>
    </row>
    <row r="18" spans="2:14" ht="17.100000000000001" customHeight="1" x14ac:dyDescent="0.25">
      <c r="B18" s="20" t="s">
        <v>31</v>
      </c>
      <c r="C18" s="15" t="s">
        <v>18</v>
      </c>
      <c r="D18" s="57">
        <f>INDEX('Referenčne količine'!$B$15:$E$27,MATCH(B18,('Referenčne količine'!$B$15:$B$27),0),MATCH($D$6,'Referenčne količine'!$B$5:$E$5,0))</f>
        <v>0</v>
      </c>
      <c r="K18" s="452"/>
      <c r="L18" s="453"/>
      <c r="M18" s="454"/>
      <c r="N18" s="311"/>
    </row>
    <row r="19" spans="2:14" ht="17.100000000000001" customHeight="1" x14ac:dyDescent="0.3">
      <c r="B19" s="20" t="s">
        <v>32</v>
      </c>
      <c r="C19" s="15" t="s">
        <v>23</v>
      </c>
      <c r="D19" s="58">
        <f>INDEX('Referenčne količine'!$B$15:$E$27,MATCH(B19,('Referenčne količine'!$B$15:$B$27),0),MATCH($D$6,'Referenčne količine'!$B$5:$E$5,0))</f>
        <v>83</v>
      </c>
      <c r="E19" s="370"/>
      <c r="K19" s="452"/>
      <c r="L19" s="453"/>
      <c r="M19" s="454"/>
      <c r="N19" s="311"/>
    </row>
    <row r="20" spans="2:14" ht="17.100000000000001" customHeight="1" x14ac:dyDescent="0.25">
      <c r="B20" s="20" t="s">
        <v>33</v>
      </c>
      <c r="C20" s="15" t="s">
        <v>24</v>
      </c>
      <c r="D20" s="59">
        <f>INDEX('Referenčne količine'!$B$15:$E$27,MATCH(B20,('Referenčne količine'!$B$15:$B$27),0),MATCH($D$6,'Referenčne količine'!$B$5:$E$5,0))</f>
        <v>87370.448000000004</v>
      </c>
      <c r="K20" s="452"/>
      <c r="L20" s="453"/>
      <c r="M20" s="454"/>
      <c r="N20" s="311"/>
    </row>
    <row r="21" spans="2:14" ht="17.100000000000001" customHeight="1" x14ac:dyDescent="0.25">
      <c r="B21" s="20" t="s">
        <v>34</v>
      </c>
      <c r="C21" s="15" t="s">
        <v>24</v>
      </c>
      <c r="D21" s="59">
        <f>INDEX('Referenčne količine'!$B$15:$E$27,MATCH(B21,('Referenčne količine'!$B$15:$B$27),0),MATCH($D$6,'Referenčne količine'!$B$5:$E$5,0))</f>
        <v>19162.542000000001</v>
      </c>
      <c r="K21" s="440"/>
      <c r="L21" s="441"/>
      <c r="M21" s="442"/>
      <c r="N21" s="311"/>
    </row>
    <row r="22" spans="2:14" ht="17.100000000000001" customHeight="1" x14ac:dyDescent="0.25">
      <c r="B22" s="242" t="s">
        <v>35</v>
      </c>
      <c r="C22" s="243" t="s">
        <v>24</v>
      </c>
      <c r="D22" s="59">
        <f>INDEX('Referenčne količine'!$B$15:$E$27,MATCH(B22,('Referenčne količine'!$B$15:$B$27),0),MATCH($D$6,'Referenčne količine'!$B$5:$E$5,0))</f>
        <v>106532.99</v>
      </c>
      <c r="K22" s="438"/>
      <c r="L22" s="439"/>
      <c r="M22" s="439"/>
      <c r="N22" s="311"/>
    </row>
    <row r="23" spans="2:14" ht="17.100000000000001" customHeight="1" x14ac:dyDescent="0.25">
      <c r="B23" s="326" t="s">
        <v>54</v>
      </c>
      <c r="C23" s="327"/>
      <c r="D23" s="328"/>
      <c r="K23" s="438"/>
      <c r="L23" s="439"/>
      <c r="M23" s="439"/>
      <c r="N23" s="311"/>
    </row>
    <row r="24" spans="2:14" ht="17.100000000000001" customHeight="1" x14ac:dyDescent="0.25">
      <c r="B24" s="22" t="s">
        <v>25</v>
      </c>
      <c r="C24" s="10" t="s">
        <v>18</v>
      </c>
      <c r="D24" s="57">
        <f>INDEX('Referenčne količine'!$B$28:$E$40,MATCH(B24,('Referenčne količine'!$B$28:$B$40),0),MATCH($D$6,'Referenčne količine'!$B$5:$E$5,0))</f>
        <v>662658</v>
      </c>
      <c r="K24" s="438"/>
      <c r="L24" s="439"/>
      <c r="M24" s="439"/>
      <c r="N24" s="311"/>
    </row>
    <row r="25" spans="2:14" ht="17.100000000000001" customHeight="1" x14ac:dyDescent="0.25">
      <c r="B25" s="22" t="s">
        <v>26</v>
      </c>
      <c r="C25" s="10" t="s">
        <v>18</v>
      </c>
      <c r="D25" s="57">
        <f>INDEX('Referenčne količine'!$B$28:$E$40,MATCH(B25,('Referenčne količine'!$B$28:$B$40),0),MATCH($D$6,'Referenčne količine'!$B$5:$E$5,0))</f>
        <v>0</v>
      </c>
      <c r="K25" s="438"/>
      <c r="L25" s="439"/>
      <c r="M25" s="439"/>
      <c r="N25" s="311"/>
    </row>
    <row r="26" spans="2:14" ht="17.100000000000001" customHeight="1" x14ac:dyDescent="0.25">
      <c r="B26" s="22" t="s">
        <v>27</v>
      </c>
      <c r="C26" s="10" t="s">
        <v>18</v>
      </c>
      <c r="D26" s="57">
        <f>INDEX('Referenčne količine'!$B$28:$E$40,MATCH(B26,('Referenčne količine'!$B$28:$B$40),0),MATCH($D$6,'Referenčne količine'!$B$5:$E$5,0))</f>
        <v>662658</v>
      </c>
      <c r="K26" s="438"/>
      <c r="L26" s="439"/>
      <c r="M26" s="439"/>
      <c r="N26" s="311"/>
    </row>
    <row r="27" spans="2:14" ht="17.100000000000001" customHeight="1" x14ac:dyDescent="0.25">
      <c r="B27" s="282" t="s">
        <v>168</v>
      </c>
      <c r="C27" s="10" t="s">
        <v>18</v>
      </c>
      <c r="D27" s="57">
        <f>INDEX('Referenčne količine'!$B$28:$E$40,MATCH(B27,('Referenčne količine'!$B$28:$B$40),0),MATCH($D$6,'Referenčne količine'!$B$5:$E$5,0))</f>
        <v>0</v>
      </c>
      <c r="K27" s="438"/>
      <c r="L27" s="439"/>
      <c r="M27" s="439"/>
      <c r="N27" s="311"/>
    </row>
    <row r="28" spans="2:14" ht="17.100000000000001" customHeight="1" x14ac:dyDescent="0.25">
      <c r="B28" s="22" t="s">
        <v>29</v>
      </c>
      <c r="C28" s="10" t="s">
        <v>18</v>
      </c>
      <c r="D28" s="57">
        <f>INDEX('Referenčne količine'!$B$28:$E$40,MATCH(B28,('Referenčne količine'!$B$28:$B$40),0),MATCH($D$6,'Referenčne količine'!$B$5:$E$5,0))</f>
        <v>0</v>
      </c>
      <c r="K28" s="438"/>
      <c r="L28" s="439"/>
      <c r="M28" s="439"/>
      <c r="N28" s="311"/>
    </row>
    <row r="29" spans="2:14" ht="17.100000000000001" customHeight="1" x14ac:dyDescent="0.25">
      <c r="B29" s="22" t="s">
        <v>30</v>
      </c>
      <c r="C29" s="10" t="s">
        <v>18</v>
      </c>
      <c r="D29" s="57">
        <f>INDEX('Referenčne količine'!$B$28:$E$40,MATCH(B29,('Referenčne količine'!$B$28:$B$40),0),MATCH($D$6,'Referenčne količine'!$B$5:$E$5,0))</f>
        <v>0</v>
      </c>
      <c r="K29" s="438"/>
      <c r="L29" s="439"/>
      <c r="M29" s="439"/>
      <c r="N29" s="311"/>
    </row>
    <row r="30" spans="2:14" ht="17.100000000000001" customHeight="1" x14ac:dyDescent="0.25">
      <c r="B30" s="22" t="s">
        <v>36</v>
      </c>
      <c r="C30" s="10" t="s">
        <v>18</v>
      </c>
      <c r="D30" s="57">
        <f>INDEX('Referenčne količine'!$B$28:$E$40,MATCH(B30,('Referenčne količine'!$B$28:$B$40),0),MATCH($D$6,'Referenčne količine'!$B$5:$E$5,0))</f>
        <v>268879.46683856496</v>
      </c>
      <c r="K30" s="438"/>
      <c r="L30" s="439"/>
      <c r="M30" s="439"/>
      <c r="N30" s="311"/>
    </row>
    <row r="31" spans="2:14" ht="17.100000000000001" customHeight="1" x14ac:dyDescent="0.25">
      <c r="B31" s="22" t="s">
        <v>31</v>
      </c>
      <c r="C31" s="10" t="s">
        <v>18</v>
      </c>
      <c r="D31" s="57">
        <f>INDEX('Referenčne količine'!$B$28:$E$40,MATCH(B31,('Referenčne količine'!$B$28:$B$40),0),MATCH($D$6,'Referenčne količine'!$B$5:$E$5,0))</f>
        <v>393778.53316143504</v>
      </c>
      <c r="K31" s="438"/>
      <c r="L31" s="439"/>
      <c r="M31" s="439"/>
      <c r="N31" s="311"/>
    </row>
    <row r="32" spans="2:14" ht="17.100000000000001" customHeight="1" x14ac:dyDescent="0.25">
      <c r="B32" s="22" t="s">
        <v>32</v>
      </c>
      <c r="C32" s="10" t="s">
        <v>23</v>
      </c>
      <c r="D32" s="58">
        <f>INDEX('Referenčne količine'!$B$28:$E$40,MATCH(B32,('Referenčne količine'!$B$28:$B$40),0),MATCH($D$6,'Referenčne količine'!$B$5:$E$5,0))</f>
        <v>92.28</v>
      </c>
      <c r="K32" s="438"/>
      <c r="L32" s="439"/>
      <c r="M32" s="439"/>
      <c r="N32" s="311"/>
    </row>
    <row r="33" spans="2:14" ht="17.100000000000001" customHeight="1" x14ac:dyDescent="0.25">
      <c r="B33" s="22" t="s">
        <v>33</v>
      </c>
      <c r="C33" s="10" t="s">
        <v>24</v>
      </c>
      <c r="D33" s="59">
        <f>INDEX('Referenčne količine'!$B$28:$E$40,MATCH(B33,('Referenčne količine'!$B$28:$B$40),0),MATCH($D$6,'Referenčne količine'!$B$5:$E$5,0))</f>
        <v>61150.080240000003</v>
      </c>
      <c r="K33" s="209" t="s">
        <v>57</v>
      </c>
      <c r="L33" s="210"/>
      <c r="M33" s="211"/>
      <c r="N33" s="63">
        <f>SUM(N13:N32)</f>
        <v>0</v>
      </c>
    </row>
    <row r="34" spans="2:14" ht="17.100000000000001" customHeight="1" x14ac:dyDescent="0.25">
      <c r="B34" s="22" t="s">
        <v>34</v>
      </c>
      <c r="C34" s="10" t="s">
        <v>24</v>
      </c>
      <c r="D34" s="59">
        <f>INDEX('Referenčne količine'!$B$28:$E$40,MATCH(B34,('Referenčne količine'!$B$28:$B$40),0),MATCH($D$6,'Referenčne količine'!$B$5:$E$5,0))</f>
        <v>0</v>
      </c>
      <c r="K34" s="209" t="s">
        <v>59</v>
      </c>
      <c r="L34" s="210"/>
      <c r="M34" s="211"/>
      <c r="N34" s="63">
        <f>0.22*N33</f>
        <v>0</v>
      </c>
    </row>
    <row r="35" spans="2:14" ht="17.100000000000001" customHeight="1" thickBot="1" x14ac:dyDescent="0.3">
      <c r="B35" s="22" t="s">
        <v>35</v>
      </c>
      <c r="C35" s="10" t="s">
        <v>24</v>
      </c>
      <c r="D35" s="59">
        <f>INDEX('Referenčne količine'!$B$28:$E$40,MATCH(B35,('Referenčne količine'!$B$28:$B$40),0),MATCH($D$6,'Referenčne količine'!$B$5:$E$5,0))</f>
        <v>61150.080240000003</v>
      </c>
      <c r="K35" s="212" t="s">
        <v>117</v>
      </c>
      <c r="L35" s="213"/>
      <c r="M35" s="214"/>
      <c r="N35" s="119">
        <f>N33+N34</f>
        <v>0</v>
      </c>
    </row>
    <row r="36" spans="2:14" ht="17.100000000000001" customHeight="1" x14ac:dyDescent="0.25">
      <c r="B36" s="31" t="s">
        <v>37</v>
      </c>
      <c r="C36" s="32"/>
      <c r="D36" s="33"/>
    </row>
    <row r="37" spans="2:14" ht="28.35" customHeight="1" x14ac:dyDescent="0.25">
      <c r="B37" s="23" t="s">
        <v>38</v>
      </c>
      <c r="C37" s="16" t="s">
        <v>24</v>
      </c>
      <c r="D37" s="59">
        <f>INDEX('Referenčne količine'!$B$41:$E$42,MATCH(B37,('Referenčne količine'!$B$41:$B$42),0),MATCH($D$6,'Referenčne količine'!$B$5:$E$5,0))</f>
        <v>11981.94423114754</v>
      </c>
    </row>
    <row r="38" spans="2:14" ht="17.100000000000001" customHeight="1" x14ac:dyDescent="0.25">
      <c r="B38" s="34" t="s">
        <v>39</v>
      </c>
      <c r="C38" s="35"/>
      <c r="D38" s="36"/>
    </row>
    <row r="39" spans="2:14" ht="17.100000000000001" customHeight="1" x14ac:dyDescent="0.25">
      <c r="B39" s="24" t="s">
        <v>40</v>
      </c>
      <c r="C39" s="17" t="s">
        <v>24</v>
      </c>
      <c r="D39" s="59">
        <f>INDEX('Referenčne količine'!$B$43:$E$45,MATCH(B39,('Referenčne količine'!$B$43:$B$45),0),MATCH($D$6,'Referenčne količine'!$B$5:$E$5,0))</f>
        <v>160502.47247114754</v>
      </c>
    </row>
    <row r="40" spans="2:14" ht="17.100000000000001" customHeight="1" thickBot="1" x14ac:dyDescent="0.3">
      <c r="B40" s="25" t="s">
        <v>41</v>
      </c>
      <c r="C40" s="18" t="s">
        <v>24</v>
      </c>
      <c r="D40" s="60">
        <f>INDEX('Referenčne količine'!$B$43:$E$45,MATCH(B40,('Referenčne količine'!$B$43:$B$45),0),MATCH($D$6,'Referenčne količine'!$B$5:$E$5,0))</f>
        <v>179665.01447114753</v>
      </c>
    </row>
    <row r="41" spans="2:14" ht="14.1" customHeight="1" x14ac:dyDescent="0.25"/>
    <row r="42" spans="2:14" ht="14.1" customHeight="1" x14ac:dyDescent="0.25"/>
    <row r="43" spans="2:14" ht="14.1" customHeight="1" x14ac:dyDescent="0.25"/>
    <row r="44" spans="2:14" ht="14.1" customHeight="1" x14ac:dyDescent="0.25"/>
    <row r="45" spans="2:14" ht="14.1" customHeight="1" x14ac:dyDescent="0.25"/>
    <row r="46" spans="2:14" ht="14.1" customHeight="1" x14ac:dyDescent="0.25"/>
    <row r="47" spans="2:14" ht="14.1" customHeight="1" x14ac:dyDescent="0.25"/>
    <row r="48" spans="2:14" ht="14.1" customHeight="1" x14ac:dyDescent="0.25"/>
    <row r="49" spans="2:25" ht="14.1" customHeight="1" x14ac:dyDescent="0.25"/>
    <row r="50" spans="2:25" ht="14.1" customHeight="1" x14ac:dyDescent="0.25"/>
    <row r="51" spans="2:25" ht="14.1" customHeight="1" x14ac:dyDescent="0.25"/>
    <row r="52" spans="2:25" ht="14.1" customHeight="1" x14ac:dyDescent="0.25">
      <c r="R52" s="343"/>
      <c r="Y52" s="343"/>
    </row>
    <row r="53" spans="2:25" ht="14.1" customHeight="1" x14ac:dyDescent="0.25"/>
    <row r="54" spans="2:25" ht="14.1" customHeight="1" x14ac:dyDescent="0.3">
      <c r="N54" s="370"/>
      <c r="O54" s="370"/>
      <c r="P54" s="370"/>
    </row>
    <row r="55" spans="2:25" ht="14.1" customHeight="1" x14ac:dyDescent="0.3">
      <c r="N55" s="337"/>
      <c r="O55" s="337"/>
      <c r="P55" s="337"/>
    </row>
    <row r="56" spans="2:25" ht="17.100000000000001" customHeight="1" thickBot="1" x14ac:dyDescent="0.35">
      <c r="B56" s="369" t="s">
        <v>60</v>
      </c>
      <c r="K56" s="369" t="s">
        <v>89</v>
      </c>
      <c r="N56" s="370"/>
      <c r="O56" s="370"/>
      <c r="P56" s="370"/>
    </row>
    <row r="57" spans="2:25" ht="17.100000000000001" customHeight="1" x14ac:dyDescent="0.3">
      <c r="B57" s="371" t="s">
        <v>61</v>
      </c>
      <c r="C57" s="372"/>
      <c r="D57" s="372"/>
      <c r="E57" s="373"/>
      <c r="K57" s="268" t="s">
        <v>82</v>
      </c>
      <c r="L57" s="269"/>
      <c r="M57" s="270"/>
      <c r="N57" s="370"/>
      <c r="O57" s="370"/>
      <c r="P57" s="370"/>
    </row>
    <row r="58" spans="2:25" ht="17.100000000000001" customHeight="1" x14ac:dyDescent="0.3">
      <c r="B58" s="38" t="s">
        <v>14</v>
      </c>
      <c r="C58" s="7" t="str">
        <f>D11</f>
        <v>ELKO</v>
      </c>
      <c r="D58" s="7" t="s">
        <v>18</v>
      </c>
      <c r="E58" s="57">
        <f>SUM(C92:F92)</f>
        <v>0</v>
      </c>
      <c r="K58" s="48" t="s">
        <v>83</v>
      </c>
      <c r="L58" s="49" t="s">
        <v>86</v>
      </c>
      <c r="M58" s="50" t="s">
        <v>84</v>
      </c>
      <c r="N58" s="336"/>
      <c r="O58" s="336"/>
      <c r="P58" s="370"/>
      <c r="Y58" s="340"/>
    </row>
    <row r="59" spans="2:25" ht="17.100000000000001" customHeight="1" x14ac:dyDescent="0.3">
      <c r="B59" s="38" t="s">
        <v>15</v>
      </c>
      <c r="C59" s="7" t="s">
        <v>62</v>
      </c>
      <c r="D59" s="7" t="s">
        <v>18</v>
      </c>
      <c r="E59" s="57">
        <f>SUM(C93:F93)</f>
        <v>0</v>
      </c>
      <c r="F59" s="331" t="s">
        <v>221</v>
      </c>
      <c r="G59" s="331"/>
      <c r="K59" s="51">
        <v>1</v>
      </c>
      <c r="L59" s="46">
        <f t="shared" ref="L59:L71" si="0">$E$85</f>
        <v>143327.13143101032</v>
      </c>
      <c r="M59" s="47">
        <f t="shared" ref="M59:M71" si="1">L59/((1+$M$76)^K59)</f>
        <v>137814.54945289454</v>
      </c>
      <c r="N59" s="336"/>
      <c r="O59" s="336"/>
      <c r="P59" s="370"/>
      <c r="Y59" s="340"/>
    </row>
    <row r="60" spans="2:25" ht="17.100000000000001" customHeight="1" x14ac:dyDescent="0.3">
      <c r="B60" s="38" t="s">
        <v>116</v>
      </c>
      <c r="C60" s="383" t="s">
        <v>197</v>
      </c>
      <c r="D60" s="7" t="s">
        <v>18</v>
      </c>
      <c r="E60" s="57">
        <f>SUM(C94:F94)</f>
        <v>0</v>
      </c>
      <c r="K60" s="51">
        <v>2</v>
      </c>
      <c r="L60" s="46">
        <f t="shared" si="0"/>
        <v>143327.13143101032</v>
      </c>
      <c r="M60" s="47">
        <f t="shared" si="1"/>
        <v>132513.98985855244</v>
      </c>
      <c r="N60" s="336"/>
      <c r="O60" s="336"/>
      <c r="P60" s="370"/>
      <c r="Y60" s="340"/>
    </row>
    <row r="61" spans="2:25" ht="17.100000000000001" customHeight="1" x14ac:dyDescent="0.3">
      <c r="B61" s="38" t="s">
        <v>65</v>
      </c>
      <c r="C61" s="7" t="str">
        <f>C58</f>
        <v>ELKO</v>
      </c>
      <c r="D61" s="7" t="s">
        <v>23</v>
      </c>
      <c r="E61" s="62">
        <f>D19</f>
        <v>83</v>
      </c>
      <c r="K61" s="51">
        <v>3</v>
      </c>
      <c r="L61" s="46">
        <f t="shared" si="0"/>
        <v>143327.13143101032</v>
      </c>
      <c r="M61" s="47">
        <f t="shared" si="1"/>
        <v>127417.2979409158</v>
      </c>
      <c r="N61" s="336"/>
      <c r="O61" s="336"/>
      <c r="P61" s="370"/>
      <c r="Y61" s="340"/>
    </row>
    <row r="62" spans="2:25" ht="17.100000000000001" customHeight="1" x14ac:dyDescent="0.3">
      <c r="B62" s="38" t="s">
        <v>66</v>
      </c>
      <c r="C62" s="7" t="str">
        <f t="shared" ref="C62:C63" si="2">C59</f>
        <v>EE za TČ</v>
      </c>
      <c r="D62" s="7" t="s">
        <v>23</v>
      </c>
      <c r="E62" s="62"/>
      <c r="K62" s="51">
        <v>4</v>
      </c>
      <c r="L62" s="46">
        <f t="shared" si="0"/>
        <v>143327.13143101032</v>
      </c>
      <c r="M62" s="47">
        <f t="shared" si="1"/>
        <v>122516.63263549595</v>
      </c>
      <c r="N62" s="336"/>
      <c r="O62" s="336"/>
      <c r="P62" s="370"/>
      <c r="Y62" s="340"/>
    </row>
    <row r="63" spans="2:25" ht="17.100000000000001" customHeight="1" x14ac:dyDescent="0.3">
      <c r="B63" s="38" t="s">
        <v>67</v>
      </c>
      <c r="C63" s="383" t="str">
        <f t="shared" si="2"/>
        <v>ZP</v>
      </c>
      <c r="D63" s="7" t="s">
        <v>23</v>
      </c>
      <c r="E63" s="384">
        <v>42.2</v>
      </c>
      <c r="F63" s="412"/>
      <c r="K63" s="51">
        <v>5</v>
      </c>
      <c r="L63" s="46">
        <f t="shared" si="0"/>
        <v>143327.13143101032</v>
      </c>
      <c r="M63" s="47">
        <f t="shared" si="1"/>
        <v>117804.45445720763</v>
      </c>
      <c r="N63" s="336"/>
      <c r="O63" s="336"/>
      <c r="P63" s="370"/>
      <c r="Y63" s="340"/>
    </row>
    <row r="64" spans="2:25" ht="17.100000000000001" customHeight="1" x14ac:dyDescent="0.3">
      <c r="B64" s="38" t="s">
        <v>68</v>
      </c>
      <c r="C64" s="7" t="str">
        <f>C58</f>
        <v>ELKO</v>
      </c>
      <c r="D64" s="7" t="s">
        <v>18</v>
      </c>
      <c r="E64" s="61">
        <f>D14-E58</f>
        <v>1283530</v>
      </c>
      <c r="K64" s="51">
        <v>6</v>
      </c>
      <c r="L64" s="46">
        <f t="shared" si="0"/>
        <v>143327.13143101032</v>
      </c>
      <c r="M64" s="47">
        <f t="shared" si="1"/>
        <v>113273.51390116118</v>
      </c>
      <c r="N64" s="336"/>
      <c r="O64" s="336"/>
      <c r="P64" s="370"/>
      <c r="Y64" s="340"/>
    </row>
    <row r="65" spans="2:25" ht="17.100000000000001" customHeight="1" x14ac:dyDescent="0.3">
      <c r="B65" s="38" t="s">
        <v>69</v>
      </c>
      <c r="C65" s="7" t="str">
        <f t="shared" ref="C65:C66" si="3">C59</f>
        <v>EE za TČ</v>
      </c>
      <c r="D65" s="7" t="s">
        <v>18</v>
      </c>
      <c r="E65" s="61">
        <f>(-1)*E59</f>
        <v>0</v>
      </c>
      <c r="K65" s="51">
        <v>7</v>
      </c>
      <c r="L65" s="46">
        <f t="shared" si="0"/>
        <v>143327.13143101032</v>
      </c>
      <c r="M65" s="47">
        <f t="shared" si="1"/>
        <v>108916.84028957807</v>
      </c>
      <c r="N65" s="336"/>
      <c r="O65" s="336"/>
      <c r="P65" s="370"/>
      <c r="Y65" s="340"/>
    </row>
    <row r="66" spans="2:25" ht="17.100000000000001" customHeight="1" x14ac:dyDescent="0.3">
      <c r="B66" s="38" t="s">
        <v>70</v>
      </c>
      <c r="C66" s="383" t="str">
        <f t="shared" si="3"/>
        <v>ZP</v>
      </c>
      <c r="D66" s="7" t="s">
        <v>18</v>
      </c>
      <c r="E66" s="61">
        <f>(-1)*E60</f>
        <v>0</v>
      </c>
      <c r="K66" s="51">
        <v>8</v>
      </c>
      <c r="L66" s="46">
        <f t="shared" si="0"/>
        <v>143327.13143101032</v>
      </c>
      <c r="M66" s="47">
        <f t="shared" si="1"/>
        <v>104727.7310476712</v>
      </c>
      <c r="N66" s="336"/>
      <c r="O66" s="336"/>
      <c r="P66" s="370"/>
      <c r="Y66" s="340"/>
    </row>
    <row r="67" spans="2:25" ht="17.100000000000001" customHeight="1" x14ac:dyDescent="0.3">
      <c r="B67" s="38" t="s">
        <v>71</v>
      </c>
      <c r="C67" s="5"/>
      <c r="D67" s="7" t="s">
        <v>24</v>
      </c>
      <c r="E67" s="63">
        <f>(E58*E61+E59*E62+E60*E63)/1000</f>
        <v>0</v>
      </c>
      <c r="K67" s="51">
        <v>9</v>
      </c>
      <c r="L67" s="46">
        <f t="shared" si="0"/>
        <v>143327.13143101032</v>
      </c>
      <c r="M67" s="47">
        <f t="shared" si="1"/>
        <v>100699.74139199153</v>
      </c>
      <c r="N67" s="336"/>
      <c r="O67" s="336"/>
      <c r="P67" s="370"/>
      <c r="Y67" s="340"/>
    </row>
    <row r="68" spans="2:25" ht="17.100000000000001" customHeight="1" x14ac:dyDescent="0.3">
      <c r="B68" s="154" t="s">
        <v>79</v>
      </c>
      <c r="C68" s="155"/>
      <c r="D68" s="7" t="s">
        <v>24</v>
      </c>
      <c r="E68" s="63">
        <f>D22+-E67</f>
        <v>106532.99</v>
      </c>
      <c r="K68" s="51">
        <v>10</v>
      </c>
      <c r="L68" s="46">
        <f t="shared" si="0"/>
        <v>143327.13143101032</v>
      </c>
      <c r="M68" s="47">
        <f t="shared" si="1"/>
        <v>96826.674415376474</v>
      </c>
      <c r="N68" s="336"/>
      <c r="O68" s="336"/>
      <c r="P68" s="370"/>
      <c r="Y68" s="340"/>
    </row>
    <row r="69" spans="2:25" ht="17.100000000000001" customHeight="1" thickBot="1" x14ac:dyDescent="0.35">
      <c r="B69" s="156" t="s">
        <v>101</v>
      </c>
      <c r="C69" s="157"/>
      <c r="D69" s="55" t="s">
        <v>73</v>
      </c>
      <c r="E69" s="167">
        <f>E68/D22</f>
        <v>1</v>
      </c>
      <c r="K69" s="51">
        <v>11</v>
      </c>
      <c r="L69" s="46">
        <f t="shared" si="0"/>
        <v>143327.13143101032</v>
      </c>
      <c r="M69" s="47">
        <f t="shared" si="1"/>
        <v>93102.571553246613</v>
      </c>
      <c r="N69" s="336"/>
      <c r="O69" s="336"/>
      <c r="P69" s="370"/>
      <c r="Y69" s="340"/>
    </row>
    <row r="70" spans="2:25" ht="14.1" customHeight="1" thickBot="1" x14ac:dyDescent="0.35">
      <c r="B70" s="1"/>
      <c r="C70" s="1"/>
      <c r="D70" s="1"/>
      <c r="E70" s="1"/>
      <c r="K70" s="51">
        <v>12</v>
      </c>
      <c r="L70" s="46">
        <f t="shared" si="0"/>
        <v>143327.13143101032</v>
      </c>
      <c r="M70" s="47">
        <f t="shared" si="1"/>
        <v>89521.703416583259</v>
      </c>
      <c r="N70" s="336"/>
      <c r="O70" s="336"/>
      <c r="P70" s="370"/>
      <c r="Y70" s="340"/>
    </row>
    <row r="71" spans="2:25" ht="17.100000000000001" customHeight="1" x14ac:dyDescent="0.3">
      <c r="B71" s="274" t="s">
        <v>76</v>
      </c>
      <c r="C71" s="275"/>
      <c r="D71" s="275"/>
      <c r="E71" s="276"/>
      <c r="K71" s="51">
        <v>13</v>
      </c>
      <c r="L71" s="46">
        <f t="shared" si="0"/>
        <v>143327.13143101032</v>
      </c>
      <c r="M71" s="47">
        <f t="shared" si="1"/>
        <v>86078.56097748391</v>
      </c>
      <c r="N71" s="336"/>
      <c r="O71" s="336"/>
      <c r="P71" s="370"/>
      <c r="Y71" s="340"/>
    </row>
    <row r="72" spans="2:25" ht="17.100000000000001" customHeight="1" x14ac:dyDescent="0.3">
      <c r="B72" s="40" t="s">
        <v>74</v>
      </c>
      <c r="C72" s="8" t="s">
        <v>75</v>
      </c>
      <c r="D72" s="8" t="s">
        <v>18</v>
      </c>
      <c r="E72" s="61">
        <f>SUM(C97:H97)</f>
        <v>393778.53316143504</v>
      </c>
      <c r="K72" s="51">
        <v>14</v>
      </c>
      <c r="L72" s="46">
        <f>$E$85</f>
        <v>143327.13143101032</v>
      </c>
      <c r="M72" s="47">
        <f>L72/((1+$M$76)^K72)</f>
        <v>82767.847093734526</v>
      </c>
      <c r="N72" s="336"/>
      <c r="O72" s="336"/>
      <c r="P72" s="337"/>
      <c r="Y72" s="340"/>
    </row>
    <row r="73" spans="2:25" ht="17.100000000000001" customHeight="1" x14ac:dyDescent="0.3">
      <c r="B73" s="40" t="s">
        <v>32</v>
      </c>
      <c r="C73" s="8" t="str">
        <f>C72</f>
        <v>EE</v>
      </c>
      <c r="D73" s="8" t="s">
        <v>23</v>
      </c>
      <c r="E73" s="62">
        <f>D32</f>
        <v>92.28</v>
      </c>
      <c r="K73" s="51">
        <v>15</v>
      </c>
      <c r="L73" s="46">
        <f>$E$85</f>
        <v>143327.13143101032</v>
      </c>
      <c r="M73" s="47">
        <f>L73/((1+$M$76)^K73)</f>
        <v>79584.468359360122</v>
      </c>
      <c r="N73" s="336"/>
      <c r="O73" s="336"/>
      <c r="P73" s="370"/>
      <c r="Y73" s="340"/>
    </row>
    <row r="74" spans="2:25" ht="17.100000000000001" customHeight="1" thickBot="1" x14ac:dyDescent="0.35">
      <c r="B74" s="40" t="s">
        <v>77</v>
      </c>
      <c r="C74" s="8" t="str">
        <f>C72</f>
        <v>EE</v>
      </c>
      <c r="D74" s="8" t="s">
        <v>18</v>
      </c>
      <c r="E74" s="61">
        <f>D26-E72</f>
        <v>268879.46683856496</v>
      </c>
      <c r="K74" s="260" t="s">
        <v>85</v>
      </c>
      <c r="L74" s="261"/>
      <c r="M74" s="129">
        <f>SUM(M59:M73)</f>
        <v>1593566.5767912529</v>
      </c>
      <c r="N74" s="370"/>
      <c r="O74" s="370"/>
      <c r="P74" s="370"/>
      <c r="Y74" s="341"/>
    </row>
    <row r="75" spans="2:25" ht="17.100000000000001" customHeight="1" x14ac:dyDescent="0.3">
      <c r="B75" s="40" t="s">
        <v>78</v>
      </c>
      <c r="C75" s="8" t="s">
        <v>75</v>
      </c>
      <c r="D75" s="8" t="s">
        <v>24</v>
      </c>
      <c r="E75" s="63">
        <f>E72*E73/1000</f>
        <v>36337.883040137225</v>
      </c>
      <c r="K75" s="262"/>
      <c r="L75" s="263"/>
      <c r="M75" s="264"/>
      <c r="N75" s="370"/>
      <c r="O75" s="370"/>
      <c r="P75" s="370"/>
      <c r="Y75" s="341"/>
    </row>
    <row r="76" spans="2:25" ht="17.100000000000001" customHeight="1" thickBot="1" x14ac:dyDescent="0.35">
      <c r="B76" s="40" t="s">
        <v>79</v>
      </c>
      <c r="C76" s="8" t="str">
        <f>C75</f>
        <v>EE</v>
      </c>
      <c r="D76" s="8" t="s">
        <v>24</v>
      </c>
      <c r="E76" s="63">
        <f>D35-E75</f>
        <v>24812.197199862778</v>
      </c>
      <c r="K76" s="52" t="s">
        <v>87</v>
      </c>
      <c r="L76" s="53"/>
      <c r="M76" s="54">
        <v>0.04</v>
      </c>
      <c r="N76" s="370"/>
      <c r="O76" s="370"/>
      <c r="P76" s="370"/>
      <c r="Y76" s="341"/>
    </row>
    <row r="77" spans="2:25" ht="17.100000000000001" customHeight="1" thickBot="1" x14ac:dyDescent="0.35">
      <c r="B77" s="41" t="s">
        <v>102</v>
      </c>
      <c r="C77" s="56" t="str">
        <f>C75</f>
        <v>EE</v>
      </c>
      <c r="D77" s="56" t="s">
        <v>73</v>
      </c>
      <c r="E77" s="167">
        <f>E76/D35</f>
        <v>0.40575902930103458</v>
      </c>
      <c r="L77" s="335" t="s">
        <v>227</v>
      </c>
      <c r="N77" s="339"/>
      <c r="O77" s="339"/>
      <c r="P77" s="370"/>
      <c r="Y77" s="342"/>
    </row>
    <row r="78" spans="2:25" ht="14.1" customHeight="1" thickBot="1" x14ac:dyDescent="0.35">
      <c r="B78" s="1"/>
      <c r="C78" s="1"/>
      <c r="D78" s="1"/>
      <c r="E78" s="1"/>
      <c r="N78" s="370"/>
      <c r="O78" s="370"/>
      <c r="P78" s="370"/>
    </row>
    <row r="79" spans="2:25" ht="17.100000000000001" customHeight="1" x14ac:dyDescent="0.3">
      <c r="B79" s="277" t="s">
        <v>37</v>
      </c>
      <c r="C79" s="278"/>
      <c r="D79" s="278"/>
      <c r="E79" s="279"/>
      <c r="N79" s="443"/>
      <c r="O79" s="443"/>
      <c r="P79" s="443"/>
    </row>
    <row r="80" spans="2:25" ht="28.35" customHeight="1" x14ac:dyDescent="0.3">
      <c r="B80" s="444" t="s">
        <v>80</v>
      </c>
      <c r="C80" s="445"/>
      <c r="D80" s="9" t="s">
        <v>24</v>
      </c>
      <c r="E80" s="312">
        <v>0</v>
      </c>
      <c r="N80" s="370"/>
      <c r="O80" s="370"/>
      <c r="P80" s="370"/>
    </row>
    <row r="81" spans="2:19" ht="28.35" customHeight="1" x14ac:dyDescent="0.3">
      <c r="B81" s="444" t="s">
        <v>81</v>
      </c>
      <c r="C81" s="445"/>
      <c r="D81" s="9" t="s">
        <v>24</v>
      </c>
      <c r="E81" s="63">
        <f>D37-E80</f>
        <v>11981.94423114754</v>
      </c>
      <c r="I81" s="370"/>
      <c r="J81" s="370"/>
      <c r="K81" s="370"/>
      <c r="L81" s="370"/>
      <c r="M81" s="370"/>
      <c r="N81" s="370"/>
      <c r="O81" s="370"/>
      <c r="P81" s="370"/>
    </row>
    <row r="82" spans="2:19" ht="28.35" customHeight="1" thickBot="1" x14ac:dyDescent="0.35">
      <c r="B82" s="446" t="s">
        <v>105</v>
      </c>
      <c r="C82" s="447"/>
      <c r="D82" s="43" t="s">
        <v>73</v>
      </c>
      <c r="E82" s="167">
        <f>E81/D37</f>
        <v>1</v>
      </c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</row>
    <row r="83" spans="2:19" ht="14.1" customHeight="1" thickBot="1" x14ac:dyDescent="0.35">
      <c r="B83" s="1"/>
      <c r="C83" s="1"/>
      <c r="D83" s="1"/>
      <c r="E83" s="1"/>
      <c r="N83" s="370"/>
      <c r="O83" s="370"/>
      <c r="P83" s="370"/>
      <c r="Q83" s="370"/>
      <c r="R83" s="370"/>
      <c r="S83" s="370"/>
    </row>
    <row r="84" spans="2:19" ht="17.100000000000001" customHeight="1" x14ac:dyDescent="0.3">
      <c r="B84" s="265" t="s">
        <v>96</v>
      </c>
      <c r="C84" s="266"/>
      <c r="D84" s="266"/>
      <c r="E84" s="267"/>
      <c r="N84" s="370"/>
      <c r="O84" s="370"/>
      <c r="P84" s="370"/>
    </row>
    <row r="85" spans="2:19" ht="17.100000000000001" customHeight="1" x14ac:dyDescent="0.3">
      <c r="B85" s="165" t="s">
        <v>103</v>
      </c>
      <c r="C85" s="164"/>
      <c r="D85" s="44" t="s">
        <v>24</v>
      </c>
      <c r="E85" s="166">
        <f>E68+E76+E81</f>
        <v>143327.13143101032</v>
      </c>
      <c r="N85" s="370"/>
      <c r="O85" s="370"/>
      <c r="P85" s="370"/>
    </row>
    <row r="86" spans="2:19" ht="17.100000000000001" customHeight="1" x14ac:dyDescent="0.3">
      <c r="B86" s="160" t="s">
        <v>104</v>
      </c>
      <c r="C86" s="161"/>
      <c r="D86" s="44" t="s">
        <v>73</v>
      </c>
      <c r="E86" s="286">
        <f>E85/D40</f>
        <v>0.79774647197118764</v>
      </c>
      <c r="N86" s="370"/>
      <c r="O86" s="370"/>
      <c r="P86" s="370"/>
    </row>
    <row r="87" spans="2:19" ht="17.100000000000001" customHeight="1" thickBot="1" x14ac:dyDescent="0.35">
      <c r="B87" s="162" t="s">
        <v>97</v>
      </c>
      <c r="C87" s="163"/>
      <c r="D87" s="45" t="s">
        <v>24</v>
      </c>
      <c r="E87" s="64">
        <f>M74</f>
        <v>1593566.5767912529</v>
      </c>
      <c r="N87" s="370"/>
      <c r="O87" s="370"/>
      <c r="P87" s="370"/>
    </row>
    <row r="88" spans="2:19" ht="14.1" customHeight="1" x14ac:dyDescent="0.3">
      <c r="B88" s="335"/>
      <c r="D88" s="335"/>
      <c r="E88" s="338"/>
      <c r="N88" s="370"/>
      <c r="O88" s="370"/>
      <c r="P88" s="370"/>
    </row>
    <row r="89" spans="2:19" ht="14.1" customHeight="1" x14ac:dyDescent="0.3">
      <c r="N89" s="370"/>
      <c r="O89" s="370"/>
      <c r="P89" s="370"/>
    </row>
    <row r="90" spans="2:19" ht="17.100000000000001" customHeight="1" thickBot="1" x14ac:dyDescent="0.35">
      <c r="B90" s="369" t="s">
        <v>115</v>
      </c>
      <c r="C90" s="309" t="s">
        <v>213</v>
      </c>
      <c r="N90" s="370"/>
      <c r="O90" s="370"/>
      <c r="P90" s="370"/>
    </row>
    <row r="91" spans="2:19" ht="17.100000000000001" customHeight="1" x14ac:dyDescent="0.3">
      <c r="B91" s="37" t="s">
        <v>118</v>
      </c>
      <c r="C91" s="138" t="s">
        <v>111</v>
      </c>
      <c r="D91" s="138" t="s">
        <v>110</v>
      </c>
      <c r="E91" s="138" t="s">
        <v>112</v>
      </c>
      <c r="F91" s="139" t="s">
        <v>114</v>
      </c>
      <c r="G91" s="206"/>
      <c r="N91" s="370"/>
      <c r="O91" s="370"/>
      <c r="P91" s="370"/>
    </row>
    <row r="92" spans="2:19" ht="17.100000000000001" customHeight="1" x14ac:dyDescent="0.3">
      <c r="B92" s="20" t="s">
        <v>14</v>
      </c>
      <c r="C92" s="420"/>
      <c r="D92" s="420"/>
      <c r="E92" s="420"/>
      <c r="F92" s="421"/>
      <c r="G92" s="333"/>
      <c r="N92" s="370"/>
      <c r="O92" s="370"/>
      <c r="P92" s="370"/>
    </row>
    <row r="93" spans="2:19" ht="17.100000000000001" customHeight="1" x14ac:dyDescent="0.3">
      <c r="B93" s="20" t="s">
        <v>15</v>
      </c>
      <c r="C93" s="420"/>
      <c r="D93" s="420"/>
      <c r="E93" s="420"/>
      <c r="F93" s="421"/>
      <c r="G93" s="333"/>
      <c r="N93" s="370"/>
      <c r="O93" s="370"/>
      <c r="P93" s="370"/>
    </row>
    <row r="94" spans="2:19" ht="17.100000000000001" customHeight="1" thickBot="1" x14ac:dyDescent="0.35">
      <c r="B94" s="101" t="s">
        <v>116</v>
      </c>
      <c r="C94" s="422"/>
      <c r="D94" s="422"/>
      <c r="E94" s="422"/>
      <c r="F94" s="423"/>
      <c r="G94" s="334"/>
      <c r="N94" s="370"/>
      <c r="O94" s="370"/>
      <c r="P94" s="370"/>
      <c r="Q94" s="370"/>
      <c r="R94" s="370"/>
      <c r="S94" s="370"/>
    </row>
    <row r="95" spans="2:19" ht="14.1" customHeight="1" thickBot="1" x14ac:dyDescent="0.35">
      <c r="N95" s="370"/>
      <c r="O95" s="370"/>
      <c r="P95" s="370"/>
    </row>
    <row r="96" spans="2:19" ht="17.100000000000001" customHeight="1" x14ac:dyDescent="0.3">
      <c r="B96" s="39" t="s">
        <v>119</v>
      </c>
      <c r="C96" s="283" t="s">
        <v>169</v>
      </c>
      <c r="D96" s="140" t="s">
        <v>110</v>
      </c>
      <c r="E96" s="140" t="s">
        <v>112</v>
      </c>
      <c r="F96" s="140" t="s">
        <v>120</v>
      </c>
      <c r="G96" s="140"/>
      <c r="H96" s="141" t="s">
        <v>114</v>
      </c>
      <c r="N96" s="443"/>
      <c r="O96" s="443"/>
      <c r="P96" s="370"/>
    </row>
    <row r="97" spans="2:16" ht="17.100000000000001" customHeight="1" thickBot="1" x14ac:dyDescent="0.35">
      <c r="B97" s="227" t="s">
        <v>75</v>
      </c>
      <c r="C97" s="385">
        <v>0</v>
      </c>
      <c r="D97" s="385">
        <f>D28</f>
        <v>0</v>
      </c>
      <c r="E97" s="385">
        <f>D29</f>
        <v>0</v>
      </c>
      <c r="F97" s="385">
        <f>E104</f>
        <v>0</v>
      </c>
      <c r="G97" s="385"/>
      <c r="H97" s="386">
        <f>D31</f>
        <v>393778.53316143504</v>
      </c>
      <c r="N97" s="443"/>
      <c r="O97" s="443"/>
      <c r="P97" s="443"/>
    </row>
    <row r="98" spans="2:16" ht="14.1" customHeight="1" x14ac:dyDescent="0.3">
      <c r="C98" s="309"/>
      <c r="N98" s="370"/>
      <c r="O98" s="370"/>
      <c r="P98" s="370"/>
    </row>
    <row r="99" spans="2:16" ht="14.1" customHeight="1" x14ac:dyDescent="0.3">
      <c r="N99" s="370"/>
      <c r="O99" s="370"/>
      <c r="P99" s="370"/>
    </row>
    <row r="100" spans="2:16" ht="17.100000000000001" customHeight="1" thickBot="1" x14ac:dyDescent="0.3">
      <c r="B100" s="369" t="s">
        <v>225</v>
      </c>
    </row>
    <row r="101" spans="2:16" ht="28.35" customHeight="1" x14ac:dyDescent="0.25">
      <c r="B101" s="120" t="s">
        <v>90</v>
      </c>
      <c r="C101" s="121" t="s">
        <v>91</v>
      </c>
      <c r="D101" s="121" t="s">
        <v>92</v>
      </c>
      <c r="E101" s="122" t="s">
        <v>93</v>
      </c>
    </row>
    <row r="102" spans="2:16" ht="17.100000000000001" customHeight="1" x14ac:dyDescent="0.25">
      <c r="B102" s="123" t="s">
        <v>170</v>
      </c>
      <c r="C102" s="66">
        <v>107.6</v>
      </c>
      <c r="D102" s="67">
        <v>2500</v>
      </c>
      <c r="E102" s="124">
        <f>C102*D102</f>
        <v>269000</v>
      </c>
      <c r="F102" s="324"/>
      <c r="G102" s="324"/>
    </row>
    <row r="103" spans="2:16" ht="28.35" customHeight="1" x14ac:dyDescent="0.25">
      <c r="B103" s="125" t="s">
        <v>95</v>
      </c>
      <c r="C103" s="68" t="s">
        <v>91</v>
      </c>
      <c r="D103" s="68" t="s">
        <v>92</v>
      </c>
      <c r="E103" s="126" t="s">
        <v>93</v>
      </c>
    </row>
    <row r="104" spans="2:16" ht="17.100000000000001" customHeight="1" x14ac:dyDescent="0.25">
      <c r="B104" s="123" t="s">
        <v>170</v>
      </c>
      <c r="C104" s="313"/>
      <c r="D104" s="67">
        <f>D102</f>
        <v>2500</v>
      </c>
      <c r="E104" s="124">
        <f>C104*D104</f>
        <v>0</v>
      </c>
    </row>
    <row r="105" spans="2:16" ht="28.35" customHeight="1" x14ac:dyDescent="0.25">
      <c r="B105" s="125" t="s">
        <v>86</v>
      </c>
      <c r="C105" s="434"/>
      <c r="D105" s="435"/>
      <c r="E105" s="126" t="s">
        <v>94</v>
      </c>
    </row>
    <row r="106" spans="2:16" ht="17.100000000000001" customHeight="1" thickBot="1" x14ac:dyDescent="0.3">
      <c r="B106" s="127" t="s">
        <v>170</v>
      </c>
      <c r="C106" s="436"/>
      <c r="D106" s="437"/>
      <c r="E106" s="128">
        <f>E102-E104</f>
        <v>269000</v>
      </c>
    </row>
    <row r="107" spans="2:16" ht="17.100000000000001" customHeight="1" thickBot="1" x14ac:dyDescent="0.3">
      <c r="B107" s="78"/>
      <c r="C107" s="78"/>
      <c r="D107" s="78"/>
      <c r="E107" s="281">
        <f>E106</f>
        <v>269000</v>
      </c>
    </row>
    <row r="108" spans="2:16" ht="14.1" customHeight="1" x14ac:dyDescent="0.25"/>
    <row r="109" spans="2:16" ht="14.1" customHeight="1" x14ac:dyDescent="0.25"/>
    <row r="110" spans="2:16" ht="14.1" customHeight="1" x14ac:dyDescent="0.25"/>
    <row r="111" spans="2:16" ht="14.1" customHeight="1" x14ac:dyDescent="0.25"/>
    <row r="112" spans="2:16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</sheetData>
  <sheetProtection sheet="1" objects="1" scenarios="1"/>
  <mergeCells count="30">
    <mergeCell ref="K22:M22"/>
    <mergeCell ref="K23:M23"/>
    <mergeCell ref="K24:M24"/>
    <mergeCell ref="K21:M21"/>
    <mergeCell ref="B6:C6"/>
    <mergeCell ref="B7:C7"/>
    <mergeCell ref="B8:C8"/>
    <mergeCell ref="K13:M13"/>
    <mergeCell ref="K14:M14"/>
    <mergeCell ref="K15:M15"/>
    <mergeCell ref="K16:M16"/>
    <mergeCell ref="K17:M17"/>
    <mergeCell ref="K18:M18"/>
    <mergeCell ref="K19:M19"/>
    <mergeCell ref="K20:M20"/>
    <mergeCell ref="K25:M25"/>
    <mergeCell ref="K26:M26"/>
    <mergeCell ref="N96:O96"/>
    <mergeCell ref="N97:P97"/>
    <mergeCell ref="C105:D106"/>
    <mergeCell ref="K28:M28"/>
    <mergeCell ref="K29:M29"/>
    <mergeCell ref="K30:M30"/>
    <mergeCell ref="K31:M31"/>
    <mergeCell ref="K32:M32"/>
    <mergeCell ref="B80:C80"/>
    <mergeCell ref="B81:C81"/>
    <mergeCell ref="B82:C82"/>
    <mergeCell ref="N79:P79"/>
    <mergeCell ref="K27:M27"/>
  </mergeCells>
  <pageMargins left="0.25" right="0.25" top="0.75" bottom="0.75" header="0.3" footer="0.3"/>
  <pageSetup paperSize="9" scale="50" fitToWidth="0" orientation="landscape" r:id="rId1"/>
  <rowBreaks count="1" manualBreakCount="1">
    <brk id="54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'Osnovni podatki'!$B$6:$B$15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view="pageBreakPreview" topLeftCell="A10" zoomScale="115" zoomScaleNormal="100" zoomScaleSheetLayoutView="115" workbookViewId="0">
      <selection activeCell="L39" sqref="L39"/>
    </sheetView>
  </sheetViews>
  <sheetFormatPr defaultColWidth="9.109375" defaultRowHeight="13.2" x14ac:dyDescent="0.25"/>
  <cols>
    <col min="1" max="1" width="2.6640625" style="69" customWidth="1"/>
    <col min="2" max="2" width="30.6640625" style="69" customWidth="1"/>
    <col min="3" max="3" width="9.109375" style="69"/>
    <col min="4" max="5" width="15.6640625" style="69" customWidth="1"/>
    <col min="6" max="6" width="14.44140625" style="69" customWidth="1"/>
    <col min="7" max="7" width="2.6640625" style="69" customWidth="1"/>
    <col min="8" max="16384" width="9.109375" style="69"/>
  </cols>
  <sheetData>
    <row r="2" spans="2:6" ht="21" x14ac:dyDescent="0.25">
      <c r="B2" s="74" t="s">
        <v>107</v>
      </c>
    </row>
    <row r="3" spans="2:6" ht="13.8" thickBot="1" x14ac:dyDescent="0.3"/>
    <row r="4" spans="2:6" ht="15" customHeight="1" thickBot="1" x14ac:dyDescent="0.3">
      <c r="B4" s="130" t="s">
        <v>9</v>
      </c>
      <c r="C4" s="131"/>
      <c r="D4" s="131"/>
      <c r="E4" s="131"/>
      <c r="F4" s="254"/>
    </row>
    <row r="5" spans="2:6" ht="15" customHeight="1" x14ac:dyDescent="0.25">
      <c r="B5" s="21" t="s">
        <v>5</v>
      </c>
      <c r="C5" s="4"/>
      <c r="D5" s="144">
        <v>1</v>
      </c>
      <c r="E5" s="144">
        <v>2</v>
      </c>
      <c r="F5" s="455" t="s">
        <v>100</v>
      </c>
    </row>
    <row r="6" spans="2:6" ht="15" customHeight="1" x14ac:dyDescent="0.25">
      <c r="B6" s="21" t="s">
        <v>4</v>
      </c>
      <c r="C6" s="4"/>
      <c r="D6" s="144" t="str">
        <f>VLOOKUP(D$5,'Osnovni podatki'!$B$6:$H$10,2,FALSE)</f>
        <v>OB01</v>
      </c>
      <c r="E6" s="144" t="str">
        <f>VLOOKUP(E$5,'Osnovni podatki'!$B$6:$H$10,2,FALSE)</f>
        <v>OB02</v>
      </c>
      <c r="F6" s="456"/>
    </row>
    <row r="7" spans="2:6" ht="27" thickBot="1" x14ac:dyDescent="0.3">
      <c r="B7" s="136" t="s">
        <v>3</v>
      </c>
      <c r="C7" s="134"/>
      <c r="D7" s="145" t="str">
        <f>VLOOKUP(D$5,'Osnovni podatki'!$B$6:$H$10,3,FALSE)</f>
        <v>Vojašnica Boštjana Kekca</v>
      </c>
      <c r="E7" s="145" t="str">
        <f>VLOOKUP(E$5,'Osnovni podatki'!$B$6:$H$10,3,FALSE)</f>
        <v>Letalska baza Brnik</v>
      </c>
      <c r="F7" s="457"/>
    </row>
    <row r="8" spans="2:6" ht="15" customHeight="1" x14ac:dyDescent="0.25">
      <c r="B8" s="37" t="s">
        <v>13</v>
      </c>
      <c r="C8" s="138"/>
      <c r="D8" s="146"/>
      <c r="E8" s="146"/>
      <c r="F8" s="150"/>
    </row>
    <row r="9" spans="2:6" ht="15" customHeight="1" x14ac:dyDescent="0.25">
      <c r="B9" s="20" t="s">
        <v>68</v>
      </c>
      <c r="C9" s="15" t="s">
        <v>18</v>
      </c>
      <c r="D9" s="251">
        <f ca="1">INDEX(INDIRECT(D$6&amp;"!B57:E69"),MATCH($B9,INDIRECT(D$6&amp;"!B57:B69")),4)</f>
        <v>1688255</v>
      </c>
      <c r="E9" s="387">
        <f ca="1">INDEX(INDIRECT(E$6&amp;"!B57:E69"),MATCH($B9,INDIRECT(E$6&amp;"!B57:B69")),4)</f>
        <v>1283530</v>
      </c>
      <c r="F9" s="390">
        <f ca="1">SUM(D9:E9)</f>
        <v>2971785</v>
      </c>
    </row>
    <row r="10" spans="2:6" ht="15" customHeight="1" x14ac:dyDescent="0.25">
      <c r="B10" s="20" t="s">
        <v>69</v>
      </c>
      <c r="C10" s="15" t="s">
        <v>18</v>
      </c>
      <c r="D10" s="251">
        <f t="shared" ref="D10:E12" ca="1" si="0">INDEX(INDIRECT(D$6&amp;"!B57:E69"),MATCH($B10,INDIRECT(D$6&amp;"!B57:B69")),4)</f>
        <v>0</v>
      </c>
      <c r="E10" s="387">
        <f t="shared" ca="1" si="0"/>
        <v>0</v>
      </c>
      <c r="F10" s="390">
        <f t="shared" ref="F10:F12" ca="1" si="1">SUM(D10:E10)</f>
        <v>0</v>
      </c>
    </row>
    <row r="11" spans="2:6" ht="15" customHeight="1" x14ac:dyDescent="0.25">
      <c r="B11" s="20" t="s">
        <v>70</v>
      </c>
      <c r="C11" s="15" t="s">
        <v>18</v>
      </c>
      <c r="D11" s="251">
        <f t="shared" ca="1" si="0"/>
        <v>0</v>
      </c>
      <c r="E11" s="387">
        <f t="shared" ca="1" si="0"/>
        <v>0</v>
      </c>
      <c r="F11" s="390">
        <f t="shared" ca="1" si="1"/>
        <v>0</v>
      </c>
    </row>
    <row r="12" spans="2:6" ht="15" customHeight="1" thickBot="1" x14ac:dyDescent="0.3">
      <c r="B12" s="137" t="s">
        <v>79</v>
      </c>
      <c r="C12" s="102" t="s">
        <v>24</v>
      </c>
      <c r="D12" s="329">
        <f t="shared" ca="1" si="0"/>
        <v>140125.16500000001</v>
      </c>
      <c r="E12" s="388">
        <f t="shared" ca="1" si="0"/>
        <v>106532.99</v>
      </c>
      <c r="F12" s="415">
        <f t="shared" ca="1" si="1"/>
        <v>246658.15500000003</v>
      </c>
    </row>
    <row r="13" spans="2:6" ht="15" customHeight="1" x14ac:dyDescent="0.25">
      <c r="B13" s="39" t="s">
        <v>16</v>
      </c>
      <c r="C13" s="140"/>
      <c r="D13" s="147"/>
      <c r="E13" s="147"/>
      <c r="F13" s="151"/>
    </row>
    <row r="14" spans="2:6" ht="15" customHeight="1" x14ac:dyDescent="0.25">
      <c r="B14" s="22" t="s">
        <v>77</v>
      </c>
      <c r="C14" s="10" t="s">
        <v>18</v>
      </c>
      <c r="D14" s="252">
        <f ca="1">INDEX(INDIRECT(D$6&amp;"!B71:E77"),MATCH($B14,INDIRECT(D$6&amp;"!B71:B77")),4)</f>
        <v>155480.76579120322</v>
      </c>
      <c r="E14" s="387">
        <f ca="1">INDEX(INDIRECT(E$6&amp;"!B71:E77"),MATCH($B14,INDIRECT(E$6&amp;"!B71:B77")),4)</f>
        <v>268879.46683856496</v>
      </c>
      <c r="F14" s="391">
        <f ca="1">SUM(D14:E14)</f>
        <v>424360.2326297682</v>
      </c>
    </row>
    <row r="15" spans="2:6" ht="15" customHeight="1" thickBot="1" x14ac:dyDescent="0.3">
      <c r="B15" s="104" t="s">
        <v>79</v>
      </c>
      <c r="C15" s="105" t="s">
        <v>24</v>
      </c>
      <c r="D15" s="330">
        <f ca="1">INDEX(INDIRECT(D$6&amp;"!B71:E77"),MATCH($B15,INDIRECT(D$6&amp;"!B71:B77")),4)</f>
        <v>16117.136181916125</v>
      </c>
      <c r="E15" s="388">
        <f ca="1">INDEX(INDIRECT(E$6&amp;"!B71:E77"),MATCH($B15,INDIRECT(E$6&amp;"!B71:B77")),4)</f>
        <v>24812.197199862778</v>
      </c>
      <c r="F15" s="392">
        <f ca="1">SUM(D15:E15)</f>
        <v>40929.333381778903</v>
      </c>
    </row>
    <row r="16" spans="2:6" ht="15" customHeight="1" x14ac:dyDescent="0.25">
      <c r="B16" s="107" t="s">
        <v>37</v>
      </c>
      <c r="C16" s="142"/>
      <c r="D16" s="148"/>
      <c r="E16" s="148"/>
      <c r="F16" s="152"/>
    </row>
    <row r="17" spans="2:6" ht="39.9" customHeight="1" thickBot="1" x14ac:dyDescent="0.3">
      <c r="B17" s="110" t="s">
        <v>81</v>
      </c>
      <c r="C17" s="307" t="s">
        <v>24</v>
      </c>
      <c r="D17" s="253">
        <f ca="1">INDEX(INDIRECT(D$6&amp;"!B79:E82"),MATCH($B17,INDIRECT(D$6&amp;"!B79:B82")),4)</f>
        <v>45025.678169398918</v>
      </c>
      <c r="E17" s="389">
        <f ca="1">INDEX(INDIRECT(E$6&amp;"!B79:E82"),MATCH($B17,INDIRECT(E$6&amp;"!B79:B82")),4)</f>
        <v>11981.94423114754</v>
      </c>
      <c r="F17" s="393">
        <f ca="1">SUM(D17:E17)</f>
        <v>57007.622400546461</v>
      </c>
    </row>
    <row r="18" spans="2:6" ht="15" customHeight="1" x14ac:dyDescent="0.25">
      <c r="B18" s="113" t="s">
        <v>96</v>
      </c>
      <c r="C18" s="143"/>
      <c r="D18" s="149"/>
      <c r="E18" s="149"/>
      <c r="F18" s="153"/>
    </row>
    <row r="19" spans="2:6" ht="15" customHeight="1" x14ac:dyDescent="0.25">
      <c r="B19" s="24" t="s">
        <v>103</v>
      </c>
      <c r="C19" s="17" t="s">
        <v>24</v>
      </c>
      <c r="D19" s="158">
        <f ca="1">INDEX(INDIRECT(D$6&amp;"!B84:E87"),MATCH($B19,INDIRECT(D$6&amp;"!B84:B87")),4)</f>
        <v>201267.97935131507</v>
      </c>
      <c r="E19" s="388">
        <f ca="1">INDEX(INDIRECT(E$6&amp;"!B84:E87"),MATCH($B19,INDIRECT(E$6&amp;"!B84:B87")),4)</f>
        <v>143327.13143101032</v>
      </c>
      <c r="F19" s="394">
        <f ca="1">SUM(D19:E19)</f>
        <v>344595.11078232538</v>
      </c>
    </row>
    <row r="20" spans="2:6" ht="15" customHeight="1" x14ac:dyDescent="0.25">
      <c r="B20" s="24" t="s">
        <v>97</v>
      </c>
      <c r="C20" s="17" t="s">
        <v>24</v>
      </c>
      <c r="D20" s="158">
        <f ca="1">INDIRECT(D6&amp;"!M74")</f>
        <v>2237775.3721175338</v>
      </c>
      <c r="E20" s="388">
        <f ca="1">INDIRECT(E6&amp;"!M74")</f>
        <v>1593566.5767912529</v>
      </c>
      <c r="F20" s="394">
        <f t="shared" ref="F20:F21" ca="1" si="2">SUM(D20:E20)</f>
        <v>3831341.9489087868</v>
      </c>
    </row>
    <row r="21" spans="2:6" ht="15" customHeight="1" thickBot="1" x14ac:dyDescent="0.3">
      <c r="B21" s="25" t="s">
        <v>98</v>
      </c>
      <c r="C21" s="18" t="s">
        <v>24</v>
      </c>
      <c r="D21" s="159">
        <f ca="1">INDIRECT(D6&amp;"!N33")</f>
        <v>0</v>
      </c>
      <c r="E21" s="389">
        <f ca="1">INDIRECT(E6&amp;"!N33")</f>
        <v>0</v>
      </c>
      <c r="F21" s="395">
        <f t="shared" ca="1" si="2"/>
        <v>0</v>
      </c>
    </row>
  </sheetData>
  <sheetProtection sheet="1" objects="1" scenarios="1"/>
  <mergeCells count="1">
    <mergeCell ref="F5:F7"/>
  </mergeCells>
  <pageMargins left="0.25" right="0.25" top="0.75" bottom="0.75" header="0.3" footer="0.3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12"/>
  <sheetViews>
    <sheetView view="pageBreakPreview" zoomScale="130" zoomScaleNormal="100" zoomScaleSheetLayoutView="130" workbookViewId="0">
      <selection activeCell="G12" sqref="G12"/>
    </sheetView>
  </sheetViews>
  <sheetFormatPr defaultColWidth="9.109375" defaultRowHeight="13.2" x14ac:dyDescent="0.25"/>
  <cols>
    <col min="1" max="1" width="9.109375" style="226"/>
    <col min="2" max="2" width="26.5546875" style="226" customWidth="1"/>
    <col min="3" max="3" width="11" style="226" customWidth="1"/>
    <col min="4" max="5" width="12.6640625" style="226" customWidth="1"/>
    <col min="6" max="16384" width="9.109375" style="226"/>
  </cols>
  <sheetData>
    <row r="2" spans="2:5" ht="21" x14ac:dyDescent="0.25">
      <c r="B2" s="74" t="s">
        <v>156</v>
      </c>
    </row>
    <row r="3" spans="2:5" ht="13.8" thickBot="1" x14ac:dyDescent="0.3"/>
    <row r="4" spans="2:5" ht="16.5" customHeight="1" thickBot="1" x14ac:dyDescent="0.3">
      <c r="B4" s="232" t="s">
        <v>160</v>
      </c>
      <c r="C4" s="416" t="s">
        <v>162</v>
      </c>
    </row>
    <row r="5" spans="2:5" x14ac:dyDescent="0.25">
      <c r="B5" s="26" t="s">
        <v>9</v>
      </c>
      <c r="C5" s="84"/>
      <c r="D5" s="85"/>
      <c r="E5" s="85"/>
    </row>
    <row r="6" spans="2:5" x14ac:dyDescent="0.25">
      <c r="B6" s="86" t="s">
        <v>5</v>
      </c>
      <c r="C6" s="79"/>
      <c r="D6" s="220">
        <v>1</v>
      </c>
      <c r="E6" s="396">
        <v>2</v>
      </c>
    </row>
    <row r="7" spans="2:5" x14ac:dyDescent="0.25">
      <c r="B7" s="86" t="s">
        <v>4</v>
      </c>
      <c r="C7" s="79"/>
      <c r="D7" s="220" t="str">
        <f>VLOOKUP(D$6,'Osnovni podatki'!$B$6:$H$10,2,FALSE)</f>
        <v>OB01</v>
      </c>
      <c r="E7" s="396" t="str">
        <f>VLOOKUP(E$6,'Osnovni podatki'!$B$6:$H$10,2,FALSE)</f>
        <v>OB02</v>
      </c>
    </row>
    <row r="8" spans="2:5" ht="40.200000000000003" thickBot="1" x14ac:dyDescent="0.3">
      <c r="B8" s="223" t="s">
        <v>3</v>
      </c>
      <c r="C8" s="224"/>
      <c r="D8" s="225" t="str">
        <f>VLOOKUP(D$6,'Osnovni podatki'!$B$6:$H$10,3,FALSE)</f>
        <v>Vojašnica Boštjana Kekca</v>
      </c>
      <c r="E8" s="397" t="str">
        <f>VLOOKUP(E$6,'Osnovni podatki'!$B$6:$H$10,3,FALSE)</f>
        <v>Letalska baza Brnik</v>
      </c>
    </row>
    <row r="9" spans="2:5" ht="15" customHeight="1" x14ac:dyDescent="0.25">
      <c r="B9" s="229" t="s">
        <v>123</v>
      </c>
      <c r="C9" s="230"/>
      <c r="D9" s="231"/>
      <c r="E9" s="231"/>
    </row>
    <row r="10" spans="2:5" ht="30" customHeight="1" x14ac:dyDescent="0.25">
      <c r="B10" s="222" t="s">
        <v>157</v>
      </c>
      <c r="C10" s="221" t="s">
        <v>158</v>
      </c>
      <c r="D10" s="94">
        <v>3240</v>
      </c>
      <c r="E10" s="57">
        <v>3298</v>
      </c>
    </row>
    <row r="11" spans="2:5" ht="26.4" x14ac:dyDescent="0.25">
      <c r="B11" s="222" t="s">
        <v>159</v>
      </c>
      <c r="C11" s="221" t="s">
        <v>158</v>
      </c>
      <c r="D11" s="314"/>
      <c r="E11" s="314"/>
    </row>
    <row r="12" spans="2:5" ht="13.8" thickBot="1" x14ac:dyDescent="0.3">
      <c r="B12" s="187" t="s">
        <v>161</v>
      </c>
      <c r="C12" s="188" t="s">
        <v>17</v>
      </c>
      <c r="D12" s="290">
        <f>ROUND(1-(D11/D10),4)</f>
        <v>1</v>
      </c>
      <c r="E12" s="398">
        <f>ROUND(1-(E11/E10),4)</f>
        <v>1</v>
      </c>
    </row>
  </sheetData>
  <sheetProtection sheet="1" objects="1" scenarios="1"/>
  <pageMargins left="0.25" right="0.25" top="0.75" bottom="0.75" header="0.3" footer="0.3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66"/>
  <sheetViews>
    <sheetView view="pageBreakPreview" topLeftCell="A25" zoomScaleNormal="100" zoomScaleSheetLayoutView="100" workbookViewId="0">
      <selection activeCell="J50" sqref="J50"/>
    </sheetView>
  </sheetViews>
  <sheetFormatPr defaultColWidth="9.109375" defaultRowHeight="13.2" x14ac:dyDescent="0.25"/>
  <cols>
    <col min="1" max="1" width="5.6640625" style="69" customWidth="1"/>
    <col min="2" max="2" width="33.5546875" style="69" customWidth="1"/>
    <col min="3" max="3" width="15.109375" style="69" customWidth="1"/>
    <col min="4" max="4" width="15.6640625" style="69" customWidth="1"/>
    <col min="5" max="6" width="12.6640625" style="69" customWidth="1"/>
    <col min="7" max="7" width="14.88671875" style="69" customWidth="1"/>
    <col min="8" max="8" width="12.6640625" style="69" customWidth="1"/>
    <col min="9" max="9" width="5.6640625" style="69" customWidth="1"/>
    <col min="10" max="16384" width="9.109375" style="69"/>
  </cols>
  <sheetData>
    <row r="2" spans="2:9" ht="21" x14ac:dyDescent="0.25">
      <c r="B2" s="74" t="s">
        <v>145</v>
      </c>
    </row>
    <row r="3" spans="2:9" ht="12" customHeight="1" thickBot="1" x14ac:dyDescent="0.3"/>
    <row r="4" spans="2:9" ht="15" customHeight="1" x14ac:dyDescent="0.25">
      <c r="B4" s="26" t="s">
        <v>52</v>
      </c>
      <c r="C4" s="27"/>
      <c r="D4" s="28"/>
      <c r="I4" s="207"/>
    </row>
    <row r="5" spans="2:9" ht="15" customHeight="1" x14ac:dyDescent="0.25">
      <c r="B5" s="432" t="s">
        <v>5</v>
      </c>
      <c r="C5" s="433"/>
      <c r="D5" s="11">
        <v>1</v>
      </c>
      <c r="I5" s="207"/>
    </row>
    <row r="6" spans="2:9" ht="15" customHeight="1" x14ac:dyDescent="0.25">
      <c r="B6" s="432" t="s">
        <v>4</v>
      </c>
      <c r="C6" s="433"/>
      <c r="D6" s="11" t="str">
        <f>INDEX('Referenčne količine'!$B$4:$D$14,MATCH(B6,('Referenčne količine'!$B$4:$B$14),0),MATCH($D$5,'Referenčne količine'!$B$5:$D$5,0))</f>
        <v>OB01</v>
      </c>
      <c r="I6" s="207"/>
    </row>
    <row r="7" spans="2:9" ht="27" thickBot="1" x14ac:dyDescent="0.3">
      <c r="B7" s="464" t="s">
        <v>3</v>
      </c>
      <c r="C7" s="465"/>
      <c r="D7" s="288" t="str">
        <f>INDEX('Referenčne količine'!$B$4:$D$14,MATCH(B7,('Referenčne količine'!$B$4:$B$14),0),MATCH($D$5,'Referenčne količine'!$B$5:$D$5,0))</f>
        <v>Vojašnica Boštjana Kekca</v>
      </c>
    </row>
    <row r="8" spans="2:9" ht="7.95" customHeight="1" x14ac:dyDescent="0.25"/>
    <row r="9" spans="2:9" ht="15" customHeight="1" thickBot="1" x14ac:dyDescent="0.3">
      <c r="B9" s="77" t="s">
        <v>138</v>
      </c>
    </row>
    <row r="10" spans="2:9" ht="15" customHeight="1" x14ac:dyDescent="0.25">
      <c r="B10" s="135" t="s">
        <v>139</v>
      </c>
      <c r="C10" s="197">
        <f ca="1">D65</f>
        <v>140125.16500000001</v>
      </c>
    </row>
    <row r="11" spans="2:9" ht="15" customHeight="1" x14ac:dyDescent="0.25">
      <c r="B11" s="24" t="s">
        <v>140</v>
      </c>
      <c r="C11" s="198">
        <f ca="1">D23</f>
        <v>16117.136181916125</v>
      </c>
    </row>
    <row r="12" spans="2:9" ht="15" customHeight="1" x14ac:dyDescent="0.25">
      <c r="B12" s="24" t="s">
        <v>141</v>
      </c>
      <c r="C12" s="198">
        <f ca="1">D29</f>
        <v>45025.678169398918</v>
      </c>
    </row>
    <row r="13" spans="2:9" ht="15" customHeight="1" x14ac:dyDescent="0.25">
      <c r="B13" s="24" t="s">
        <v>142</v>
      </c>
      <c r="C13" s="198">
        <f ca="1">SUM(C10:C12)</f>
        <v>201267.97935131507</v>
      </c>
    </row>
    <row r="14" spans="2:9" ht="15" customHeight="1" x14ac:dyDescent="0.25">
      <c r="B14" s="24" t="s">
        <v>143</v>
      </c>
      <c r="C14" s="198">
        <f ca="1">INDIRECT($D$6&amp;"!E85")</f>
        <v>201267.97935131507</v>
      </c>
    </row>
    <row r="15" spans="2:9" ht="27" thickBot="1" x14ac:dyDescent="0.3">
      <c r="B15" s="204" t="s">
        <v>127</v>
      </c>
      <c r="C15" s="199">
        <f ca="1">C13-C14</f>
        <v>0</v>
      </c>
    </row>
    <row r="16" spans="2:9" ht="7.95" customHeight="1" x14ac:dyDescent="0.25"/>
    <row r="17" spans="2:10" ht="15" customHeight="1" thickBot="1" x14ac:dyDescent="0.3">
      <c r="B17" s="77" t="s">
        <v>134</v>
      </c>
      <c r="F17" s="205" t="s">
        <v>128</v>
      </c>
      <c r="G17" s="206"/>
    </row>
    <row r="18" spans="2:10" ht="15" customHeight="1" x14ac:dyDescent="0.25">
      <c r="B18" s="185" t="s">
        <v>16</v>
      </c>
      <c r="C18" s="186"/>
      <c r="D18" s="42" t="s">
        <v>109</v>
      </c>
      <c r="F18" s="200" t="s">
        <v>14</v>
      </c>
      <c r="G18" s="201">
        <f ca="1">INDIRECT($D$6&amp;"!E61")</f>
        <v>83</v>
      </c>
    </row>
    <row r="19" spans="2:10" ht="15" customHeight="1" x14ac:dyDescent="0.25">
      <c r="B19" s="22" t="s">
        <v>108</v>
      </c>
      <c r="C19" s="10" t="s">
        <v>18</v>
      </c>
      <c r="D19" s="94">
        <f ca="1">INDIRECT($D$6&amp;"!D26")</f>
        <v>309099</v>
      </c>
      <c r="F19" s="133" t="s">
        <v>15</v>
      </c>
      <c r="G19" s="202">
        <f ca="1">INDIRECT($D$6&amp;"!E62")</f>
        <v>0</v>
      </c>
    </row>
    <row r="20" spans="2:10" ht="15" customHeight="1" x14ac:dyDescent="0.25">
      <c r="B20" s="22" t="s">
        <v>129</v>
      </c>
      <c r="C20" s="10" t="s">
        <v>24</v>
      </c>
      <c r="D20" s="192">
        <f ca="1">INDIRECT($D$6&amp;"!D35")</f>
        <v>32041.20234</v>
      </c>
      <c r="F20" s="133" t="s">
        <v>116</v>
      </c>
      <c r="G20" s="202">
        <f ca="1">INDIRECT($D$6&amp;"!E63")</f>
        <v>30</v>
      </c>
    </row>
    <row r="21" spans="2:10" ht="15" customHeight="1" thickBot="1" x14ac:dyDescent="0.3">
      <c r="B21" s="22" t="s">
        <v>136</v>
      </c>
      <c r="C21" s="10" t="s">
        <v>18</v>
      </c>
      <c r="D21" s="94">
        <f ca="1">INDIRECT($D$6&amp;"!E72")</f>
        <v>153618.23420879678</v>
      </c>
      <c r="F21" s="52" t="s">
        <v>75</v>
      </c>
      <c r="G21" s="203">
        <f ca="1">INDIRECT($D$6&amp;"!E73")</f>
        <v>103.66</v>
      </c>
    </row>
    <row r="22" spans="2:10" ht="15" customHeight="1" x14ac:dyDescent="0.25">
      <c r="B22" s="22" t="s">
        <v>137</v>
      </c>
      <c r="C22" s="10" t="s">
        <v>24</v>
      </c>
      <c r="D22" s="192">
        <f ca="1">INDIRECT($D$6&amp;"!E75")</f>
        <v>15924.066158083875</v>
      </c>
    </row>
    <row r="23" spans="2:10" ht="15" customHeight="1" thickBot="1" x14ac:dyDescent="0.3">
      <c r="B23" s="187" t="s">
        <v>144</v>
      </c>
      <c r="C23" s="188" t="s">
        <v>24</v>
      </c>
      <c r="D23" s="193">
        <f ca="1">INDIRECT($D$6&amp;"!E76")</f>
        <v>16117.136181916125</v>
      </c>
    </row>
    <row r="24" spans="2:10" ht="7.95" customHeight="1" x14ac:dyDescent="0.25"/>
    <row r="25" spans="2:10" ht="16.2" thickBot="1" x14ac:dyDescent="0.3">
      <c r="B25" s="77" t="s">
        <v>135</v>
      </c>
      <c r="F25" s="77" t="s">
        <v>165</v>
      </c>
    </row>
    <row r="26" spans="2:10" ht="15" customHeight="1" x14ac:dyDescent="0.25">
      <c r="B26" s="189" t="s">
        <v>16</v>
      </c>
      <c r="C26" s="190"/>
      <c r="D26" s="191" t="s">
        <v>109</v>
      </c>
      <c r="F26" s="468" t="s">
        <v>163</v>
      </c>
      <c r="G26" s="468"/>
      <c r="H26" s="233">
        <f>HLOOKUP($D$6,'Neodvisne spremenljivke'!$D$7:D12,4)</f>
        <v>3240</v>
      </c>
      <c r="J26" s="367"/>
    </row>
    <row r="27" spans="2:10" ht="15" customHeight="1" x14ac:dyDescent="0.25">
      <c r="B27" s="132" t="s">
        <v>129</v>
      </c>
      <c r="C27" s="16" t="s">
        <v>24</v>
      </c>
      <c r="D27" s="118">
        <f ca="1">INDIRECT($D$6&amp;"!D37")</f>
        <v>45025.678169398918</v>
      </c>
      <c r="F27" s="468" t="s">
        <v>164</v>
      </c>
      <c r="G27" s="468"/>
      <c r="H27" s="233">
        <f>HLOOKUP($D$6,'Neodvisne spremenljivke'!$D$7:D13,5)</f>
        <v>0</v>
      </c>
    </row>
    <row r="28" spans="2:10" ht="15" customHeight="1" x14ac:dyDescent="0.25">
      <c r="B28" s="132" t="s">
        <v>78</v>
      </c>
      <c r="C28" s="16" t="s">
        <v>24</v>
      </c>
      <c r="D28" s="118">
        <f ca="1">INDIRECT($D$6&amp;"!E80")</f>
        <v>0</v>
      </c>
      <c r="F28" s="469" t="s">
        <v>161</v>
      </c>
      <c r="G28" s="469"/>
      <c r="H28" s="289">
        <f>HLOOKUP($D$6,'Neodvisne spremenljivke'!$D$7:D14,6)</f>
        <v>1</v>
      </c>
    </row>
    <row r="29" spans="2:10" ht="15" customHeight="1" thickBot="1" x14ac:dyDescent="0.3">
      <c r="B29" s="194" t="s">
        <v>86</v>
      </c>
      <c r="C29" s="195" t="s">
        <v>24</v>
      </c>
      <c r="D29" s="196">
        <f ca="1">INDIRECT($D$6&amp;"!E81")</f>
        <v>45025.678169398918</v>
      </c>
      <c r="F29" s="470"/>
      <c r="G29" s="470"/>
      <c r="H29" s="233"/>
    </row>
    <row r="30" spans="2:10" ht="15" customHeight="1" x14ac:dyDescent="0.25">
      <c r="F30" s="470"/>
      <c r="G30" s="470"/>
      <c r="H30" s="233"/>
    </row>
    <row r="31" spans="2:10" ht="15" customHeight="1" x14ac:dyDescent="0.25">
      <c r="F31" s="469"/>
      <c r="G31" s="469"/>
      <c r="H31" s="289"/>
    </row>
    <row r="32" spans="2:10" ht="7.95" customHeight="1" x14ac:dyDescent="0.25"/>
    <row r="33" spans="2:8" ht="7.95" customHeight="1" x14ac:dyDescent="0.3">
      <c r="B33" s="72"/>
      <c r="C33" s="72"/>
      <c r="D33" s="72"/>
    </row>
    <row r="34" spans="2:8" ht="16.2" thickBot="1" x14ac:dyDescent="0.3">
      <c r="B34" s="77" t="s">
        <v>133</v>
      </c>
    </row>
    <row r="35" spans="2:8" ht="15" customHeight="1" thickBot="1" x14ac:dyDescent="0.3">
      <c r="B35" s="466" t="s">
        <v>13</v>
      </c>
      <c r="C35" s="467"/>
      <c r="D35" s="174" t="s">
        <v>109</v>
      </c>
      <c r="E35" s="174" t="s">
        <v>111</v>
      </c>
      <c r="F35" s="174" t="s">
        <v>110</v>
      </c>
      <c r="G35" s="174" t="s">
        <v>112</v>
      </c>
      <c r="H35" s="175" t="s">
        <v>114</v>
      </c>
    </row>
    <row r="36" spans="2:8" ht="15" customHeight="1" x14ac:dyDescent="0.25">
      <c r="B36" s="176" t="s">
        <v>113</v>
      </c>
      <c r="C36" s="177"/>
      <c r="D36" s="177"/>
      <c r="E36" s="177"/>
      <c r="F36" s="177"/>
      <c r="G36" s="177"/>
      <c r="H36" s="178"/>
    </row>
    <row r="37" spans="2:8" ht="15" customHeight="1" x14ac:dyDescent="0.25">
      <c r="B37" s="20" t="s">
        <v>14</v>
      </c>
      <c r="C37" s="15" t="s">
        <v>18</v>
      </c>
      <c r="D37" s="90">
        <f ca="1">INDIRECT($D$6&amp;"!D14")</f>
        <v>1688255</v>
      </c>
      <c r="E37" s="90">
        <f ca="1">INDIRECT($D$6&amp;"!D15")</f>
        <v>1113986</v>
      </c>
      <c r="F37" s="90">
        <f ca="1">INDIRECT($D$6&amp;"!D16")</f>
        <v>261590</v>
      </c>
      <c r="G37" s="90">
        <f ca="1">INDIRECT($D$6&amp;"!D17")</f>
        <v>203304</v>
      </c>
      <c r="H37" s="91">
        <f ca="1">INDIRECT($D$6&amp;"!D18")</f>
        <v>109375</v>
      </c>
    </row>
    <row r="38" spans="2:8" ht="15" customHeight="1" thickBot="1" x14ac:dyDescent="0.3">
      <c r="B38" s="179" t="s">
        <v>129</v>
      </c>
      <c r="C38" s="171" t="s">
        <v>24</v>
      </c>
      <c r="D38" s="180">
        <f ca="1">INDIRECT($D$6&amp;"!D22")+INDIRECT($D$6&amp;"!D34")</f>
        <v>140125.16500000001</v>
      </c>
      <c r="E38" s="172"/>
      <c r="F38" s="172"/>
      <c r="G38" s="172"/>
      <c r="H38" s="173"/>
    </row>
    <row r="39" spans="2:8" ht="15" customHeight="1" x14ac:dyDescent="0.25">
      <c r="B39" s="458" t="s">
        <v>121</v>
      </c>
      <c r="C39" s="459"/>
      <c r="D39" s="459"/>
      <c r="E39" s="459"/>
      <c r="F39" s="459"/>
      <c r="G39" s="459"/>
      <c r="H39" s="460"/>
    </row>
    <row r="40" spans="2:8" ht="15" customHeight="1" x14ac:dyDescent="0.25">
      <c r="B40" s="20" t="s">
        <v>14</v>
      </c>
      <c r="C40" s="15" t="s">
        <v>18</v>
      </c>
      <c r="D40" s="90">
        <f ca="1">INDIRECT($D$6&amp;"!E58")</f>
        <v>0</v>
      </c>
      <c r="E40" s="90">
        <f ca="1">INDIRECT($D$6&amp;"!C92")</f>
        <v>0</v>
      </c>
      <c r="F40" s="90">
        <f ca="1">INDIRECT($D$6&amp;"!D92")</f>
        <v>0</v>
      </c>
      <c r="G40" s="90">
        <f ca="1">INDIRECT($D$6&amp;"!E92")</f>
        <v>0</v>
      </c>
      <c r="H40" s="91">
        <f ca="1">INDIRECT($D$6&amp;"!F92")</f>
        <v>0</v>
      </c>
    </row>
    <row r="41" spans="2:8" ht="15" customHeight="1" x14ac:dyDescent="0.25">
      <c r="B41" s="20" t="s">
        <v>15</v>
      </c>
      <c r="C41" s="15" t="s">
        <v>18</v>
      </c>
      <c r="D41" s="90">
        <f ca="1">INDIRECT($D$6&amp;"!E59")</f>
        <v>0</v>
      </c>
      <c r="E41" s="90">
        <f ca="1">INDIRECT($D$6&amp;"!C93")</f>
        <v>0</v>
      </c>
      <c r="F41" s="90">
        <f ca="1">INDIRECT($D$6&amp;"!D93")</f>
        <v>0</v>
      </c>
      <c r="G41" s="90">
        <f ca="1">INDIRECT($D$6&amp;"!E93")</f>
        <v>0</v>
      </c>
      <c r="H41" s="91">
        <f ca="1">INDIRECT($D$6&amp;"!F93")</f>
        <v>0</v>
      </c>
    </row>
    <row r="42" spans="2:8" ht="15" customHeight="1" x14ac:dyDescent="0.25">
      <c r="B42" s="20" t="s">
        <v>116</v>
      </c>
      <c r="C42" s="15" t="s">
        <v>18</v>
      </c>
      <c r="D42" s="90">
        <f ca="1">INDIRECT($D$6&amp;"!E60")</f>
        <v>0</v>
      </c>
      <c r="E42" s="90">
        <f ca="1">INDIRECT($D$6&amp;"!C94")</f>
        <v>0</v>
      </c>
      <c r="F42" s="90">
        <f ca="1">INDIRECT($D$6&amp;"!D94")</f>
        <v>0</v>
      </c>
      <c r="G42" s="90">
        <f ca="1">INDIRECT($D$6&amp;"!E94")</f>
        <v>0</v>
      </c>
      <c r="H42" s="91">
        <f ca="1">INDIRECT($D$6&amp;"!F94")</f>
        <v>0</v>
      </c>
    </row>
    <row r="43" spans="2:8" ht="15" customHeight="1" x14ac:dyDescent="0.25">
      <c r="B43" s="13" t="s">
        <v>125</v>
      </c>
      <c r="C43" s="6" t="s">
        <v>24</v>
      </c>
      <c r="D43" s="169">
        <f ca="1">INDIRECT($D$6&amp;"!E67")</f>
        <v>0</v>
      </c>
      <c r="E43" s="168"/>
      <c r="F43" s="168"/>
      <c r="G43" s="168"/>
      <c r="H43" s="170"/>
    </row>
    <row r="44" spans="2:8" ht="15" customHeight="1" thickBot="1" x14ac:dyDescent="0.3">
      <c r="B44" s="179" t="s">
        <v>72</v>
      </c>
      <c r="C44" s="171" t="s">
        <v>24</v>
      </c>
      <c r="D44" s="180">
        <f ca="1">INDIRECT($D$6&amp;"!E68")</f>
        <v>140125.16500000001</v>
      </c>
      <c r="E44" s="172"/>
      <c r="F44" s="172"/>
      <c r="G44" s="172"/>
      <c r="H44" s="173"/>
    </row>
    <row r="45" spans="2:8" ht="15" customHeight="1" x14ac:dyDescent="0.25">
      <c r="B45" s="458" t="s">
        <v>122</v>
      </c>
      <c r="C45" s="459"/>
      <c r="D45" s="459"/>
      <c r="E45" s="459"/>
      <c r="F45" s="459"/>
      <c r="G45" s="459"/>
      <c r="H45" s="460"/>
    </row>
    <row r="46" spans="2:8" ht="15" customHeight="1" x14ac:dyDescent="0.25">
      <c r="B46" s="20" t="s">
        <v>14</v>
      </c>
      <c r="C46" s="15" t="s">
        <v>18</v>
      </c>
      <c r="D46" s="90">
        <f>SUM(E46:H46)</f>
        <v>0</v>
      </c>
      <c r="E46" s="315"/>
      <c r="F46" s="424"/>
      <c r="G46" s="315"/>
      <c r="H46" s="314"/>
    </row>
    <row r="47" spans="2:8" ht="15" customHeight="1" x14ac:dyDescent="0.25">
      <c r="B47" s="20" t="s">
        <v>15</v>
      </c>
      <c r="C47" s="15" t="s">
        <v>18</v>
      </c>
      <c r="D47" s="90">
        <f t="shared" ref="D47:D48" si="0">SUM(E47:H47)</f>
        <v>0</v>
      </c>
      <c r="E47" s="315"/>
      <c r="F47" s="315"/>
      <c r="G47" s="315"/>
      <c r="H47" s="314"/>
    </row>
    <row r="48" spans="2:8" ht="15" customHeight="1" x14ac:dyDescent="0.25">
      <c r="B48" s="20" t="s">
        <v>116</v>
      </c>
      <c r="C48" s="15" t="s">
        <v>18</v>
      </c>
      <c r="D48" s="90">
        <f t="shared" si="0"/>
        <v>0</v>
      </c>
      <c r="E48" s="315"/>
      <c r="F48" s="315"/>
      <c r="G48" s="315"/>
      <c r="H48" s="314"/>
    </row>
    <row r="49" spans="2:11" ht="15" customHeight="1" x14ac:dyDescent="0.25">
      <c r="B49" s="13" t="s">
        <v>131</v>
      </c>
      <c r="C49" s="6" t="s">
        <v>24</v>
      </c>
      <c r="D49" s="169">
        <f ca="1">D46*G18/1000+D47*G19/1000+D48*G20/1000</f>
        <v>0</v>
      </c>
      <c r="E49" s="168"/>
      <c r="F49" s="168"/>
      <c r="G49" s="168"/>
      <c r="H49" s="170"/>
    </row>
    <row r="50" spans="2:11" ht="15" customHeight="1" thickBot="1" x14ac:dyDescent="0.3">
      <c r="B50" s="179" t="s">
        <v>130</v>
      </c>
      <c r="C50" s="171" t="s">
        <v>24</v>
      </c>
      <c r="D50" s="180">
        <f ca="1">D38-D49</f>
        <v>140125.16500000001</v>
      </c>
      <c r="E50" s="172"/>
      <c r="F50" s="172"/>
      <c r="G50" s="172"/>
      <c r="H50" s="173"/>
    </row>
    <row r="51" spans="2:11" ht="15" customHeight="1" x14ac:dyDescent="0.25">
      <c r="B51" s="458" t="s">
        <v>212</v>
      </c>
      <c r="C51" s="459"/>
      <c r="D51" s="459"/>
      <c r="E51" s="459"/>
      <c r="F51" s="459"/>
      <c r="G51" s="459"/>
      <c r="H51" s="460"/>
      <c r="I51" s="292"/>
    </row>
    <row r="52" spans="2:11" ht="15" customHeight="1" x14ac:dyDescent="0.25">
      <c r="B52" s="20" t="s">
        <v>123</v>
      </c>
      <c r="C52" s="15" t="s">
        <v>17</v>
      </c>
      <c r="D52" s="168"/>
      <c r="E52" s="287">
        <f>HLOOKUP($D$6,'Neodvisne spremenljivke'!D7:D12,6)</f>
        <v>1</v>
      </c>
      <c r="F52" s="287">
        <v>1</v>
      </c>
      <c r="G52" s="287">
        <f>HLOOKUP($D$6,'Neodvisne spremenljivke'!D7:D12,6)</f>
        <v>1</v>
      </c>
      <c r="H52" s="399">
        <v>1</v>
      </c>
      <c r="K52" s="367"/>
    </row>
    <row r="53" spans="2:11" ht="15" customHeight="1" x14ac:dyDescent="0.25">
      <c r="B53" s="20" t="s">
        <v>14</v>
      </c>
      <c r="C53" s="15" t="s">
        <v>18</v>
      </c>
      <c r="D53" s="90">
        <f>SUM(E53:H53)</f>
        <v>0</v>
      </c>
      <c r="E53" s="90">
        <f>E46*E$52</f>
        <v>0</v>
      </c>
      <c r="F53" s="90">
        <f t="shared" ref="F53:H53" si="1">F46*F$52</f>
        <v>0</v>
      </c>
      <c r="G53" s="90">
        <f>G46*G$52</f>
        <v>0</v>
      </c>
      <c r="H53" s="91">
        <f t="shared" si="1"/>
        <v>0</v>
      </c>
      <c r="K53" s="368"/>
    </row>
    <row r="54" spans="2:11" ht="15" customHeight="1" x14ac:dyDescent="0.25">
      <c r="B54" s="20" t="s">
        <v>15</v>
      </c>
      <c r="C54" s="15" t="s">
        <v>18</v>
      </c>
      <c r="D54" s="90">
        <f t="shared" ref="D54:D55" si="2">SUM(E54:H54)</f>
        <v>0</v>
      </c>
      <c r="E54" s="90">
        <f t="shared" ref="E54:H54" si="3">E47*E$52</f>
        <v>0</v>
      </c>
      <c r="F54" s="90">
        <f t="shared" si="3"/>
        <v>0</v>
      </c>
      <c r="G54" s="90">
        <f t="shared" si="3"/>
        <v>0</v>
      </c>
      <c r="H54" s="91">
        <f t="shared" si="3"/>
        <v>0</v>
      </c>
      <c r="K54" s="368"/>
    </row>
    <row r="55" spans="2:11" ht="15" customHeight="1" thickBot="1" x14ac:dyDescent="0.3">
      <c r="B55" s="20" t="s">
        <v>116</v>
      </c>
      <c r="C55" s="15" t="s">
        <v>18</v>
      </c>
      <c r="D55" s="90">
        <f t="shared" si="2"/>
        <v>0</v>
      </c>
      <c r="E55" s="90">
        <f>E48*E$52</f>
        <v>0</v>
      </c>
      <c r="F55" s="90">
        <f t="shared" ref="F55:H55" si="4">F48*F$52</f>
        <v>0</v>
      </c>
      <c r="G55" s="90">
        <f t="shared" si="4"/>
        <v>0</v>
      </c>
      <c r="H55" s="91">
        <f t="shared" si="4"/>
        <v>0</v>
      </c>
      <c r="K55" s="368"/>
    </row>
    <row r="56" spans="2:11" ht="15" customHeight="1" x14ac:dyDescent="0.25">
      <c r="B56" s="458" t="s">
        <v>234</v>
      </c>
      <c r="C56" s="459"/>
      <c r="D56" s="459"/>
      <c r="E56" s="459"/>
      <c r="F56" s="459"/>
      <c r="G56" s="459"/>
      <c r="H56" s="460"/>
      <c r="I56" s="292"/>
    </row>
    <row r="57" spans="2:11" ht="15" customHeight="1" x14ac:dyDescent="0.25">
      <c r="B57" s="20" t="s">
        <v>14</v>
      </c>
      <c r="C57" s="15" t="s">
        <v>18</v>
      </c>
      <c r="D57" s="90">
        <f>SUM(E57:H57)</f>
        <v>0</v>
      </c>
      <c r="E57" s="315">
        <v>0</v>
      </c>
      <c r="F57" s="315">
        <v>0</v>
      </c>
      <c r="G57" s="315">
        <v>0</v>
      </c>
      <c r="H57" s="314">
        <v>0</v>
      </c>
      <c r="K57" s="368"/>
    </row>
    <row r="58" spans="2:11" ht="15" customHeight="1" x14ac:dyDescent="0.25">
      <c r="B58" s="20" t="s">
        <v>15</v>
      </c>
      <c r="C58" s="15" t="s">
        <v>18</v>
      </c>
      <c r="D58" s="90">
        <f t="shared" ref="D58:D59" si="5">SUM(E58:H58)</f>
        <v>0</v>
      </c>
      <c r="E58" s="315">
        <v>0</v>
      </c>
      <c r="F58" s="315">
        <v>0</v>
      </c>
      <c r="G58" s="315">
        <v>0</v>
      </c>
      <c r="H58" s="314">
        <v>0</v>
      </c>
      <c r="K58" s="368"/>
    </row>
    <row r="59" spans="2:11" ht="15" customHeight="1" x14ac:dyDescent="0.25">
      <c r="B59" s="20" t="s">
        <v>116</v>
      </c>
      <c r="C59" s="15" t="s">
        <v>18</v>
      </c>
      <c r="D59" s="90">
        <f t="shared" si="5"/>
        <v>0</v>
      </c>
      <c r="E59" s="315">
        <v>0</v>
      </c>
      <c r="F59" s="315">
        <v>0</v>
      </c>
      <c r="G59" s="315">
        <v>0</v>
      </c>
      <c r="H59" s="314">
        <v>0</v>
      </c>
      <c r="K59" s="368"/>
    </row>
    <row r="60" spans="2:11" ht="15" customHeight="1" x14ac:dyDescent="0.25">
      <c r="B60" s="461" t="s">
        <v>124</v>
      </c>
      <c r="C60" s="462"/>
      <c r="D60" s="462"/>
      <c r="E60" s="462"/>
      <c r="F60" s="462"/>
      <c r="G60" s="462"/>
      <c r="H60" s="463"/>
      <c r="K60" s="367"/>
    </row>
    <row r="61" spans="2:11" ht="15" customHeight="1" x14ac:dyDescent="0.25">
      <c r="B61" s="20" t="s">
        <v>14</v>
      </c>
      <c r="C61" s="15" t="s">
        <v>18</v>
      </c>
      <c r="D61" s="90">
        <f>D46+D53</f>
        <v>0</v>
      </c>
      <c r="E61" s="168"/>
      <c r="F61" s="168"/>
      <c r="G61" s="168"/>
      <c r="H61" s="170"/>
    </row>
    <row r="62" spans="2:11" ht="15" customHeight="1" x14ac:dyDescent="0.25">
      <c r="B62" s="20" t="s">
        <v>15</v>
      </c>
      <c r="C62" s="15" t="s">
        <v>18</v>
      </c>
      <c r="D62" s="90">
        <f>D47+D54</f>
        <v>0</v>
      </c>
      <c r="E62" s="168"/>
      <c r="F62" s="168"/>
      <c r="G62" s="168"/>
      <c r="H62" s="170"/>
    </row>
    <row r="63" spans="2:11" ht="15" customHeight="1" x14ac:dyDescent="0.25">
      <c r="B63" s="20" t="s">
        <v>116</v>
      </c>
      <c r="C63" s="15" t="s">
        <v>18</v>
      </c>
      <c r="D63" s="90">
        <f>D48+D55</f>
        <v>0</v>
      </c>
      <c r="E63" s="168"/>
      <c r="F63" s="168"/>
      <c r="G63" s="168"/>
      <c r="H63" s="170"/>
    </row>
    <row r="64" spans="2:11" ht="15" customHeight="1" x14ac:dyDescent="0.25">
      <c r="B64" s="13" t="s">
        <v>126</v>
      </c>
      <c r="C64" s="6" t="s">
        <v>24</v>
      </c>
      <c r="D64" s="169">
        <f ca="1">D61*G18/1000+D62*G19/1000+D63*G20/1000</f>
        <v>0</v>
      </c>
      <c r="E64" s="168"/>
      <c r="F64" s="168"/>
      <c r="G64" s="168"/>
      <c r="H64" s="170"/>
    </row>
    <row r="65" spans="2:8" ht="15" customHeight="1" thickBot="1" x14ac:dyDescent="0.3">
      <c r="B65" s="179" t="s">
        <v>132</v>
      </c>
      <c r="C65" s="171" t="s">
        <v>24</v>
      </c>
      <c r="D65" s="180">
        <f ca="1">D38-D64</f>
        <v>140125.16500000001</v>
      </c>
      <c r="E65" s="172"/>
      <c r="F65" s="172"/>
      <c r="G65" s="172"/>
      <c r="H65" s="173"/>
    </row>
    <row r="66" spans="2:8" ht="30" customHeight="1" thickBot="1" x14ac:dyDescent="0.3">
      <c r="B66" s="181" t="s">
        <v>127</v>
      </c>
      <c r="C66" s="174" t="s">
        <v>24</v>
      </c>
      <c r="D66" s="182">
        <f ca="1">D65-D44</f>
        <v>0</v>
      </c>
      <c r="E66" s="183"/>
      <c r="F66" s="183"/>
      <c r="G66" s="183"/>
      <c r="H66" s="184"/>
    </row>
  </sheetData>
  <sheetProtection sheet="1" objects="1" scenarios="1"/>
  <mergeCells count="15">
    <mergeCell ref="B45:H45"/>
    <mergeCell ref="B51:H51"/>
    <mergeCell ref="B60:H60"/>
    <mergeCell ref="B5:C5"/>
    <mergeCell ref="B6:C6"/>
    <mergeCell ref="B7:C7"/>
    <mergeCell ref="B39:H39"/>
    <mergeCell ref="B35:C35"/>
    <mergeCell ref="F26:G26"/>
    <mergeCell ref="F27:G27"/>
    <mergeCell ref="F28:G28"/>
    <mergeCell ref="F29:G29"/>
    <mergeCell ref="F30:G30"/>
    <mergeCell ref="F31:G31"/>
    <mergeCell ref="B56:H56"/>
  </mergeCells>
  <phoneticPr fontId="25" type="noConversion"/>
  <pageMargins left="0.25" right="0.25" top="0.75" bottom="0.75" header="0.3" footer="0.3"/>
  <pageSetup paperSize="9" scale="93" fitToWidth="0" orientation="landscape" r:id="rId1"/>
  <rowBreaks count="1" manualBreakCount="1">
    <brk id="33" max="10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'Osnovni podatki'!$B$6:$B$15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8f063a8-c783-4140-9dfc-ce6c2278cd46">RESALTA-1806727522-195793</_dlc_DocId>
    <_dlc_DocIdUrl xmlns="e8f063a8-c783-4140-9dfc-ce6c2278cd46">
      <Url>https://ggedoo.sharepoint.com/development/_layouts/15/DocIdRedir.aspx?ID=RESALTA-1806727522-195793</Url>
      <Description>RESALTA-1806727522-195793</Description>
    </_dlc_DocIdUrl>
    <_Flow_SignoffStatus xmlns="fa8cccbc-a685-4260-8565-27c03a07dd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F60FC58F4134291150E3AEC05AA34" ma:contentTypeVersion="14" ma:contentTypeDescription="Create a new document." ma:contentTypeScope="" ma:versionID="4a034ce1b153e58857ed5b6727963643">
  <xsd:schema xmlns:xsd="http://www.w3.org/2001/XMLSchema" xmlns:xs="http://www.w3.org/2001/XMLSchema" xmlns:p="http://schemas.microsoft.com/office/2006/metadata/properties" xmlns:ns2="e8f063a8-c783-4140-9dfc-ce6c2278cd46" xmlns:ns3="fa8cccbc-a685-4260-8565-27c03a07dda4" targetNamespace="http://schemas.microsoft.com/office/2006/metadata/properties" ma:root="true" ma:fieldsID="5f1d8369e0c839271e92638809b4513b" ns2:_="" ns3:_="">
    <xsd:import namespace="e8f063a8-c783-4140-9dfc-ce6c2278cd46"/>
    <xsd:import namespace="fa8cccbc-a685-4260-8565-27c03a07dd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063a8-c783-4140-9dfc-ce6c2278cd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cccbc-a685-4260-8565-27c03a07d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F803BD6-C048-4FC3-9757-C1AA2A9B6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53455-C6D7-4017-80D8-FC212D2B7C8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8f063a8-c783-4140-9dfc-ce6c2278cd46"/>
    <ds:schemaRef ds:uri="http://purl.org/dc/terms/"/>
    <ds:schemaRef ds:uri="http://schemas.openxmlformats.org/package/2006/metadata/core-properties"/>
    <ds:schemaRef ds:uri="fa8cccbc-a685-4260-8565-27c03a07dd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468EE5-2459-4E40-96B6-308D487D9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063a8-c783-4140-9dfc-ce6c2278cd46"/>
    <ds:schemaRef ds:uri="fa8cccbc-a685-4260-8565-27c03a07dd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AD5C28-E994-4677-903F-11C2CDF4110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10</vt:i4>
      </vt:variant>
    </vt:vector>
  </HeadingPairs>
  <TitlesOfParts>
    <vt:vector size="21" baseType="lpstr">
      <vt:lpstr>PROGRAM IZVAJANJA</vt:lpstr>
      <vt:lpstr>Osnovni podatki</vt:lpstr>
      <vt:lpstr>Navodila</vt:lpstr>
      <vt:lpstr>Referenčne količine</vt:lpstr>
      <vt:lpstr>OB01</vt:lpstr>
      <vt:lpstr>OB02</vt:lpstr>
      <vt:lpstr>Skupni zajamčeni prihranki</vt:lpstr>
      <vt:lpstr>Neodvisne spremenljivke</vt:lpstr>
      <vt:lpstr>ObračunOB01</vt:lpstr>
      <vt:lpstr>ObračunOB02</vt:lpstr>
      <vt:lpstr>Presežni prihranki</vt:lpstr>
      <vt:lpstr>Navodila!Področje_tiskanja</vt:lpstr>
      <vt:lpstr>'Neodvisne spremenljivke'!Področje_tiskanja</vt:lpstr>
      <vt:lpstr>'OB01'!Področje_tiskanja</vt:lpstr>
      <vt:lpstr>'OB02'!Področje_tiskanja</vt:lpstr>
      <vt:lpstr>ObračunOB01!Področje_tiskanja</vt:lpstr>
      <vt:lpstr>ObračunOB02!Področje_tiskanja</vt:lpstr>
      <vt:lpstr>'Osnovni podatki'!Področje_tiskanja</vt:lpstr>
      <vt:lpstr>'Presežni prihranki'!Področje_tiskanja</vt:lpstr>
      <vt:lpstr>'Referenčne količine'!Področje_tiskanja</vt:lpstr>
      <vt:lpstr>'Skupni zajamčeni prihranki'!Področje_tiskanja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GROF Dušan</cp:lastModifiedBy>
  <cp:lastPrinted>2022-02-22T15:15:15Z</cp:lastPrinted>
  <dcterms:created xsi:type="dcterms:W3CDTF">2015-06-05T18:19:34Z</dcterms:created>
  <dcterms:modified xsi:type="dcterms:W3CDTF">2022-04-04T07:50:39Z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0x010100DDAF60FC58F4134291150E3AEC05AA34</vt:lpwstr>
  </property>
  <property fmtid="{D5CDD505-2E9C-101B-9397-08002B2CF9AE}" pid="3" name="_dlc_DocIdItemGuid">
    <vt:lpwstr>db24ed39-8f7b-4714-ab81-ad17ba65743c</vt:lpwstr>
  </property>
</Properties>
</file>