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60" windowWidth="25125" windowHeight="13710" firstSheet="2" activeTab="2"/>
  </bookViews>
  <sheets>
    <sheet name="AMIF MNZ" sheetId="3" state="hidden" r:id="rId1"/>
    <sheet name="AMIF POLICIJA" sheetId="4" state="hidden" r:id="rId2"/>
    <sheet name="ISF MEJE" sheetId="5" r:id="rId3"/>
    <sheet name="ISFP" sheetId="1" state="hidden" r:id="rId4"/>
  </sheets>
  <definedNames>
    <definedName name="_xlnm._FilterDatabase" localSheetId="2" hidden="1">'ISF MEJE'!$A$3:$P$104</definedName>
    <definedName name="_xlnm.Print_Area" localSheetId="2">'ISF MEJE'!$A$1:$P$104</definedName>
    <definedName name="_xlnm.Print_Titles" localSheetId="2">'ISF MEJE'!$3:$3</definedName>
  </definedNames>
  <calcPr calcId="162913"/>
</workbook>
</file>

<file path=xl/calcChain.xml><?xml version="1.0" encoding="utf-8"?>
<calcChain xmlns="http://schemas.openxmlformats.org/spreadsheetml/2006/main">
  <c r="H74" i="5" l="1"/>
  <c r="J13" i="5"/>
  <c r="K13" i="5"/>
  <c r="L13" i="5"/>
  <c r="M13" i="5"/>
  <c r="N13" i="5"/>
  <c r="O13" i="5"/>
  <c r="P13" i="5"/>
  <c r="J7" i="5"/>
  <c r="K7" i="5"/>
  <c r="L7" i="5"/>
  <c r="M7" i="5"/>
  <c r="N7" i="5"/>
  <c r="O7" i="5"/>
  <c r="P7" i="5"/>
  <c r="P104" i="5"/>
  <c r="P103" i="5" s="1"/>
  <c r="P102" i="5" s="1"/>
  <c r="P101" i="5" s="1"/>
  <c r="S2" i="5"/>
  <c r="G84" i="5"/>
  <c r="U3" i="5"/>
  <c r="P73" i="5"/>
  <c r="Q12" i="5"/>
  <c r="Q15" i="5"/>
  <c r="Q22" i="5"/>
  <c r="Q54" i="5"/>
  <c r="R54" i="5" s="1"/>
  <c r="G72" i="5"/>
  <c r="H72" i="5" s="1"/>
  <c r="R33" i="5"/>
  <c r="N92" i="5"/>
  <c r="N91" i="5"/>
  <c r="J69" i="5"/>
  <c r="K69" i="5"/>
  <c r="L69" i="5"/>
  <c r="M69" i="5"/>
  <c r="O69" i="5"/>
  <c r="P69" i="5"/>
  <c r="N71" i="5"/>
  <c r="G71" i="5" s="1"/>
  <c r="Q71" i="5"/>
  <c r="G36" i="5"/>
  <c r="H36" i="5" s="1"/>
  <c r="O46" i="5"/>
  <c r="O45" i="5"/>
  <c r="N44" i="5"/>
  <c r="G14" i="5"/>
  <c r="H14" i="5" s="1"/>
  <c r="G80" i="5"/>
  <c r="H80" i="5"/>
  <c r="J78" i="5"/>
  <c r="K78" i="5"/>
  <c r="L78" i="5"/>
  <c r="M78" i="5"/>
  <c r="N78" i="5"/>
  <c r="P78" i="5"/>
  <c r="O78" i="5"/>
  <c r="J73" i="5"/>
  <c r="K73" i="5"/>
  <c r="L73" i="5"/>
  <c r="L62" i="5" s="1"/>
  <c r="M73" i="5"/>
  <c r="N73" i="5"/>
  <c r="O73" i="5"/>
  <c r="G77" i="5"/>
  <c r="H77" i="5"/>
  <c r="Q77" i="5" s="1"/>
  <c r="G15" i="5"/>
  <c r="H15" i="5" s="1"/>
  <c r="G79" i="5"/>
  <c r="M35" i="5"/>
  <c r="M34" i="5" s="1"/>
  <c r="M33" i="5" s="1"/>
  <c r="L35" i="5"/>
  <c r="L34" i="5"/>
  <c r="L33" i="5" s="1"/>
  <c r="K35" i="5"/>
  <c r="K34" i="5" s="1"/>
  <c r="K33" i="5" s="1"/>
  <c r="O96" i="5"/>
  <c r="O95" i="5"/>
  <c r="G37" i="5"/>
  <c r="H37" i="5"/>
  <c r="J86" i="5"/>
  <c r="K86" i="5"/>
  <c r="L86" i="5"/>
  <c r="M86" i="5"/>
  <c r="N86" i="5"/>
  <c r="N85" i="5" s="1"/>
  <c r="O86" i="5"/>
  <c r="O85" i="5" s="1"/>
  <c r="O81" i="5" s="1"/>
  <c r="P86" i="5"/>
  <c r="J50" i="5"/>
  <c r="K50" i="5"/>
  <c r="L50" i="5"/>
  <c r="O50" i="5"/>
  <c r="P50" i="5"/>
  <c r="G76" i="5"/>
  <c r="I76" i="5" s="1"/>
  <c r="N10" i="5"/>
  <c r="P34" i="5"/>
  <c r="P33" i="5" s="1"/>
  <c r="J34" i="5"/>
  <c r="J33" i="5"/>
  <c r="N34" i="5"/>
  <c r="N33" i="5" s="1"/>
  <c r="G22" i="5"/>
  <c r="G19" i="5"/>
  <c r="G18" i="5" s="1"/>
  <c r="G12" i="5"/>
  <c r="N25" i="5"/>
  <c r="N24" i="5"/>
  <c r="M24" i="5"/>
  <c r="M23" i="5"/>
  <c r="N18" i="5"/>
  <c r="O18" i="5"/>
  <c r="G17" i="5"/>
  <c r="H17" i="5" s="1"/>
  <c r="I17" i="5" s="1"/>
  <c r="I16" i="5" s="1"/>
  <c r="M11" i="5"/>
  <c r="M9" i="5"/>
  <c r="G9" i="5"/>
  <c r="H9" i="5" s="1"/>
  <c r="I9" i="5" s="1"/>
  <c r="M8" i="5"/>
  <c r="G8" i="5"/>
  <c r="G104" i="5"/>
  <c r="H104" i="5"/>
  <c r="H103" i="5" s="1"/>
  <c r="H102" i="5" s="1"/>
  <c r="H101" i="5" s="1"/>
  <c r="G100" i="5"/>
  <c r="G87" i="5"/>
  <c r="H87" i="5" s="1"/>
  <c r="G74" i="5"/>
  <c r="I74" i="5" s="1"/>
  <c r="G70" i="5"/>
  <c r="I70" i="5" s="1"/>
  <c r="G66" i="5"/>
  <c r="G59" i="5"/>
  <c r="H59" i="5"/>
  <c r="G51" i="5"/>
  <c r="G49" i="5"/>
  <c r="H49" i="5" s="1"/>
  <c r="G32" i="5"/>
  <c r="I32" i="5" s="1"/>
  <c r="I31" i="5" s="1"/>
  <c r="H32" i="5"/>
  <c r="G30" i="5"/>
  <c r="P99" i="5"/>
  <c r="P97" i="5"/>
  <c r="P85" i="5" s="1"/>
  <c r="P95" i="5"/>
  <c r="P93" i="5"/>
  <c r="P91" i="5"/>
  <c r="P88" i="5"/>
  <c r="P83" i="5"/>
  <c r="P82" i="5" s="1"/>
  <c r="P67" i="5"/>
  <c r="P65" i="5"/>
  <c r="P63" i="5"/>
  <c r="P60" i="5"/>
  <c r="P56" i="5"/>
  <c r="P55" i="5" s="1"/>
  <c r="P48" i="5"/>
  <c r="P46" i="5"/>
  <c r="P43" i="5" s="1"/>
  <c r="P44" i="5"/>
  <c r="P39" i="5"/>
  <c r="P31" i="5"/>
  <c r="P29" i="5"/>
  <c r="P25" i="5"/>
  <c r="P23" i="5"/>
  <c r="P20" i="5" s="1"/>
  <c r="P21" i="5"/>
  <c r="P18" i="5"/>
  <c r="P16" i="5"/>
  <c r="P10" i="5"/>
  <c r="M96" i="5"/>
  <c r="M95" i="5"/>
  <c r="M93" i="5"/>
  <c r="M98" i="5"/>
  <c r="M97" i="5"/>
  <c r="M92" i="5"/>
  <c r="M90" i="5"/>
  <c r="M89" i="5"/>
  <c r="M67" i="5"/>
  <c r="M56" i="5"/>
  <c r="M50" i="5"/>
  <c r="G52" i="5"/>
  <c r="H52" i="5" s="1"/>
  <c r="M47" i="5"/>
  <c r="M46" i="5" s="1"/>
  <c r="M45" i="5"/>
  <c r="M39" i="5"/>
  <c r="L39" i="5"/>
  <c r="L38" i="5" s="1"/>
  <c r="L94" i="5"/>
  <c r="N88" i="5"/>
  <c r="O88" i="5"/>
  <c r="N50" i="5"/>
  <c r="G53" i="5"/>
  <c r="N93" i="5"/>
  <c r="O93" i="5"/>
  <c r="O64" i="5"/>
  <c r="L99" i="5"/>
  <c r="K99" i="5"/>
  <c r="L97" i="5"/>
  <c r="L95" i="5"/>
  <c r="K95" i="5"/>
  <c r="L91" i="5"/>
  <c r="K91" i="5"/>
  <c r="L90" i="5"/>
  <c r="K90" i="5"/>
  <c r="K88" i="5"/>
  <c r="J90" i="5"/>
  <c r="L89" i="5"/>
  <c r="J89" i="5"/>
  <c r="J88" i="5" s="1"/>
  <c r="L67" i="5"/>
  <c r="K47" i="5"/>
  <c r="K46" i="5"/>
  <c r="L44" i="5"/>
  <c r="L43" i="5" s="1"/>
  <c r="I103" i="5"/>
  <c r="I102" i="5"/>
  <c r="I101" i="5" s="1"/>
  <c r="J103" i="5"/>
  <c r="J102" i="5"/>
  <c r="J101" i="5"/>
  <c r="K103" i="5"/>
  <c r="K102" i="5" s="1"/>
  <c r="K101" i="5" s="1"/>
  <c r="L103" i="5"/>
  <c r="L102" i="5" s="1"/>
  <c r="L101" i="5" s="1"/>
  <c r="M103" i="5"/>
  <c r="M102" i="5"/>
  <c r="M101" i="5"/>
  <c r="N103" i="5"/>
  <c r="N102" i="5"/>
  <c r="N101" i="5" s="1"/>
  <c r="O103" i="5"/>
  <c r="O102" i="5" s="1"/>
  <c r="O101" i="5" s="1"/>
  <c r="I83" i="5"/>
  <c r="J83" i="5"/>
  <c r="J82" i="5" s="1"/>
  <c r="K83" i="5"/>
  <c r="K82" i="5"/>
  <c r="L83" i="5"/>
  <c r="L82" i="5" s="1"/>
  <c r="M83" i="5"/>
  <c r="M82" i="5"/>
  <c r="N83" i="5"/>
  <c r="N82" i="5" s="1"/>
  <c r="N81" i="5" s="1"/>
  <c r="O83" i="5"/>
  <c r="O82" i="5"/>
  <c r="J25" i="5"/>
  <c r="K25" i="5"/>
  <c r="L25" i="5"/>
  <c r="L20" i="5" s="1"/>
  <c r="M25" i="5"/>
  <c r="O25" i="5"/>
  <c r="J23" i="5"/>
  <c r="K23" i="5"/>
  <c r="L23" i="5"/>
  <c r="O23" i="5"/>
  <c r="O20" i="5" s="1"/>
  <c r="J21" i="5"/>
  <c r="J20" i="5"/>
  <c r="K21" i="5"/>
  <c r="L21" i="5"/>
  <c r="M21" i="5"/>
  <c r="M20" i="5" s="1"/>
  <c r="N21" i="5"/>
  <c r="O21" i="5"/>
  <c r="J18" i="5"/>
  <c r="K18" i="5"/>
  <c r="L18" i="5"/>
  <c r="J16" i="5"/>
  <c r="K16" i="5"/>
  <c r="L16" i="5"/>
  <c r="M16" i="5"/>
  <c r="O16" i="5"/>
  <c r="J10" i="5"/>
  <c r="K10" i="5"/>
  <c r="L10" i="5"/>
  <c r="O10" i="5"/>
  <c r="L48" i="5"/>
  <c r="M48" i="5"/>
  <c r="N48" i="5"/>
  <c r="O48" i="5"/>
  <c r="I97" i="5"/>
  <c r="J97" i="5"/>
  <c r="N97" i="5"/>
  <c r="O97" i="5"/>
  <c r="I99" i="5"/>
  <c r="J99" i="5"/>
  <c r="M99" i="5"/>
  <c r="N99" i="5"/>
  <c r="O99" i="5"/>
  <c r="I95" i="5"/>
  <c r="N95" i="5"/>
  <c r="I93" i="5"/>
  <c r="J93" i="5"/>
  <c r="K93" i="5"/>
  <c r="I91" i="5"/>
  <c r="J91" i="5"/>
  <c r="O91" i="5"/>
  <c r="J67" i="5"/>
  <c r="N67" i="5"/>
  <c r="O67" i="5"/>
  <c r="K67" i="5"/>
  <c r="K65" i="5"/>
  <c r="L65" i="5"/>
  <c r="M65" i="5"/>
  <c r="N65" i="5"/>
  <c r="O65" i="5"/>
  <c r="J63" i="5"/>
  <c r="K63" i="5"/>
  <c r="L63" i="5"/>
  <c r="N63" i="5"/>
  <c r="J60" i="5"/>
  <c r="K60" i="5"/>
  <c r="N60" i="5"/>
  <c r="O60" i="5"/>
  <c r="J56" i="5"/>
  <c r="N56" i="5"/>
  <c r="O56" i="5"/>
  <c r="K48" i="5"/>
  <c r="L46" i="5"/>
  <c r="J44" i="5"/>
  <c r="K44" i="5"/>
  <c r="J39" i="5"/>
  <c r="J38" i="5" s="1"/>
  <c r="N39" i="5"/>
  <c r="N38" i="5" s="1"/>
  <c r="O39" i="5"/>
  <c r="J41" i="5"/>
  <c r="K41" i="5"/>
  <c r="L41" i="5"/>
  <c r="M41" i="5"/>
  <c r="N41" i="5"/>
  <c r="O41" i="5"/>
  <c r="J31" i="5"/>
  <c r="K31" i="5"/>
  <c r="L31" i="5"/>
  <c r="M31" i="5"/>
  <c r="N31" i="5"/>
  <c r="N28" i="5" s="1"/>
  <c r="O31" i="5"/>
  <c r="N29" i="5"/>
  <c r="J29" i="5"/>
  <c r="K29" i="5"/>
  <c r="L29" i="5"/>
  <c r="L28" i="5" s="1"/>
  <c r="M29" i="5"/>
  <c r="M28" i="5" s="1"/>
  <c r="O29" i="5"/>
  <c r="O28" i="5" s="1"/>
  <c r="U9" i="3"/>
  <c r="U8" i="3"/>
  <c r="K100" i="3"/>
  <c r="L100" i="3" s="1"/>
  <c r="L99" i="3" s="1"/>
  <c r="K95" i="3"/>
  <c r="K83" i="3"/>
  <c r="L83" i="3" s="1"/>
  <c r="L82" i="3" s="1"/>
  <c r="K78" i="3"/>
  <c r="L78" i="3" s="1"/>
  <c r="K76" i="3"/>
  <c r="K74" i="3"/>
  <c r="L74" i="3" s="1"/>
  <c r="K72" i="3"/>
  <c r="K70" i="3"/>
  <c r="L70" i="3" s="1"/>
  <c r="L69" i="3" s="1"/>
  <c r="K69" i="3"/>
  <c r="K67" i="3"/>
  <c r="L67" i="3"/>
  <c r="K65" i="3"/>
  <c r="K64" i="3" s="1"/>
  <c r="L65" i="3"/>
  <c r="K60" i="3"/>
  <c r="K59" i="3" s="1"/>
  <c r="K58" i="3" s="1"/>
  <c r="K44" i="3"/>
  <c r="K41" i="3"/>
  <c r="L41" i="3"/>
  <c r="L40" i="3" s="1"/>
  <c r="K38" i="3"/>
  <c r="L38" i="3" s="1"/>
  <c r="K36" i="3"/>
  <c r="K32" i="3"/>
  <c r="K29" i="3" s="1"/>
  <c r="K30" i="3"/>
  <c r="L30" i="3" s="1"/>
  <c r="K26" i="3"/>
  <c r="K25" i="3" s="1"/>
  <c r="L26" i="3"/>
  <c r="L25" i="3" s="1"/>
  <c r="K23" i="3"/>
  <c r="L23" i="3"/>
  <c r="K21" i="3"/>
  <c r="L21" i="3" s="1"/>
  <c r="K19" i="3"/>
  <c r="L19" i="3"/>
  <c r="K17" i="3"/>
  <c r="L17" i="3" s="1"/>
  <c r="K15" i="3"/>
  <c r="L15" i="3"/>
  <c r="K13" i="3"/>
  <c r="L13" i="3" s="1"/>
  <c r="K11" i="3"/>
  <c r="L11" i="3"/>
  <c r="AE50" i="1"/>
  <c r="AE49" i="1"/>
  <c r="L47" i="1"/>
  <c r="L2" i="1" s="1"/>
  <c r="AF115" i="1"/>
  <c r="AE115" i="1"/>
  <c r="K24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K110" i="1"/>
  <c r="N112" i="1"/>
  <c r="N109" i="1"/>
  <c r="O112" i="1"/>
  <c r="O109" i="1" s="1"/>
  <c r="P112" i="1"/>
  <c r="Q112" i="1"/>
  <c r="R112" i="1"/>
  <c r="S112" i="1"/>
  <c r="S109" i="1" s="1"/>
  <c r="K112" i="1"/>
  <c r="K109" i="1" s="1"/>
  <c r="AE108" i="1" s="1"/>
  <c r="L113" i="1"/>
  <c r="L111" i="1"/>
  <c r="L110" i="1" s="1"/>
  <c r="L109" i="1" s="1"/>
  <c r="AF108" i="1" s="1"/>
  <c r="L106" i="1"/>
  <c r="L73" i="1"/>
  <c r="M73" i="1"/>
  <c r="L67" i="1"/>
  <c r="M67" i="1" s="1"/>
  <c r="L65" i="1"/>
  <c r="M65" i="1" s="1"/>
  <c r="L63" i="1"/>
  <c r="L60" i="1"/>
  <c r="M60" i="1" s="1"/>
  <c r="M59" i="1" s="1"/>
  <c r="L57" i="1"/>
  <c r="M57" i="1" s="1"/>
  <c r="M56" i="1" s="1"/>
  <c r="L45" i="1"/>
  <c r="M45" i="1" s="1"/>
  <c r="L43" i="1"/>
  <c r="L40" i="1"/>
  <c r="L37" i="1"/>
  <c r="L36" i="1"/>
  <c r="L32" i="1"/>
  <c r="L27" i="1"/>
  <c r="M27" i="1"/>
  <c r="L26" i="1"/>
  <c r="M26" i="1" s="1"/>
  <c r="L22" i="1"/>
  <c r="M22" i="1"/>
  <c r="L20" i="1"/>
  <c r="L18" i="1"/>
  <c r="M18" i="1"/>
  <c r="L16" i="1"/>
  <c r="M16" i="1" s="1"/>
  <c r="L14" i="1"/>
  <c r="M14" i="1"/>
  <c r="L9" i="1"/>
  <c r="M9" i="1" s="1"/>
  <c r="L7" i="1"/>
  <c r="M7" i="1"/>
  <c r="K34" i="1"/>
  <c r="K31" i="1" s="1"/>
  <c r="O114" i="1"/>
  <c r="Q114" i="1"/>
  <c r="N69" i="1"/>
  <c r="Q69" i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 s="1"/>
  <c r="N100" i="1"/>
  <c r="O100" i="1"/>
  <c r="P100" i="1"/>
  <c r="Q100" i="1"/>
  <c r="R100" i="1"/>
  <c r="S100" i="1"/>
  <c r="K103" i="1"/>
  <c r="O104" i="1"/>
  <c r="N104" i="1"/>
  <c r="K104" i="1" s="1"/>
  <c r="K101" i="1"/>
  <c r="L101" i="1" s="1"/>
  <c r="M101" i="1" s="1"/>
  <c r="O102" i="1"/>
  <c r="P102" i="1" s="1"/>
  <c r="O97" i="1"/>
  <c r="P97" i="1"/>
  <c r="Q97" i="1"/>
  <c r="R97" i="1"/>
  <c r="S97" i="1"/>
  <c r="K98" i="1"/>
  <c r="K97" i="1"/>
  <c r="O99" i="1"/>
  <c r="K99" i="1" s="1"/>
  <c r="N90" i="1"/>
  <c r="N76" i="1" s="1"/>
  <c r="O90" i="1"/>
  <c r="P90" i="1"/>
  <c r="Q90" i="1"/>
  <c r="R90" i="1"/>
  <c r="S90" i="1"/>
  <c r="K93" i="1"/>
  <c r="O96" i="1"/>
  <c r="Q96" i="1"/>
  <c r="N94" i="1"/>
  <c r="K94" i="1"/>
  <c r="L94" i="1" s="1"/>
  <c r="M94" i="1" s="1"/>
  <c r="K95" i="1"/>
  <c r="L95" i="1" s="1"/>
  <c r="M95" i="1" s="1"/>
  <c r="K91" i="1"/>
  <c r="L91" i="1" s="1"/>
  <c r="O92" i="1"/>
  <c r="Q92" i="1"/>
  <c r="N77" i="1"/>
  <c r="O77" i="1"/>
  <c r="P77" i="1"/>
  <c r="Q77" i="1"/>
  <c r="Q76" i="1" s="1"/>
  <c r="R77" i="1"/>
  <c r="S77" i="1"/>
  <c r="K88" i="1"/>
  <c r="L88" i="1"/>
  <c r="M88" i="1" s="1"/>
  <c r="K89" i="1"/>
  <c r="O87" i="1"/>
  <c r="P87" i="1" s="1"/>
  <c r="K86" i="1"/>
  <c r="L86" i="1" s="1"/>
  <c r="M86" i="1" s="1"/>
  <c r="K54" i="1"/>
  <c r="K55" i="1"/>
  <c r="L55" i="1"/>
  <c r="K78" i="1"/>
  <c r="L78" i="1" s="1"/>
  <c r="K80" i="1"/>
  <c r="L80" i="1" s="1"/>
  <c r="K84" i="1"/>
  <c r="L84" i="1"/>
  <c r="M84" i="1"/>
  <c r="K82" i="1"/>
  <c r="O85" i="1"/>
  <c r="P85" i="1"/>
  <c r="O83" i="1"/>
  <c r="K83" i="1" s="1"/>
  <c r="O81" i="1"/>
  <c r="N81" i="1"/>
  <c r="O79" i="1"/>
  <c r="K79" i="1" s="1"/>
  <c r="O74" i="1"/>
  <c r="K74" i="1" s="1"/>
  <c r="L74" i="1" s="1"/>
  <c r="N74" i="1"/>
  <c r="P70" i="1"/>
  <c r="P69" i="1" s="1"/>
  <c r="O70" i="1"/>
  <c r="K71" i="1"/>
  <c r="L71" i="1"/>
  <c r="M71" i="1" s="1"/>
  <c r="N62" i="1"/>
  <c r="O62" i="1"/>
  <c r="P62" i="1"/>
  <c r="Q62" i="1"/>
  <c r="R62" i="1"/>
  <c r="S62" i="1"/>
  <c r="K62" i="1"/>
  <c r="P66" i="1"/>
  <c r="K66" i="1" s="1"/>
  <c r="O64" i="1"/>
  <c r="K64" i="1"/>
  <c r="L64" i="1" s="1"/>
  <c r="N56" i="1"/>
  <c r="O56" i="1"/>
  <c r="P56" i="1"/>
  <c r="Q56" i="1"/>
  <c r="R56" i="1"/>
  <c r="S56" i="1"/>
  <c r="K56" i="1"/>
  <c r="N49" i="1"/>
  <c r="O49" i="1"/>
  <c r="P49" i="1"/>
  <c r="Q49" i="1"/>
  <c r="R49" i="1"/>
  <c r="R48" i="1" s="1"/>
  <c r="S49" i="1"/>
  <c r="K50" i="1"/>
  <c r="N59" i="1"/>
  <c r="O59" i="1"/>
  <c r="P59" i="1"/>
  <c r="Q59" i="1"/>
  <c r="R59" i="1"/>
  <c r="S59" i="1"/>
  <c r="K59" i="1"/>
  <c r="P61" i="1"/>
  <c r="K52" i="1"/>
  <c r="O53" i="1"/>
  <c r="K53" i="1" s="1"/>
  <c r="L53" i="1" s="1"/>
  <c r="M53" i="1" s="1"/>
  <c r="O51" i="1"/>
  <c r="K51" i="1" s="1"/>
  <c r="L51" i="1" s="1"/>
  <c r="N42" i="1"/>
  <c r="O42" i="1"/>
  <c r="P42" i="1"/>
  <c r="Q42" i="1"/>
  <c r="R42" i="1"/>
  <c r="S42" i="1"/>
  <c r="K42" i="1"/>
  <c r="O46" i="1"/>
  <c r="Q46" i="1"/>
  <c r="Q44" i="1"/>
  <c r="N39" i="1"/>
  <c r="O39" i="1"/>
  <c r="P39" i="1"/>
  <c r="K39" i="1"/>
  <c r="O41" i="1"/>
  <c r="N41" i="1"/>
  <c r="K41" i="1" s="1"/>
  <c r="L41" i="1" s="1"/>
  <c r="M41" i="1" s="1"/>
  <c r="N36" i="1"/>
  <c r="O36" i="1"/>
  <c r="P36" i="1"/>
  <c r="Q36" i="1"/>
  <c r="K36" i="1"/>
  <c r="O38" i="1"/>
  <c r="Q38" i="1"/>
  <c r="N31" i="1"/>
  <c r="O31" i="1"/>
  <c r="P31" i="1"/>
  <c r="Q31" i="1"/>
  <c r="R31" i="1"/>
  <c r="S31" i="1"/>
  <c r="O33" i="1"/>
  <c r="Q33" i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/>
  <c r="O25" i="1"/>
  <c r="P25" i="1" s="1"/>
  <c r="O23" i="1"/>
  <c r="Q23" i="1" s="1"/>
  <c r="L21" i="1"/>
  <c r="M21" i="1"/>
  <c r="N17" i="1"/>
  <c r="P17" i="1" s="1"/>
  <c r="L11" i="1"/>
  <c r="M11" i="1" s="1"/>
  <c r="P12" i="1"/>
  <c r="Q10" i="1"/>
  <c r="O6" i="1"/>
  <c r="O5" i="1" s="1"/>
  <c r="O8" i="1"/>
  <c r="Q8" i="1" s="1"/>
  <c r="N6" i="1"/>
  <c r="Q6" i="1"/>
  <c r="Q5" i="1" s="1"/>
  <c r="R6" i="1"/>
  <c r="S6" i="1"/>
  <c r="T6" i="1"/>
  <c r="U6" i="1"/>
  <c r="V6" i="1"/>
  <c r="W6" i="1"/>
  <c r="X6" i="1"/>
  <c r="Y6" i="1"/>
  <c r="Z6" i="1"/>
  <c r="AA6" i="1"/>
  <c r="AB6" i="1"/>
  <c r="P29" i="1"/>
  <c r="P30" i="1"/>
  <c r="P20" i="1"/>
  <c r="P19" i="1" s="1"/>
  <c r="P18" i="1"/>
  <c r="P6" i="1" s="1"/>
  <c r="P13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Q19" i="4"/>
  <c r="R19" i="4"/>
  <c r="J19" i="4"/>
  <c r="M12" i="4"/>
  <c r="N12" i="4"/>
  <c r="O12" i="4"/>
  <c r="P12" i="4"/>
  <c r="Q12" i="4"/>
  <c r="R12" i="4"/>
  <c r="K9" i="4"/>
  <c r="L9" i="4"/>
  <c r="M9" i="4"/>
  <c r="N9" i="4"/>
  <c r="O9" i="4"/>
  <c r="P9" i="4"/>
  <c r="Q9" i="4"/>
  <c r="R9" i="4"/>
  <c r="J9" i="4"/>
  <c r="K6" i="4"/>
  <c r="L6" i="4"/>
  <c r="M6" i="4"/>
  <c r="N6" i="4"/>
  <c r="N5" i="4" s="1"/>
  <c r="O6" i="4"/>
  <c r="P6" i="4"/>
  <c r="Q6" i="4"/>
  <c r="R6" i="4"/>
  <c r="R5" i="4" s="1"/>
  <c r="J6" i="4"/>
  <c r="K25" i="4"/>
  <c r="K24" i="4" s="1"/>
  <c r="M26" i="4"/>
  <c r="M22" i="4"/>
  <c r="O22" i="4"/>
  <c r="P22" i="4"/>
  <c r="Q22" i="4"/>
  <c r="R22" i="4"/>
  <c r="N23" i="4"/>
  <c r="N22" i="4" s="1"/>
  <c r="K20" i="4"/>
  <c r="L20" i="4" s="1"/>
  <c r="L19" i="4" s="1"/>
  <c r="M21" i="4"/>
  <c r="J17" i="4"/>
  <c r="J18" i="4"/>
  <c r="J13" i="4"/>
  <c r="K13" i="4"/>
  <c r="N14" i="4"/>
  <c r="J14" i="4" s="1"/>
  <c r="K14" i="4" s="1"/>
  <c r="N11" i="4"/>
  <c r="O11" i="4" s="1"/>
  <c r="T7" i="4"/>
  <c r="U7" i="4" s="1"/>
  <c r="M97" i="3"/>
  <c r="M94" i="3"/>
  <c r="N97" i="3"/>
  <c r="N94" i="3" s="1"/>
  <c r="O97" i="3"/>
  <c r="O94" i="3" s="1"/>
  <c r="O89" i="3" s="1"/>
  <c r="O56" i="3" s="1"/>
  <c r="P97" i="3"/>
  <c r="P94" i="3" s="1"/>
  <c r="J97" i="3"/>
  <c r="K97" i="3"/>
  <c r="R99" i="3"/>
  <c r="Q99" i="3"/>
  <c r="P99" i="3"/>
  <c r="O99" i="3"/>
  <c r="N99" i="3"/>
  <c r="M99" i="3"/>
  <c r="J99" i="3"/>
  <c r="R94" i="3"/>
  <c r="Q94" i="3"/>
  <c r="R90" i="3"/>
  <c r="Q90" i="3"/>
  <c r="P90" i="3"/>
  <c r="O90" i="3"/>
  <c r="N90" i="3"/>
  <c r="N89" i="3" s="1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O69" i="3"/>
  <c r="O63" i="3" s="1"/>
  <c r="N69" i="3"/>
  <c r="M69" i="3"/>
  <c r="J69" i="3"/>
  <c r="R64" i="3"/>
  <c r="Q64" i="3"/>
  <c r="Q63" i="3" s="1"/>
  <c r="P64" i="3"/>
  <c r="O64" i="3"/>
  <c r="N64" i="3"/>
  <c r="M64" i="3"/>
  <c r="J64" i="3"/>
  <c r="K62" i="3"/>
  <c r="R59" i="3"/>
  <c r="R58" i="3" s="1"/>
  <c r="Q59" i="3"/>
  <c r="Q58" i="3" s="1"/>
  <c r="P59" i="3"/>
  <c r="P58" i="3"/>
  <c r="O59" i="3"/>
  <c r="O58" i="3" s="1"/>
  <c r="N59" i="3"/>
  <c r="N58" i="3"/>
  <c r="M59" i="3"/>
  <c r="M58" i="3" s="1"/>
  <c r="J59" i="3"/>
  <c r="J58" i="3"/>
  <c r="J57" i="3"/>
  <c r="L46" i="3"/>
  <c r="J46" i="3"/>
  <c r="J4" i="3" s="1"/>
  <c r="R43" i="3"/>
  <c r="Q43" i="3"/>
  <c r="P43" i="3"/>
  <c r="O43" i="3"/>
  <c r="N43" i="3"/>
  <c r="M43" i="3"/>
  <c r="J43" i="3"/>
  <c r="R40" i="3"/>
  <c r="R7" i="3" s="1"/>
  <c r="R5" i="3" s="1"/>
  <c r="Q40" i="3"/>
  <c r="P40" i="3"/>
  <c r="O40" i="3"/>
  <c r="N40" i="3"/>
  <c r="M40" i="3"/>
  <c r="K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Q25" i="3"/>
  <c r="P25" i="3"/>
  <c r="P7" i="3" s="1"/>
  <c r="P5" i="3" s="1"/>
  <c r="O25" i="3"/>
  <c r="N25" i="3"/>
  <c r="M25" i="3"/>
  <c r="J25" i="3"/>
  <c r="J9" i="3"/>
  <c r="R8" i="3"/>
  <c r="Q8" i="3"/>
  <c r="P8" i="3"/>
  <c r="O8" i="3"/>
  <c r="N8" i="3"/>
  <c r="M8" i="3"/>
  <c r="K4" i="3"/>
  <c r="L4" i="3"/>
  <c r="K56" i="5"/>
  <c r="K55" i="5" s="1"/>
  <c r="J48" i="5"/>
  <c r="J46" i="5"/>
  <c r="J65" i="5"/>
  <c r="J95" i="5"/>
  <c r="K39" i="5"/>
  <c r="K38" i="5" s="1"/>
  <c r="L13" i="4"/>
  <c r="L34" i="1"/>
  <c r="M34" i="1"/>
  <c r="M111" i="1"/>
  <c r="M110" i="1" s="1"/>
  <c r="L98" i="1"/>
  <c r="L97" i="1" s="1"/>
  <c r="L112" i="1"/>
  <c r="M113" i="1"/>
  <c r="M112" i="1"/>
  <c r="J94" i="3"/>
  <c r="J89" i="3"/>
  <c r="K47" i="1"/>
  <c r="M37" i="1"/>
  <c r="M36" i="1" s="1"/>
  <c r="M63" i="1"/>
  <c r="K97" i="5"/>
  <c r="M106" i="1"/>
  <c r="M105" i="1" s="1"/>
  <c r="L105" i="1"/>
  <c r="L76" i="3"/>
  <c r="M98" i="1"/>
  <c r="M97" i="1" s="1"/>
  <c r="Q109" i="1"/>
  <c r="L60" i="3"/>
  <c r="L59" i="3" s="1"/>
  <c r="L58" i="3" s="1"/>
  <c r="L52" i="1"/>
  <c r="S76" i="1"/>
  <c r="L97" i="3"/>
  <c r="K13" i="1"/>
  <c r="L13" i="1" s="1"/>
  <c r="L99" i="1"/>
  <c r="K6" i="1"/>
  <c r="K5" i="1" s="1"/>
  <c r="AE5" i="1" s="1"/>
  <c r="G68" i="5"/>
  <c r="G67" i="5" s="1"/>
  <c r="G57" i="5"/>
  <c r="M60" i="5"/>
  <c r="G40" i="5"/>
  <c r="G39" i="5" s="1"/>
  <c r="L60" i="5"/>
  <c r="G61" i="5"/>
  <c r="H61" i="5" s="1"/>
  <c r="H60" i="5" s="1"/>
  <c r="G60" i="5"/>
  <c r="M63" i="5"/>
  <c r="L56" i="5"/>
  <c r="L55" i="5" s="1"/>
  <c r="G58" i="5"/>
  <c r="P41" i="5"/>
  <c r="P38" i="5" s="1"/>
  <c r="G42" i="5"/>
  <c r="O34" i="5"/>
  <c r="O33" i="5" s="1"/>
  <c r="N16" i="5"/>
  <c r="G54" i="5"/>
  <c r="H54" i="5"/>
  <c r="G98" i="5"/>
  <c r="G97" i="5" s="1"/>
  <c r="G47" i="5"/>
  <c r="N46" i="5"/>
  <c r="G26" i="5"/>
  <c r="H26" i="5" s="1"/>
  <c r="G92" i="5"/>
  <c r="G91" i="5" s="1"/>
  <c r="M91" i="5"/>
  <c r="M44" i="5"/>
  <c r="G96" i="5"/>
  <c r="G95" i="5" s="1"/>
  <c r="G75" i="5"/>
  <c r="G73" i="5" s="1"/>
  <c r="I80" i="5"/>
  <c r="I78" i="5"/>
  <c r="H48" i="5"/>
  <c r="G25" i="5"/>
  <c r="H51" i="5"/>
  <c r="H53" i="5"/>
  <c r="I53" i="5"/>
  <c r="H79" i="5"/>
  <c r="H78" i="5" s="1"/>
  <c r="H70" i="5"/>
  <c r="J28" i="5"/>
  <c r="N55" i="5"/>
  <c r="K43" i="5"/>
  <c r="I59" i="5"/>
  <c r="G65" i="5"/>
  <c r="G48" i="5"/>
  <c r="G86" i="5"/>
  <c r="J6" i="5"/>
  <c r="J5" i="5" s="1"/>
  <c r="H30" i="5"/>
  <c r="H29" i="5" s="1"/>
  <c r="H28" i="5" s="1"/>
  <c r="H57" i="5"/>
  <c r="H12" i="5"/>
  <c r="I12" i="5" s="1"/>
  <c r="N69" i="5"/>
  <c r="I36" i="5"/>
  <c r="G29" i="5"/>
  <c r="H75" i="5"/>
  <c r="H73" i="5" s="1"/>
  <c r="O38" i="5"/>
  <c r="G78" i="5"/>
  <c r="H96" i="5"/>
  <c r="H95" i="5" s="1"/>
  <c r="I75" i="5"/>
  <c r="I77" i="5"/>
  <c r="H86" i="5"/>
  <c r="I87" i="5"/>
  <c r="I86" i="5" s="1"/>
  <c r="H31" i="5"/>
  <c r="H100" i="5"/>
  <c r="H99" i="5" s="1"/>
  <c r="G99" i="5"/>
  <c r="M43" i="5"/>
  <c r="K85" i="5"/>
  <c r="K81" i="5" s="1"/>
  <c r="I57" i="5"/>
  <c r="O63" i="5"/>
  <c r="O62" i="5" s="1"/>
  <c r="G64" i="5"/>
  <c r="G63" i="5"/>
  <c r="G50" i="5"/>
  <c r="G21" i="5"/>
  <c r="H22" i="5"/>
  <c r="H21" i="5" s="1"/>
  <c r="G35" i="5"/>
  <c r="I49" i="5"/>
  <c r="I48" i="5" s="1"/>
  <c r="I22" i="5"/>
  <c r="I21" i="5" s="1"/>
  <c r="H92" i="5"/>
  <c r="H91" i="5" s="1"/>
  <c r="G103" i="5"/>
  <c r="G102" i="5" s="1"/>
  <c r="G101" i="5" s="1"/>
  <c r="I72" i="5"/>
  <c r="I54" i="5"/>
  <c r="G34" i="5"/>
  <c r="G33" i="5" s="1"/>
  <c r="H98" i="5"/>
  <c r="H97" i="5" s="1"/>
  <c r="L14" i="4"/>
  <c r="M55" i="1"/>
  <c r="K19" i="4"/>
  <c r="L66" i="1"/>
  <c r="M66" i="1" s="1"/>
  <c r="M62" i="1"/>
  <c r="K2" i="1"/>
  <c r="M47" i="1"/>
  <c r="M2" i="1" s="1"/>
  <c r="K18" i="4"/>
  <c r="L18" i="4" s="1"/>
  <c r="L50" i="1"/>
  <c r="K49" i="1"/>
  <c r="M74" i="1"/>
  <c r="K90" i="1"/>
  <c r="L56" i="1"/>
  <c r="K19" i="1"/>
  <c r="L24" i="1"/>
  <c r="M24" i="1"/>
  <c r="K99" i="3"/>
  <c r="H64" i="5"/>
  <c r="P21" i="1"/>
  <c r="L103" i="1"/>
  <c r="M103" i="1" s="1"/>
  <c r="K100" i="1"/>
  <c r="G90" i="5"/>
  <c r="M7" i="3"/>
  <c r="M5" i="3" s="1"/>
  <c r="P28" i="5"/>
  <c r="I52" i="5"/>
  <c r="R63" i="3"/>
  <c r="J23" i="4"/>
  <c r="J22" i="4" s="1"/>
  <c r="K62" i="5"/>
  <c r="M50" i="1"/>
  <c r="I73" i="5"/>
  <c r="I37" i="5"/>
  <c r="O6" i="5"/>
  <c r="K6" i="5"/>
  <c r="N27" i="5" l="1"/>
  <c r="L82" i="1"/>
  <c r="M82" i="1"/>
  <c r="H71" i="5"/>
  <c r="H69" i="5" s="1"/>
  <c r="H68" i="5"/>
  <c r="H67" i="5" s="1"/>
  <c r="H47" i="5"/>
  <c r="H46" i="5" s="1"/>
  <c r="G46" i="5"/>
  <c r="I47" i="5"/>
  <c r="I46" i="5" s="1"/>
  <c r="H42" i="5"/>
  <c r="H41" i="5" s="1"/>
  <c r="G41" i="5"/>
  <c r="J62" i="5"/>
  <c r="K77" i="1"/>
  <c r="K76" i="1" s="1"/>
  <c r="AE75" i="1" s="1"/>
  <c r="H35" i="5"/>
  <c r="H34" i="5" s="1"/>
  <c r="H33" i="5" s="1"/>
  <c r="P5" i="1"/>
  <c r="M78" i="1"/>
  <c r="M77" i="1" s="1"/>
  <c r="M76" i="1" s="1"/>
  <c r="L77" i="1"/>
  <c r="L36" i="3"/>
  <c r="L35" i="3" s="1"/>
  <c r="K35" i="3"/>
  <c r="L72" i="3"/>
  <c r="L71" i="3" s="1"/>
  <c r="K71" i="3"/>
  <c r="K63" i="3" s="1"/>
  <c r="I66" i="5"/>
  <c r="I65" i="5" s="1"/>
  <c r="H66" i="5"/>
  <c r="H65" i="5" s="1"/>
  <c r="H84" i="5"/>
  <c r="H83" i="5" s="1"/>
  <c r="H82" i="5" s="1"/>
  <c r="G83" i="5"/>
  <c r="G82" i="5" s="1"/>
  <c r="R84" i="5"/>
  <c r="S84" i="5" s="1"/>
  <c r="I51" i="5"/>
  <c r="I50" i="5" s="1"/>
  <c r="H50" i="5"/>
  <c r="L79" i="1"/>
  <c r="M79" i="1" s="1"/>
  <c r="J8" i="3"/>
  <c r="J7" i="3" s="1"/>
  <c r="J5" i="3" s="1"/>
  <c r="K9" i="3"/>
  <c r="K8" i="3" s="1"/>
  <c r="L9" i="3"/>
  <c r="N56" i="3"/>
  <c r="O69" i="1"/>
  <c r="O48" i="1" s="1"/>
  <c r="K70" i="1"/>
  <c r="H13" i="5"/>
  <c r="I14" i="5"/>
  <c r="I64" i="5"/>
  <c r="I63" i="5" s="1"/>
  <c r="H63" i="5"/>
  <c r="M64" i="1"/>
  <c r="M52" i="1"/>
  <c r="M20" i="1"/>
  <c r="M19" i="1" s="1"/>
  <c r="L19" i="1"/>
  <c r="P81" i="5"/>
  <c r="O5" i="5"/>
  <c r="I15" i="5"/>
  <c r="M91" i="1"/>
  <c r="M90" i="1" s="1"/>
  <c r="L93" i="1"/>
  <c r="L90" i="1" s="1"/>
  <c r="M93" i="1"/>
  <c r="O76" i="1"/>
  <c r="O3" i="1" s="1"/>
  <c r="L95" i="3"/>
  <c r="L94" i="3" s="1"/>
  <c r="L89" i="3" s="1"/>
  <c r="L56" i="3" s="1"/>
  <c r="K94" i="3"/>
  <c r="K89" i="3" s="1"/>
  <c r="L27" i="5"/>
  <c r="N62" i="5"/>
  <c r="I30" i="5"/>
  <c r="I29" i="5" s="1"/>
  <c r="I28" i="5" s="1"/>
  <c r="J63" i="3"/>
  <c r="J56" i="3" s="1"/>
  <c r="P76" i="1"/>
  <c r="P6" i="5"/>
  <c r="P5" i="5" s="1"/>
  <c r="M80" i="1"/>
  <c r="S9" i="5"/>
  <c r="G16" i="5"/>
  <c r="P5" i="4"/>
  <c r="R109" i="1"/>
  <c r="L64" i="3"/>
  <c r="J55" i="5"/>
  <c r="J27" i="5" s="1"/>
  <c r="M38" i="5"/>
  <c r="M55" i="5"/>
  <c r="M27" i="5" s="1"/>
  <c r="O7" i="3"/>
  <c r="O5" i="3" s="1"/>
  <c r="K82" i="3"/>
  <c r="L62" i="1"/>
  <c r="H16" i="5"/>
  <c r="H19" i="5"/>
  <c r="H18" i="5" s="1"/>
  <c r="L59" i="1"/>
  <c r="Q7" i="3"/>
  <c r="Q5" i="3" s="1"/>
  <c r="N63" i="3"/>
  <c r="Q89" i="3"/>
  <c r="Q56" i="3" s="1"/>
  <c r="O5" i="4"/>
  <c r="N5" i="1"/>
  <c r="N3" i="1" s="1"/>
  <c r="P48" i="1"/>
  <c r="L32" i="3"/>
  <c r="L29" i="3" s="1"/>
  <c r="J43" i="5"/>
  <c r="N43" i="5"/>
  <c r="P62" i="5"/>
  <c r="P27" i="5" s="1"/>
  <c r="P4" i="5" s="1"/>
  <c r="J85" i="5"/>
  <c r="J81" i="5" s="1"/>
  <c r="N7" i="3"/>
  <c r="N5" i="3" s="1"/>
  <c r="N3" i="3" s="1"/>
  <c r="S5" i="1"/>
  <c r="S3" i="1" s="1"/>
  <c r="N48" i="1"/>
  <c r="S48" i="1"/>
  <c r="P109" i="1"/>
  <c r="M100" i="1"/>
  <c r="G69" i="5"/>
  <c r="G31" i="5"/>
  <c r="G28" i="5" s="1"/>
  <c r="M62" i="5"/>
  <c r="M89" i="3"/>
  <c r="R76" i="1"/>
  <c r="N6" i="5"/>
  <c r="G62" i="5"/>
  <c r="L63" i="3"/>
  <c r="H25" i="5"/>
  <c r="I26" i="5"/>
  <c r="I25" i="5" s="1"/>
  <c r="O3" i="3"/>
  <c r="K23" i="4"/>
  <c r="K22" i="4" s="1"/>
  <c r="L100" i="1"/>
  <c r="H40" i="5"/>
  <c r="K55" i="3"/>
  <c r="L62" i="3"/>
  <c r="M40" i="1"/>
  <c r="M39" i="1" s="1"/>
  <c r="L39" i="1"/>
  <c r="L44" i="3"/>
  <c r="L43" i="3" s="1"/>
  <c r="K43" i="3"/>
  <c r="K7" i="3" s="1"/>
  <c r="K5" i="3" s="1"/>
  <c r="N23" i="5"/>
  <c r="N20" i="5" s="1"/>
  <c r="N5" i="5" s="1"/>
  <c r="N4" i="5" s="1"/>
  <c r="G24" i="5"/>
  <c r="G45" i="5"/>
  <c r="O44" i="5"/>
  <c r="O43" i="5" s="1"/>
  <c r="O27" i="5" s="1"/>
  <c r="H58" i="5"/>
  <c r="H56" i="5" s="1"/>
  <c r="H55" i="5" s="1"/>
  <c r="G38" i="5"/>
  <c r="K17" i="4"/>
  <c r="K12" i="4" s="1"/>
  <c r="K5" i="4" s="1"/>
  <c r="L17" i="4"/>
  <c r="L12" i="4" s="1"/>
  <c r="Q48" i="1"/>
  <c r="Q3" i="1" s="1"/>
  <c r="L83" i="1"/>
  <c r="M83" i="1"/>
  <c r="L54" i="1"/>
  <c r="L49" i="1" s="1"/>
  <c r="M54" i="1"/>
  <c r="M49" i="1" s="1"/>
  <c r="L89" i="1"/>
  <c r="M89" i="1"/>
  <c r="M99" i="1"/>
  <c r="L107" i="1"/>
  <c r="M107" i="1"/>
  <c r="M32" i="1"/>
  <c r="M31" i="1" s="1"/>
  <c r="L31" i="1"/>
  <c r="L42" i="1"/>
  <c r="M43" i="1"/>
  <c r="M42" i="1" s="1"/>
  <c r="L8" i="3"/>
  <c r="M88" i="5"/>
  <c r="M85" i="5" s="1"/>
  <c r="M81" i="5" s="1"/>
  <c r="H8" i="5"/>
  <c r="G7" i="5"/>
  <c r="G11" i="5"/>
  <c r="M10" i="5"/>
  <c r="M6" i="5"/>
  <c r="M5" i="5" s="1"/>
  <c r="H90" i="5"/>
  <c r="I90" i="5" s="1"/>
  <c r="I61" i="5"/>
  <c r="I60" i="5" s="1"/>
  <c r="L6" i="1"/>
  <c r="M13" i="1"/>
  <c r="M6" i="1" s="1"/>
  <c r="J12" i="4"/>
  <c r="J5" i="4" s="1"/>
  <c r="M109" i="1"/>
  <c r="M63" i="3"/>
  <c r="P63" i="3"/>
  <c r="P89" i="3"/>
  <c r="R89" i="3"/>
  <c r="R56" i="3" s="1"/>
  <c r="R3" i="3" s="1"/>
  <c r="R5" i="1"/>
  <c r="M51" i="1"/>
  <c r="O55" i="5"/>
  <c r="L93" i="5"/>
  <c r="G94" i="5"/>
  <c r="G13" i="5"/>
  <c r="L6" i="5"/>
  <c r="L5" i="5" s="1"/>
  <c r="I68" i="5"/>
  <c r="I67" i="5" s="1"/>
  <c r="G56" i="5"/>
  <c r="G55" i="5" s="1"/>
  <c r="Q5" i="4"/>
  <c r="M5" i="4"/>
  <c r="K81" i="1"/>
  <c r="L104" i="1"/>
  <c r="M104" i="1"/>
  <c r="K28" i="5"/>
  <c r="K27" i="5" s="1"/>
  <c r="K20" i="5"/>
  <c r="K5" i="5" s="1"/>
  <c r="K4" i="5" s="1"/>
  <c r="G89" i="5"/>
  <c r="L88" i="5"/>
  <c r="J4" i="5" l="1"/>
  <c r="M4" i="5"/>
  <c r="Q3" i="3"/>
  <c r="I19" i="5"/>
  <c r="I18" i="5" s="1"/>
  <c r="R3" i="1"/>
  <c r="O4" i="5"/>
  <c r="I35" i="5"/>
  <c r="I34" i="5" s="1"/>
  <c r="I33" i="5" s="1"/>
  <c r="L76" i="1"/>
  <c r="AF75" i="1" s="1"/>
  <c r="L5" i="4"/>
  <c r="K56" i="3"/>
  <c r="T55" i="3" s="1"/>
  <c r="S4" i="3"/>
  <c r="J3" i="3"/>
  <c r="M5" i="1"/>
  <c r="K69" i="1"/>
  <c r="K48" i="1" s="1"/>
  <c r="M70" i="1"/>
  <c r="M69" i="1" s="1"/>
  <c r="M48" i="1" s="1"/>
  <c r="L70" i="1"/>
  <c r="L69" i="1" s="1"/>
  <c r="L5" i="1"/>
  <c r="H62" i="5"/>
  <c r="P3" i="1"/>
  <c r="I71" i="5"/>
  <c r="I69" i="5" s="1"/>
  <c r="I62" i="5" s="1"/>
  <c r="M56" i="3"/>
  <c r="M3" i="3" s="1"/>
  <c r="L48" i="1"/>
  <c r="AF47" i="1" s="1"/>
  <c r="L23" i="4"/>
  <c r="L22" i="4" s="1"/>
  <c r="I13" i="5"/>
  <c r="I42" i="5"/>
  <c r="I41" i="5" s="1"/>
  <c r="T4" i="3"/>
  <c r="K3" i="3"/>
  <c r="S11" i="5"/>
  <c r="H11" i="5"/>
  <c r="H10" i="5" s="1"/>
  <c r="G10" i="5"/>
  <c r="L7" i="3"/>
  <c r="L5" i="3" s="1"/>
  <c r="L3" i="3" s="1"/>
  <c r="H24" i="5"/>
  <c r="H23" i="5" s="1"/>
  <c r="H20" i="5" s="1"/>
  <c r="G23" i="5"/>
  <c r="G20" i="5" s="1"/>
  <c r="L55" i="3"/>
  <c r="L2" i="3" s="1"/>
  <c r="J62" i="3"/>
  <c r="J55" i="3" s="1"/>
  <c r="L81" i="1"/>
  <c r="M81" i="1" s="1"/>
  <c r="L85" i="5"/>
  <c r="L81" i="5" s="1"/>
  <c r="L4" i="5" s="1"/>
  <c r="P56" i="3"/>
  <c r="P3" i="3" s="1"/>
  <c r="G6" i="5"/>
  <c r="G5" i="5" s="1"/>
  <c r="K2" i="3"/>
  <c r="H7" i="5"/>
  <c r="H6" i="5" s="1"/>
  <c r="I8" i="5"/>
  <c r="I7" i="5" s="1"/>
  <c r="H39" i="5"/>
  <c r="H38" i="5" s="1"/>
  <c r="I40" i="5"/>
  <c r="I39" i="5" s="1"/>
  <c r="I38" i="5" s="1"/>
  <c r="H89" i="5"/>
  <c r="H88" i="5" s="1"/>
  <c r="I89" i="5"/>
  <c r="I88" i="5" s="1"/>
  <c r="I85" i="5" s="1"/>
  <c r="I81" i="5" s="1"/>
  <c r="G88" i="5"/>
  <c r="H94" i="5"/>
  <c r="H93" i="5" s="1"/>
  <c r="G93" i="5"/>
  <c r="L3" i="1"/>
  <c r="AF3" i="1" s="1"/>
  <c r="AF5" i="1"/>
  <c r="I58" i="5"/>
  <c r="I56" i="5" s="1"/>
  <c r="I55" i="5" s="1"/>
  <c r="G44" i="5"/>
  <c r="G43" i="5" s="1"/>
  <c r="G27" i="5" s="1"/>
  <c r="H45" i="5"/>
  <c r="H44" i="5" s="1"/>
  <c r="H43" i="5" s="1"/>
  <c r="M3" i="1" l="1"/>
  <c r="H27" i="5"/>
  <c r="G85" i="5"/>
  <c r="G81" i="5" s="1"/>
  <c r="AE47" i="1"/>
  <c r="K3" i="1"/>
  <c r="AE3" i="1" s="1"/>
  <c r="T2" i="3"/>
  <c r="I11" i="5"/>
  <c r="I10" i="5" s="1"/>
  <c r="I6" i="5" s="1"/>
  <c r="I5" i="5" s="1"/>
  <c r="J2" i="3"/>
  <c r="S2" i="3" s="1"/>
  <c r="S55" i="3"/>
  <c r="G4" i="5"/>
  <c r="I24" i="5"/>
  <c r="I23" i="5" s="1"/>
  <c r="I20" i="5" s="1"/>
  <c r="I45" i="5"/>
  <c r="I44" i="5" s="1"/>
  <c r="I43" i="5" s="1"/>
  <c r="I27" i="5" s="1"/>
  <c r="H85" i="5"/>
  <c r="H81" i="5" s="1"/>
  <c r="H5" i="5"/>
  <c r="I4" i="5" l="1"/>
  <c r="H4" i="5"/>
  <c r="U1" i="5" l="1"/>
  <c r="T4" i="5"/>
  <c r="Q81" i="5"/>
  <c r="R81" i="5" s="1"/>
  <c r="S81" i="5" s="1"/>
  <c r="S3" i="5"/>
  <c r="S87" i="5" s="1"/>
</calcChain>
</file>

<file path=xl/sharedStrings.xml><?xml version="1.0" encoding="utf-8"?>
<sst xmlns="http://schemas.openxmlformats.org/spreadsheetml/2006/main" count="1755" uniqueCount="814">
  <si>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</si>
  <si>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</si>
  <si>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</si>
  <si>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</si>
  <si>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</si>
  <si>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</si>
  <si>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</si>
  <si>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</si>
  <si>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</si>
  <si>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</si>
  <si>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</si>
  <si>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</si>
  <si>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</si>
  <si>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</si>
  <si>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</si>
  <si>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</si>
  <si>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</si>
  <si>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</si>
  <si>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</si>
  <si>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</si>
  <si>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</si>
  <si>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</si>
  <si>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</si>
  <si>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</si>
  <si>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</si>
  <si>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</si>
  <si>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</si>
  <si>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</si>
  <si>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</si>
  <si>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</si>
  <si>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</si>
  <si>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</si>
  <si>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</si>
  <si>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</si>
  <si>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</si>
  <si>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</si>
  <si>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</si>
  <si>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</si>
  <si>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</si>
  <si>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</si>
  <si>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</si>
  <si>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</si>
  <si>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</si>
  <si>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</si>
  <si>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</si>
  <si>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</si>
  <si>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</si>
  <si>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</si>
  <si>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</si>
  <si>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</si>
  <si>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</si>
  <si>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</si>
  <si>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</si>
  <si>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</si>
  <si>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</si>
  <si>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</si>
  <si>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</si>
  <si>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</si>
  <si>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</si>
  <si>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</si>
  <si>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</si>
  <si>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</si>
  <si>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</si>
  <si>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</si>
  <si>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</si>
  <si>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</si>
  <si>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</si>
  <si>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</si>
  <si>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</si>
  <si>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</si>
  <si>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</si>
  <si>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</si>
  <si>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</si>
  <si>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</si>
  <si>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</si>
  <si>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</si>
  <si>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</si>
  <si>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</si>
  <si>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</si>
  <si>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</si>
  <si>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</si>
  <si>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</si>
  <si>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</si>
  <si>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</si>
  <si>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</si>
  <si>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</si>
  <si>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</si>
  <si>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</si>
  <si>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</si>
  <si>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</si>
  <si>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</si>
  <si>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</si>
  <si>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</si>
  <si>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</si>
  <si>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</si>
  <si>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</si>
  <si>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</si>
  <si>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</si>
  <si>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</si>
  <si>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</si>
  <si>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</si>
  <si>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</si>
  <si>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</si>
  <si>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</si>
  <si>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</si>
  <si>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</si>
  <si>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</si>
  <si>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</si>
  <si>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</si>
  <si>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</si>
  <si>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</si>
  <si>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</si>
  <si>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</si>
  <si>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</si>
  <si>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</si>
  <si>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</si>
  <si>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</si>
  <si>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</si>
  <si>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</si>
  <si>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</si>
  <si>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</si>
  <si>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</si>
  <si>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</si>
  <si>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</si>
  <si>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</si>
  <si>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</si>
  <si>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</si>
  <si>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</si>
  <si>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</si>
  <si>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</si>
  <si>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</si>
  <si>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</si>
  <si>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</si>
  <si>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</si>
  <si>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</si>
  <si>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</si>
  <si>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</si>
  <si>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</si>
  <si>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</si>
  <si>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</si>
  <si>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</si>
  <si>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</si>
  <si>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</si>
  <si>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</si>
  <si>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</si>
  <si>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</si>
  <si>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</si>
  <si>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</si>
  <si>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</si>
  <si>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</si>
  <si>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</si>
  <si>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</si>
  <si>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</si>
  <si>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</si>
  <si>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</si>
  <si>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</si>
  <si>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</si>
  <si>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</si>
  <si>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</si>
  <si>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</si>
  <si>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</si>
  <si>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</si>
  <si>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</si>
  <si>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</si>
  <si>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</si>
  <si>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</si>
  <si>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</si>
  <si>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</si>
  <si>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</si>
  <si>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</si>
  <si>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</si>
  <si>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</si>
  <si>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</si>
  <si>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</si>
  <si>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</si>
  <si>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</si>
  <si>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</si>
  <si>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</si>
  <si>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</si>
  <si>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</si>
  <si>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</si>
  <si>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</si>
  <si>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</si>
  <si>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</si>
  <si>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</si>
  <si>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</si>
  <si>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</si>
  <si>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</si>
  <si>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</si>
  <si>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</si>
  <si>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</si>
  <si>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</si>
  <si>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</si>
  <si>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</si>
  <si>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</si>
  <si>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</si>
  <si>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</si>
  <si>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</si>
  <si>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</si>
  <si>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</si>
  <si>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</si>
  <si>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</si>
  <si>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</si>
  <si>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</si>
  <si>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</si>
  <si>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</si>
  <si>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</si>
  <si>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</si>
  <si>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</si>
  <si>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</si>
  <si>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</si>
  <si>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</si>
  <si>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</si>
  <si>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</si>
  <si>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</si>
  <si>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</si>
  <si>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</si>
  <si>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</si>
  <si>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</si>
  <si>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</si>
  <si>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</si>
  <si>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</si>
  <si>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</si>
  <si>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</si>
  <si>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</si>
  <si>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</si>
  <si>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</si>
  <si>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</si>
  <si>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</si>
  <si>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</si>
  <si>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</si>
  <si>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</si>
  <si>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</si>
  <si>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</si>
  <si>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</si>
  <si>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</si>
  <si>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</si>
  <si>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</si>
  <si>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</si>
  <si>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</si>
  <si>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</si>
  <si>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</si>
  <si>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</si>
  <si>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</si>
  <si>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</si>
  <si>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</si>
  <si>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</si>
  <si>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</si>
  <si>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</si>
  <si>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</si>
  <si>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</si>
  <si>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</si>
  <si>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</si>
  <si>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</si>
  <si>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</si>
  <si>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</si>
  <si>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</si>
  <si>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</si>
  <si>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</si>
  <si>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</si>
  <si>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</si>
  <si>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</si>
  <si>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</si>
  <si>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IB.SO1.1.1-02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</si>
  <si>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</si>
  <si>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</si>
  <si>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</si>
  <si>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</si>
  <si>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IB.SO1.1.2-02</t>
  </si>
  <si>
    <t>Nakup opreme za odvzem prstnih odtisov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</si>
  <si>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</si>
  <si>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</si>
  <si>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</si>
  <si>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</si>
  <si>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IB.SO1.1.4</t>
  </si>
  <si>
    <t>Nakup opreme za odkrivanje ponarejenih dokumentov in licenc za dostop do baz podatkov</t>
  </si>
  <si>
    <t>IB.SO1.1.4-01</t>
  </si>
  <si>
    <t>Nakup opreme za odkrivanje ponarejenih dokumentov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</si>
  <si>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</si>
  <si>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</si>
  <si>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</si>
  <si>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</si>
  <si>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</si>
  <si>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</si>
  <si>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</si>
  <si>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</si>
  <si>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</si>
  <si>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</si>
  <si>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</si>
  <si>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</si>
  <si>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</si>
  <si>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IB.SO1.2.3</t>
  </si>
  <si>
    <t>Prednapotitveno usposabljanje o jezikovnih in medkulturnih kompetencah zaposlenih</t>
  </si>
  <si>
    <t>IB.SO1.2.3-01</t>
  </si>
  <si>
    <t>Jezikovni tečaji za zaposlene na konzularnih oddelkih</t>
  </si>
  <si>
    <t>IB.SO2</t>
  </si>
  <si>
    <t>Meje</t>
  </si>
  <si>
    <t>IB.SO2.1</t>
  </si>
  <si>
    <t>EUROSUR</t>
  </si>
  <si>
    <t>IB.SO2.1.3</t>
  </si>
  <si>
    <t>Nabava policijskih patruljnih čolnov za nadzorovanje morske meje</t>
  </si>
  <si>
    <t>IB.SO2.1.3-01</t>
  </si>
  <si>
    <t>Sandra Turk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</si>
  <si>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</si>
  <si>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</si>
  <si>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</si>
  <si>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</si>
  <si>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</si>
  <si>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</si>
  <si>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</si>
  <si>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</si>
  <si>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</si>
  <si>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</si>
  <si>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</si>
  <si>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</si>
  <si>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</si>
  <si>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</si>
  <si>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</si>
  <si>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</si>
  <si>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</si>
  <si>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</si>
  <si>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</si>
  <si>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</si>
  <si>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</si>
  <si>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</si>
  <si>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</si>
  <si>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</si>
  <si>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</si>
  <si>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</si>
  <si>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</si>
  <si>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</si>
  <si>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</si>
  <si>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</si>
  <si>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</si>
  <si>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</si>
  <si>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</si>
  <si>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</si>
  <si>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</si>
  <si>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</si>
  <si>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</si>
  <si>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</si>
  <si>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IB.SO2.4.6-02</t>
  </si>
  <si>
    <t>Prenova prostorov primarnega sistema (Novo mesto)</t>
  </si>
  <si>
    <t>IB.SO2.4.6-06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</si>
  <si>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</si>
  <si>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</si>
  <si>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</si>
  <si>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</si>
  <si>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</si>
  <si>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</si>
  <si>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</si>
  <si>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</si>
  <si>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IB.SO2.5.1-03</t>
  </si>
  <si>
    <t>Nakup rentgenov za preglede pri nadzoru meje</t>
  </si>
  <si>
    <t>IB.SO2.5.2</t>
  </si>
  <si>
    <t>Naložbe v opremo za preverjanje dokumentov na policijskih enotah (oprema za preglede)</t>
  </si>
  <si>
    <t>IB.SO2.5.2-01</t>
  </si>
  <si>
    <t>IB.SO2.6</t>
  </si>
  <si>
    <t>IB.SO2.6.1</t>
  </si>
  <si>
    <t>Zamenjava opreme na mejnih prehodih z namenom zagotavljanja schengenskih standardov</t>
  </si>
  <si>
    <t>IB.SO2.6.1-01</t>
  </si>
  <si>
    <t>IB.SO2.6.2</t>
  </si>
  <si>
    <t>IB.SO2.6.2-01</t>
  </si>
  <si>
    <t>Napotitev uradnika za zvezo za priseljevanje v Srbijo (Beograd)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</si>
  <si>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</si>
  <si>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</si>
  <si>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</si>
  <si>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</si>
  <si>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</si>
  <si>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</si>
  <si>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</si>
  <si>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</si>
  <si>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IB.SO3</t>
  </si>
  <si>
    <t>Operativna podpora</t>
  </si>
  <si>
    <t>IB.SO3.1</t>
  </si>
  <si>
    <t>Operativna podpora za vizume</t>
  </si>
  <si>
    <t>IB.SO3.1.1</t>
  </si>
  <si>
    <t>IB.SO3.1.1-01</t>
  </si>
  <si>
    <t xml:space="preserve">Stroški plač </t>
  </si>
  <si>
    <t>IB.SO3.2</t>
  </si>
  <si>
    <t>Operativna podpora za meje</t>
  </si>
  <si>
    <t>IB.SO3.2.1</t>
  </si>
  <si>
    <t>Vzdrževanje SIS II komunikacijskega vnesnika (SIB)</t>
  </si>
  <si>
    <t>IB.SO3.2.10-01</t>
  </si>
  <si>
    <t>Vzdrževanje SIS II komunikacijskega vmesnika (SIB)</t>
  </si>
  <si>
    <t>IB.SO3.2.1-02</t>
  </si>
  <si>
    <t>Stroški plač (SIS - pripravljenost na domu)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</si>
  <si>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</si>
  <si>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</si>
  <si>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</si>
  <si>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</si>
  <si>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</si>
  <si>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</si>
  <si>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</si>
  <si>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</si>
  <si>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IB.SO3.2.2-02</t>
  </si>
  <si>
    <t>Stroški vzdrževanja videonadzornih sistemov na državni meji</t>
  </si>
  <si>
    <t>IB.SO3.2.3</t>
  </si>
  <si>
    <t>Vzdrževanje in nadgradnja operativnih zmogljivosti na morju</t>
  </si>
  <si>
    <t>IB.SO3.2.3-01</t>
  </si>
  <si>
    <t>IB.SO3.2.4</t>
  </si>
  <si>
    <t>Upravljanje in vzdrževanje infrastrukture mejnih prehodov</t>
  </si>
  <si>
    <t>IB.SO3.2.4-01</t>
  </si>
  <si>
    <t>IB.SO3.2.9</t>
  </si>
  <si>
    <t xml:space="preserve">Vzdrževanje in uporaba nacionalne SIS II infrastrukture </t>
  </si>
  <si>
    <t>IB.SO3.2.9-01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</si>
  <si>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</si>
  <si>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</si>
  <si>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</si>
  <si>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</si>
  <si>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</si>
  <si>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</si>
  <si>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</si>
  <si>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</si>
  <si>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</si>
  <si>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</si>
  <si>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</si>
  <si>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</si>
  <si>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</si>
  <si>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</si>
  <si>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</si>
  <si>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</si>
  <si>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</si>
  <si>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</si>
  <si>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</si>
  <si>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</si>
  <si>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</si>
  <si>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</si>
  <si>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</si>
  <si>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</si>
  <si>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</si>
  <si>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</si>
  <si>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</si>
  <si>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</si>
  <si>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</si>
  <si>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</si>
  <si>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</si>
  <si>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</si>
  <si>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</si>
  <si>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</si>
  <si>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</si>
  <si>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</si>
  <si>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</si>
  <si>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</si>
  <si>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</si>
  <si>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</si>
  <si>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</si>
  <si>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</si>
  <si>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</si>
  <si>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</si>
  <si>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</si>
  <si>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</si>
  <si>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</si>
  <si>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</si>
  <si>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</si>
  <si>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</si>
  <si>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</si>
  <si>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</si>
  <si>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</si>
  <si>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</si>
  <si>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</si>
  <si>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</si>
  <si>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</si>
  <si>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</si>
  <si>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</si>
  <si>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</si>
  <si>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</si>
  <si>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</si>
  <si>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</si>
  <si>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</si>
  <si>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</si>
  <si>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</si>
  <si>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</si>
  <si>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</si>
  <si>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</si>
  <si>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</si>
  <si>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</si>
  <si>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</si>
  <si>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</si>
  <si>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</si>
  <si>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</si>
  <si>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</si>
  <si>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</si>
  <si>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</si>
  <si>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</si>
  <si>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</si>
  <si>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</si>
  <si>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</si>
  <si>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</si>
  <si>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</si>
  <si>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</si>
  <si>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</si>
  <si>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</si>
  <si>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</si>
  <si>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</si>
  <si>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</si>
  <si>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</si>
  <si>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</si>
  <si>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</si>
  <si>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</si>
  <si>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</si>
  <si>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</si>
  <si>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</si>
  <si>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</si>
  <si>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</si>
  <si>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</si>
  <si>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</si>
  <si>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</si>
  <si>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</si>
  <si>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</si>
  <si>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</si>
  <si>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</si>
  <si>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</si>
  <si>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</si>
  <si>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</si>
  <si>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</si>
  <si>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</si>
  <si>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</si>
  <si>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</si>
  <si>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</si>
  <si>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</si>
  <si>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</si>
  <si>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</si>
  <si>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</si>
  <si>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</si>
  <si>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</si>
  <si>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</si>
  <si>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</si>
  <si>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</si>
  <si>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</si>
  <si>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</si>
  <si>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</si>
  <si>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</si>
  <si>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</si>
  <si>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</si>
  <si>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</si>
  <si>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</si>
  <si>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</si>
  <si>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</si>
  <si>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</si>
  <si>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</si>
  <si>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</si>
  <si>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</si>
  <si>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</si>
  <si>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</si>
  <si>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</si>
  <si>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</si>
  <si>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</si>
  <si>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</si>
  <si>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</si>
  <si>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</si>
  <si>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</si>
  <si>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</si>
  <si>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</si>
  <si>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</si>
  <si>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</si>
  <si>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</si>
  <si>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</si>
  <si>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</si>
  <si>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</si>
  <si>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</si>
  <si>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</si>
  <si>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</si>
  <si>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</si>
  <si>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</si>
  <si>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</si>
  <si>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</si>
  <si>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</si>
  <si>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</si>
  <si>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</si>
  <si>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</si>
  <si>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</si>
  <si>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</si>
  <si>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</si>
  <si>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</si>
  <si>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</si>
  <si>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</si>
  <si>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</si>
  <si>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</si>
  <si>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</si>
  <si>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</si>
  <si>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</si>
  <si>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</si>
  <si>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</si>
  <si>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</si>
  <si>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</si>
  <si>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</si>
  <si>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</si>
  <si>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</si>
  <si>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</si>
  <si>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</si>
  <si>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</si>
  <si>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</si>
  <si>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</si>
  <si>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</si>
  <si>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</si>
  <si>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</si>
  <si>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</si>
  <si>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</si>
  <si>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</si>
  <si>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</si>
  <si>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</si>
  <si>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</si>
  <si>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</si>
  <si>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</si>
  <si>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</si>
  <si>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</si>
  <si>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</si>
  <si>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</si>
  <si>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</si>
  <si>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</si>
  <si>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</si>
  <si>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</si>
  <si>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</si>
  <si>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</si>
  <si>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</si>
  <si>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</si>
  <si>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</si>
  <si>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</si>
  <si>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</si>
  <si>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</si>
  <si>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</si>
  <si>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</si>
  <si>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</si>
  <si>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</si>
  <si>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</si>
  <si>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</si>
  <si>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</si>
  <si>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</si>
  <si>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</si>
  <si>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</si>
  <si>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</si>
  <si>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</si>
  <si>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</si>
  <si>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</si>
  <si>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</si>
  <si>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</si>
  <si>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</si>
  <si>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</si>
  <si>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</si>
  <si>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</si>
  <si>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</si>
  <si>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</si>
  <si>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</si>
  <si>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</si>
  <si>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</si>
  <si>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</si>
  <si>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</si>
  <si>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</si>
  <si>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</si>
  <si>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</si>
  <si>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</si>
  <si>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</si>
  <si>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</si>
  <si>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</si>
  <si>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</si>
  <si>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</si>
  <si>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</si>
  <si>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</si>
  <si>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</si>
  <si>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</si>
  <si>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</si>
  <si>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</si>
  <si>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</si>
  <si>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</si>
  <si>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</si>
  <si>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</si>
  <si>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</si>
  <si>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</si>
  <si>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</si>
  <si>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</si>
  <si>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</si>
  <si>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</si>
  <si>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</si>
  <si>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</si>
  <si>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</si>
  <si>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</si>
  <si>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</si>
  <si>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</si>
  <si>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</si>
  <si>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</si>
  <si>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</si>
  <si>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</si>
  <si>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</si>
  <si>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</si>
  <si>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</si>
  <si>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</si>
  <si>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</si>
  <si>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</si>
  <si>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</si>
  <si>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</si>
  <si>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</si>
  <si>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</si>
  <si>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</si>
  <si>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</si>
  <si>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</si>
  <si>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</si>
  <si>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</si>
  <si>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</si>
  <si>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</si>
  <si>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</si>
  <si>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</si>
  <si>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</si>
  <si>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</si>
  <si>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</si>
  <si>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</si>
  <si>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</si>
  <si>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</si>
  <si>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</si>
  <si>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</si>
  <si>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</si>
  <si>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</si>
  <si>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</si>
  <si>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</si>
  <si>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</si>
  <si>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</si>
  <si>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</si>
  <si>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</si>
  <si>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</si>
  <si>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</si>
  <si>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</si>
  <si>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</si>
  <si>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</si>
  <si>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</si>
  <si>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</si>
  <si>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</si>
  <si>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</si>
  <si>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</si>
  <si>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</si>
  <si>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</si>
  <si>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</si>
  <si>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</si>
  <si>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</si>
  <si>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</si>
  <si>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</si>
  <si>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</si>
  <si>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</si>
  <si>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</si>
  <si>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</si>
  <si>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</si>
  <si>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</si>
  <si>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</si>
  <si>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</si>
  <si>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</si>
  <si>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</si>
  <si>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</si>
  <si>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</si>
  <si>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</si>
  <si>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</si>
  <si>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</si>
  <si>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</si>
  <si>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</si>
  <si>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</si>
  <si>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</si>
  <si>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</si>
  <si>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</si>
  <si>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</si>
  <si>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</si>
  <si>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</si>
  <si>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IB.SO2.2.1-03</t>
  </si>
  <si>
    <t>Prenova SIS II - NOV</t>
  </si>
  <si>
    <t>SKUPAJ IB</t>
  </si>
  <si>
    <t>IB.TA1</t>
  </si>
  <si>
    <t>ISF Borders - Tehnična pomoč</t>
  </si>
  <si>
    <t>IB.TA1.1</t>
  </si>
  <si>
    <t>IB.TA1.1.1</t>
  </si>
  <si>
    <t>IB.TA1.1.1-01</t>
  </si>
  <si>
    <t>ISF Borders - Tehnična pomoč za odgovorni organ</t>
  </si>
  <si>
    <t>Zamenjava amortizirane IKT opreme na schengenski meji</t>
  </si>
  <si>
    <t>IB.SO2.6.4-03</t>
  </si>
  <si>
    <t>IB.SO2.4.6-07</t>
  </si>
  <si>
    <t>Videonadzor mejnih točk z migrantsko problematiko</t>
  </si>
  <si>
    <t>N</t>
  </si>
  <si>
    <t>Način 
dodelitve</t>
  </si>
  <si>
    <t>Sklad / Posebni cilj / 
Nacionalni cilj / Ukrep</t>
  </si>
  <si>
    <t>Posebni 
cilj</t>
  </si>
  <si>
    <t>Nacionalni 
cilj</t>
  </si>
  <si>
    <t>Napotitev uradnika za zvezo za priseljevanje v državo Zahodnega Balkana</t>
  </si>
  <si>
    <t>Nabava opreme za osnovno preverjanje dokumentov</t>
  </si>
  <si>
    <t>Stroški osebja MZZ</t>
  </si>
  <si>
    <t>Stroški osebja MNZ</t>
  </si>
  <si>
    <t>IB.SO3.2.10</t>
  </si>
  <si>
    <t>Zagotavljanje kvalitetne povezljivosti do MZZ</t>
  </si>
  <si>
    <t>MZZ</t>
  </si>
  <si>
    <t>Policija - UUP</t>
  </si>
  <si>
    <t>Policija - UIT</t>
  </si>
  <si>
    <t>Policija - PA</t>
  </si>
  <si>
    <t>MJU</t>
  </si>
  <si>
    <t>Policija - SMPO</t>
  </si>
  <si>
    <t>IB.SO2.6.5</t>
  </si>
  <si>
    <t>EES</t>
  </si>
  <si>
    <t>IB.SO2.6.5-01</t>
  </si>
  <si>
    <t>IB.SO2.6.5-02</t>
  </si>
  <si>
    <t>AFIS</t>
  </si>
  <si>
    <t>IB.SO2.2.1-04</t>
  </si>
  <si>
    <t xml:space="preserve"> EES - Policija</t>
  </si>
  <si>
    <t xml:space="preserve"> EES - MZZ</t>
  </si>
  <si>
    <t>Priprava na vzpostavitev EES -Policija</t>
  </si>
  <si>
    <t>Nakup termovizijskih naprav</t>
  </si>
  <si>
    <t>IB.SO2.6.5-03</t>
  </si>
  <si>
    <t>IB.SO2.6.4-04</t>
  </si>
  <si>
    <t>Prenova nacionalnega sistema SIS II - dodatno</t>
  </si>
  <si>
    <t>Vzpostavitev ETIAS - dodatno</t>
  </si>
  <si>
    <t>Prilagoditev VIS zahtevam EES in ostalim IT sistemom - dodatno</t>
  </si>
  <si>
    <t>IB.SO2.6.5-04</t>
  </si>
  <si>
    <t>Vzpostavitev EES - oprema - dodatno</t>
  </si>
  <si>
    <t>IB.SO2.6.6</t>
  </si>
  <si>
    <t xml:space="preserve">Naložbe povezane z drugimi IT sistemi </t>
  </si>
  <si>
    <t>IB.SO2.6.6-01</t>
  </si>
  <si>
    <t>IB.SO2.6.6-02</t>
  </si>
  <si>
    <t>Posodobitev programske opreme EURODAC - dodatno</t>
  </si>
  <si>
    <t>IB.SO1.1.3-02</t>
  </si>
  <si>
    <t>Akcijski načrta ISFB 1.6</t>
  </si>
  <si>
    <t>Policija - 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</si>
</sst>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3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5" borderId="4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0" fontId="0" fillId="7" borderId="4" xfId="0" applyNumberFormat="1" applyFill="1" applyBorder="1" applyAlignment="1">
      <alignment wrapText="1"/>
    </xf>
    <xf numFmtId="4" fontId="4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4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4" fillId="3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4" fillId="0" borderId="4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5" fillId="4" borderId="0" xfId="0" applyFont="1" applyFill="1"/>
    <xf numFmtId="4" fontId="5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5" fillId="0" borderId="0" xfId="0" applyFont="1"/>
    <xf numFmtId="4" fontId="5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</xf>
    <xf numFmtId="0" fontId="0" fillId="2" borderId="4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4" fontId="4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Protection="1"/>
    <xf numFmtId="0" fontId="0" fillId="4" borderId="0" xfId="0" applyFill="1" applyProtection="1"/>
    <xf numFmtId="0" fontId="6" fillId="4" borderId="0" xfId="0" applyFont="1" applyFill="1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7" fillId="0" borderId="1" xfId="0" quotePrefix="1" applyNumberFormat="1" applyFont="1" applyBorder="1" applyAlignment="1" applyProtection="1">
      <alignment wrapText="1"/>
    </xf>
    <xf numFmtId="0" fontId="7" fillId="0" borderId="1" xfId="0" applyNumberFormat="1" applyFont="1" applyBorder="1" applyAlignment="1" applyProtection="1">
      <alignment wrapText="1"/>
    </xf>
    <xf numFmtId="0" fontId="7" fillId="0" borderId="1" xfId="0" applyNumberFormat="1" applyFont="1" applyBorder="1" applyAlignment="1" applyProtection="1">
      <alignment horizontal="left" wrapText="1"/>
    </xf>
    <xf numFmtId="0" fontId="6" fillId="10" borderId="1" xfId="0" applyNumberFormat="1" applyFont="1" applyFill="1" applyBorder="1" applyAlignment="1" applyProtection="1">
      <alignment wrapText="1"/>
    </xf>
    <xf numFmtId="4" fontId="6" fillId="10" borderId="1" xfId="0" applyNumberFormat="1" applyFont="1" applyFill="1" applyBorder="1" applyAlignment="1" applyProtection="1">
      <alignment wrapText="1"/>
    </xf>
    <xf numFmtId="0" fontId="6" fillId="5" borderId="1" xfId="0" applyNumberFormat="1" applyFont="1" applyFill="1" applyBorder="1" applyAlignment="1" applyProtection="1">
      <alignment wrapText="1"/>
    </xf>
    <xf numFmtId="4" fontId="6" fillId="5" borderId="1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wrapText="1"/>
    </xf>
    <xf numFmtId="4" fontId="6" fillId="4" borderId="1" xfId="0" applyNumberFormat="1" applyFont="1" applyFill="1" applyBorder="1" applyAlignment="1" applyProtection="1">
      <alignment wrapText="1"/>
    </xf>
    <xf numFmtId="0" fontId="6" fillId="11" borderId="1" xfId="0" applyNumberFormat="1" applyFont="1" applyFill="1" applyBorder="1" applyAlignment="1" applyProtection="1">
      <alignment wrapText="1"/>
    </xf>
    <xf numFmtId="4" fontId="6" fillId="11" borderId="1" xfId="0" applyNumberFormat="1" applyFont="1" applyFill="1" applyBorder="1" applyAlignment="1" applyProtection="1">
      <alignment wrapText="1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6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6" fillId="11" borderId="1" xfId="0" applyFont="1" applyFill="1" applyBorder="1" applyProtection="1"/>
    <xf numFmtId="0" fontId="6" fillId="12" borderId="1" xfId="0" applyFont="1" applyFill="1" applyBorder="1" applyProtection="1"/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0" fontId="6" fillId="5" borderId="1" xfId="0" applyFont="1" applyFill="1" applyBorder="1" applyProtection="1"/>
    <xf numFmtId="0" fontId="6" fillId="4" borderId="1" xfId="0" applyFont="1" applyFill="1" applyBorder="1" applyProtection="1"/>
    <xf numFmtId="4" fontId="0" fillId="0" borderId="0" xfId="0" applyNumberFormat="1" applyFill="1" applyProtection="1"/>
    <xf numFmtId="4" fontId="8" fillId="4" borderId="1" xfId="0" applyNumberFormat="1" applyFont="1" applyFill="1" applyBorder="1" applyAlignment="1" applyProtection="1">
      <alignment wrapText="1"/>
      <protection locked="0"/>
    </xf>
    <xf numFmtId="4" fontId="8" fillId="4" borderId="1" xfId="0" applyNumberFormat="1" applyFont="1" applyFill="1" applyBorder="1" applyAlignment="1" applyProtection="1">
      <alignment wrapText="1"/>
    </xf>
    <xf numFmtId="4" fontId="2" fillId="0" borderId="1" xfId="0" applyNumberFormat="1" applyFont="1" applyFill="1" applyBorder="1" applyAlignment="1" applyProtection="1">
      <alignment wrapText="1"/>
    </xf>
    <xf numFmtId="0" fontId="4" fillId="4" borderId="0" xfId="0" applyFont="1" applyFill="1" applyProtection="1"/>
    <xf numFmtId="4" fontId="0" fillId="4" borderId="0" xfId="0" applyNumberFormat="1" applyFill="1" applyProtection="1"/>
    <xf numFmtId="4" fontId="4" fillId="4" borderId="0" xfId="0" applyNumberFormat="1" applyFont="1" applyFill="1" applyProtection="1"/>
    <xf numFmtId="4" fontId="6" fillId="0" borderId="0" xfId="0" applyNumberFormat="1" applyFont="1" applyBorder="1" applyProtection="1"/>
    <xf numFmtId="4" fontId="6" fillId="10" borderId="2" xfId="0" applyNumberFormat="1" applyFont="1" applyFill="1" applyBorder="1" applyAlignment="1" applyProtection="1">
      <alignment wrapText="1"/>
    </xf>
    <xf numFmtId="4" fontId="0" fillId="0" borderId="0" xfId="0" applyNumberFormat="1" applyBorder="1" applyProtection="1"/>
    <xf numFmtId="3" fontId="0" fillId="0" borderId="0" xfId="0" applyNumberFormat="1" applyProtection="1"/>
    <xf numFmtId="4" fontId="3" fillId="4" borderId="0" xfId="0" applyNumberFormat="1" applyFont="1" applyFill="1" applyBorder="1" applyAlignment="1" applyProtection="1">
      <alignment wrapText="1"/>
      <protection locked="0"/>
    </xf>
    <xf numFmtId="4" fontId="5" fillId="0" borderId="0" xfId="0" applyNumberFormat="1" applyFont="1" applyProtection="1"/>
    <xf numFmtId="4" fontId="6" fillId="4" borderId="0" xfId="0" applyNumberFormat="1" applyFont="1" applyFill="1" applyBorder="1" applyProtection="1"/>
    <xf numFmtId="4" fontId="1" fillId="4" borderId="1" xfId="0" applyNumberFormat="1" applyFont="1" applyFill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59" t="s">
        <v>709</v>
      </c>
      <c r="B1" s="59" t="s">
        <v>710</v>
      </c>
      <c r="C1" s="59" t="s">
        <v>711</v>
      </c>
      <c r="D1" s="60" t="s">
        <v>712</v>
      </c>
      <c r="E1" s="60" t="s">
        <v>713</v>
      </c>
      <c r="F1" s="60" t="s">
        <v>714</v>
      </c>
      <c r="G1" s="60" t="s">
        <v>715</v>
      </c>
      <c r="H1" s="60" t="s">
        <v>716</v>
      </c>
      <c r="I1" s="60" t="s">
        <v>717</v>
      </c>
      <c r="J1" s="60" t="s">
        <v>718</v>
      </c>
      <c r="K1" s="60" t="s">
        <v>719</v>
      </c>
      <c r="L1" s="60" t="s">
        <v>720</v>
      </c>
      <c r="M1" s="60" t="s">
        <v>721</v>
      </c>
      <c r="N1" s="60" t="s">
        <v>722</v>
      </c>
      <c r="O1" s="9" t="s">
        <v>723</v>
      </c>
      <c r="P1" s="9" t="s">
        <v>724</v>
      </c>
      <c r="Q1" s="9" t="s">
        <v>725</v>
      </c>
      <c r="R1" s="9" t="s">
        <v>726</v>
      </c>
      <c r="S1" s="9" t="s">
        <v>718</v>
      </c>
      <c r="T1" s="9" t="s">
        <v>719</v>
      </c>
    </row>
    <row r="2" spans="1:21" ht="25.5" x14ac:dyDescent="0.2">
      <c r="A2" s="61"/>
      <c r="B2" s="61"/>
      <c r="C2" s="61" t="s">
        <v>737</v>
      </c>
      <c r="D2" s="61"/>
      <c r="E2" s="61" t="s">
        <v>2</v>
      </c>
      <c r="F2" s="61"/>
      <c r="G2" s="61"/>
      <c r="H2" s="61"/>
      <c r="I2" s="61"/>
      <c r="J2" s="62">
        <f>+J4+J55</f>
        <v>12342644.003333334</v>
      </c>
      <c r="K2" s="62">
        <f>+K4+K55</f>
        <v>9256983</v>
      </c>
      <c r="L2" s="62">
        <f>+L4+L55</f>
        <v>3085661.0033333329</v>
      </c>
      <c r="M2" s="62"/>
      <c r="N2" s="62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739</v>
      </c>
    </row>
    <row r="3" spans="1:21" ht="25.5" x14ac:dyDescent="0.2">
      <c r="A3" s="63"/>
      <c r="B3" s="63"/>
      <c r="C3" s="63" t="s">
        <v>737</v>
      </c>
      <c r="D3" s="63"/>
      <c r="E3" s="63" t="s">
        <v>2</v>
      </c>
      <c r="F3" s="63"/>
      <c r="G3" s="63"/>
      <c r="H3" s="63"/>
      <c r="I3" s="63"/>
      <c r="J3" s="64">
        <f>+J5+J56</f>
        <v>9448701.120000001</v>
      </c>
      <c r="K3" s="64">
        <f>+K5+K56</f>
        <v>7086525.8399999999</v>
      </c>
      <c r="L3" s="64">
        <f t="shared" ref="L3:R3" si="0">+L5+L56</f>
        <v>2362175.2800000003</v>
      </c>
      <c r="M3" s="64">
        <f t="shared" si="0"/>
        <v>599345.00025000004</v>
      </c>
      <c r="N3" s="64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61"/>
      <c r="B4" s="61"/>
      <c r="C4" s="61" t="s">
        <v>0</v>
      </c>
      <c r="D4" s="61" t="s">
        <v>1</v>
      </c>
      <c r="E4" s="61" t="s">
        <v>2</v>
      </c>
      <c r="F4" s="61"/>
      <c r="G4" s="61"/>
      <c r="H4" s="61"/>
      <c r="I4" s="61">
        <v>76.11</v>
      </c>
      <c r="J4" s="62">
        <f t="shared" ref="J4:L5" si="1">+J6+J46+J51</f>
        <v>4305192</v>
      </c>
      <c r="K4" s="62">
        <f t="shared" si="1"/>
        <v>3228894</v>
      </c>
      <c r="L4" s="62">
        <f t="shared" si="1"/>
        <v>1076298</v>
      </c>
      <c r="M4" s="62"/>
      <c r="N4" s="62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740</v>
      </c>
    </row>
    <row r="5" spans="1:21" x14ac:dyDescent="0.2">
      <c r="A5" s="63"/>
      <c r="B5" s="63"/>
      <c r="C5" s="63" t="s">
        <v>0</v>
      </c>
      <c r="D5" s="63" t="s">
        <v>1</v>
      </c>
      <c r="E5" s="63" t="s">
        <v>2</v>
      </c>
      <c r="F5" s="63"/>
      <c r="G5" s="63"/>
      <c r="H5" s="63"/>
      <c r="I5" s="63">
        <v>76.11</v>
      </c>
      <c r="J5" s="64">
        <f t="shared" si="1"/>
        <v>3147363.47</v>
      </c>
      <c r="K5" s="64">
        <f t="shared" si="1"/>
        <v>2360522.6025</v>
      </c>
      <c r="L5" s="64">
        <f t="shared" si="1"/>
        <v>786840.86750000005</v>
      </c>
      <c r="M5" s="64">
        <f t="shared" ref="M5:R5" si="2">+M7+M47+M52</f>
        <v>283741.80025000003</v>
      </c>
      <c r="N5" s="64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61"/>
      <c r="B6" s="61"/>
      <c r="C6" s="61" t="s">
        <v>3</v>
      </c>
      <c r="D6" s="61" t="s">
        <v>4</v>
      </c>
      <c r="E6" s="61" t="s">
        <v>5</v>
      </c>
      <c r="F6" s="61"/>
      <c r="G6" s="61"/>
      <c r="H6" s="61"/>
      <c r="I6" s="61">
        <v>75</v>
      </c>
      <c r="J6" s="62">
        <v>4046880</v>
      </c>
      <c r="K6" s="62">
        <v>3035160</v>
      </c>
      <c r="L6" s="62">
        <v>1011720</v>
      </c>
      <c r="M6" s="62"/>
      <c r="N6" s="62"/>
      <c r="O6" s="29"/>
      <c r="P6" s="29"/>
      <c r="Q6" s="29"/>
      <c r="R6" s="29"/>
    </row>
    <row r="7" spans="1:21" x14ac:dyDescent="0.2">
      <c r="A7" s="63"/>
      <c r="B7" s="63"/>
      <c r="C7" s="63" t="s">
        <v>3</v>
      </c>
      <c r="D7" s="63" t="s">
        <v>4</v>
      </c>
      <c r="E7" s="63" t="s">
        <v>5</v>
      </c>
      <c r="F7" s="63"/>
      <c r="G7" s="63"/>
      <c r="H7" s="63"/>
      <c r="I7" s="63">
        <v>75</v>
      </c>
      <c r="J7" s="64">
        <f>+J8+J25+J28+J29+J34+J35+J40+J43</f>
        <v>3147363.47</v>
      </c>
      <c r="K7" s="64">
        <f t="shared" ref="K7:R7" si="3">+K8+K25+K28+K29+K34+K35+K40+K43</f>
        <v>2360522.6025</v>
      </c>
      <c r="L7" s="64">
        <f t="shared" si="3"/>
        <v>786840.86750000005</v>
      </c>
      <c r="M7" s="64">
        <f t="shared" si="3"/>
        <v>283741.80025000003</v>
      </c>
      <c r="N7" s="64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63"/>
      <c r="B8" s="63"/>
      <c r="C8" s="63" t="s">
        <v>6</v>
      </c>
      <c r="D8" s="63" t="s">
        <v>7</v>
      </c>
      <c r="E8" s="63" t="s">
        <v>8</v>
      </c>
      <c r="F8" s="63"/>
      <c r="G8" s="63"/>
      <c r="H8" s="63"/>
      <c r="I8" s="63">
        <v>75</v>
      </c>
      <c r="J8" s="64">
        <f>+J9+J11+J13+J15+J17+J19+J21+J23</f>
        <v>2586000</v>
      </c>
      <c r="K8" s="64">
        <f t="shared" ref="K8:R8" si="4">+K9+K11+K13+K15+K17+K19+K21+K23</f>
        <v>1939500</v>
      </c>
      <c r="L8" s="64">
        <f t="shared" si="4"/>
        <v>646500</v>
      </c>
      <c r="M8" s="64">
        <f t="shared" si="4"/>
        <v>235468.00025000001</v>
      </c>
      <c r="N8" s="64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75" t="s">
        <v>757</v>
      </c>
      <c r="T8" s="75"/>
      <c r="U8" s="76">
        <f>1747326+556743</f>
        <v>2304069</v>
      </c>
    </row>
    <row r="9" spans="1:21" s="58" customFormat="1" ht="38.25" x14ac:dyDescent="0.2">
      <c r="A9" s="71">
        <v>1</v>
      </c>
      <c r="B9" s="71">
        <v>1</v>
      </c>
      <c r="C9" s="71" t="s">
        <v>9</v>
      </c>
      <c r="D9" s="71" t="s">
        <v>10</v>
      </c>
      <c r="E9" s="71" t="s">
        <v>11</v>
      </c>
      <c r="F9" s="71" t="s">
        <v>12</v>
      </c>
      <c r="G9" s="71" t="s">
        <v>738</v>
      </c>
      <c r="H9" s="71" t="s">
        <v>13</v>
      </c>
      <c r="I9" s="71">
        <v>75</v>
      </c>
      <c r="J9" s="72">
        <f>+M9+N9+O9+P9+Q9+R9</f>
        <v>480000</v>
      </c>
      <c r="K9" s="72">
        <f>0.75*J9</f>
        <v>360000</v>
      </c>
      <c r="L9" s="72">
        <f>+J9-K9</f>
        <v>120000</v>
      </c>
      <c r="M9" s="72">
        <v>66983.58</v>
      </c>
      <c r="N9" s="72">
        <v>16404.349999999999</v>
      </c>
      <c r="O9" s="73">
        <v>100000</v>
      </c>
      <c r="P9" s="73">
        <v>100000</v>
      </c>
      <c r="Q9" s="73">
        <v>100000</v>
      </c>
      <c r="R9" s="73">
        <v>96612.07</v>
      </c>
      <c r="S9" s="75" t="s">
        <v>758</v>
      </c>
      <c r="U9" s="76">
        <f>2009471+1012452</f>
        <v>3021923</v>
      </c>
    </row>
    <row r="10" spans="1:21" ht="38.25" x14ac:dyDescent="0.2">
      <c r="A10" s="65"/>
      <c r="B10" s="65">
        <v>1</v>
      </c>
      <c r="C10" s="65" t="s">
        <v>14</v>
      </c>
      <c r="D10" s="65" t="s">
        <v>10</v>
      </c>
      <c r="E10" s="65" t="s">
        <v>15</v>
      </c>
      <c r="F10" s="65"/>
      <c r="G10" s="65"/>
      <c r="H10" s="65"/>
      <c r="I10" s="65">
        <v>75</v>
      </c>
      <c r="J10" s="66">
        <v>223278.61</v>
      </c>
      <c r="K10" s="66">
        <v>167458.95000000001</v>
      </c>
      <c r="L10" s="66">
        <v>55819.66</v>
      </c>
      <c r="M10" s="66">
        <v>66983.58</v>
      </c>
      <c r="N10" s="66">
        <v>16404.349999999999</v>
      </c>
      <c r="O10" s="16">
        <v>100000</v>
      </c>
      <c r="P10" s="16">
        <v>39890.68</v>
      </c>
      <c r="Q10" s="16"/>
      <c r="R10" s="16"/>
    </row>
    <row r="11" spans="1:21" s="58" customFormat="1" ht="38.25" x14ac:dyDescent="0.2">
      <c r="A11" s="71">
        <v>2</v>
      </c>
      <c r="B11" s="71">
        <v>2</v>
      </c>
      <c r="C11" s="71" t="s">
        <v>16</v>
      </c>
      <c r="D11" s="71" t="s">
        <v>17</v>
      </c>
      <c r="E11" s="71" t="s">
        <v>11</v>
      </c>
      <c r="F11" s="71" t="s">
        <v>12</v>
      </c>
      <c r="G11" s="71" t="s">
        <v>738</v>
      </c>
      <c r="H11" s="71" t="s">
        <v>18</v>
      </c>
      <c r="I11" s="71">
        <v>75</v>
      </c>
      <c r="J11" s="72">
        <v>205000</v>
      </c>
      <c r="K11" s="72">
        <f>0.75*J11</f>
        <v>153750</v>
      </c>
      <c r="L11" s="72">
        <f>+J11-K11</f>
        <v>51250</v>
      </c>
      <c r="M11" s="72">
        <v>30317.698249999998</v>
      </c>
      <c r="N11" s="72">
        <v>35191.017249999997</v>
      </c>
      <c r="O11" s="73">
        <v>34491.279999999999</v>
      </c>
      <c r="P11" s="73">
        <v>35000</v>
      </c>
      <c r="Q11" s="73">
        <v>35000</v>
      </c>
      <c r="R11" s="73">
        <v>35000</v>
      </c>
    </row>
    <row r="12" spans="1:21" ht="51" x14ac:dyDescent="0.2">
      <c r="A12" s="65"/>
      <c r="B12" s="65">
        <v>2</v>
      </c>
      <c r="C12" s="65" t="s">
        <v>19</v>
      </c>
      <c r="D12" s="65" t="s">
        <v>20</v>
      </c>
      <c r="E12" s="65" t="s">
        <v>15</v>
      </c>
      <c r="F12" s="65"/>
      <c r="G12" s="65"/>
      <c r="H12" s="65"/>
      <c r="I12" s="65">
        <v>75</v>
      </c>
      <c r="J12" s="66">
        <v>100000</v>
      </c>
      <c r="K12" s="66">
        <v>75000</v>
      </c>
      <c r="L12" s="66">
        <v>25000</v>
      </c>
      <c r="M12" s="66">
        <v>30317.698249999998</v>
      </c>
      <c r="N12" s="66">
        <v>35191.017249999997</v>
      </c>
      <c r="O12" s="16">
        <v>34491.284500000002</v>
      </c>
      <c r="P12" s="16"/>
      <c r="Q12" s="16"/>
      <c r="R12" s="16"/>
    </row>
    <row r="13" spans="1:21" s="58" customFormat="1" ht="38.25" x14ac:dyDescent="0.2">
      <c r="A13" s="71">
        <v>3</v>
      </c>
      <c r="B13" s="71">
        <v>3</v>
      </c>
      <c r="C13" s="71" t="s">
        <v>21</v>
      </c>
      <c r="D13" s="71" t="s">
        <v>22</v>
      </c>
      <c r="E13" s="71" t="s">
        <v>11</v>
      </c>
      <c r="F13" s="71" t="s">
        <v>23</v>
      </c>
      <c r="G13" s="71" t="s">
        <v>738</v>
      </c>
      <c r="H13" s="71" t="s">
        <v>18</v>
      </c>
      <c r="I13" s="71">
        <v>75</v>
      </c>
      <c r="J13" s="72">
        <v>850000</v>
      </c>
      <c r="K13" s="72">
        <f>0.75*J13</f>
        <v>637500</v>
      </c>
      <c r="L13" s="72">
        <f>+J13-K13</f>
        <v>212500</v>
      </c>
      <c r="M13" s="72">
        <v>48948.8995</v>
      </c>
      <c r="N13" s="72">
        <v>236513.55574999997</v>
      </c>
      <c r="O13" s="73">
        <v>150000</v>
      </c>
      <c r="P13" s="73">
        <v>150000</v>
      </c>
      <c r="Q13" s="73">
        <v>150000</v>
      </c>
      <c r="R13" s="73">
        <v>114537.54475</v>
      </c>
    </row>
    <row r="14" spans="1:21" ht="25.5" x14ac:dyDescent="0.2">
      <c r="A14" s="65"/>
      <c r="B14" s="65">
        <v>3</v>
      </c>
      <c r="C14" s="65" t="s">
        <v>24</v>
      </c>
      <c r="D14" s="65" t="s">
        <v>25</v>
      </c>
      <c r="E14" s="65" t="s">
        <v>15</v>
      </c>
      <c r="F14" s="65"/>
      <c r="G14" s="65"/>
      <c r="H14" s="65"/>
      <c r="I14" s="65">
        <v>75</v>
      </c>
      <c r="J14" s="66">
        <v>400000</v>
      </c>
      <c r="K14" s="66">
        <v>300000</v>
      </c>
      <c r="L14" s="66">
        <v>100000</v>
      </c>
      <c r="M14" s="66">
        <v>48948.8995</v>
      </c>
      <c r="N14" s="66">
        <v>236513.55574999997</v>
      </c>
      <c r="O14" s="16">
        <v>114537.54475000003</v>
      </c>
      <c r="P14" s="16"/>
      <c r="Q14" s="16"/>
      <c r="R14" s="16"/>
    </row>
    <row r="15" spans="1:21" s="58" customFormat="1" ht="38.25" x14ac:dyDescent="0.2">
      <c r="A15" s="71">
        <v>4</v>
      </c>
      <c r="B15" s="71">
        <v>4</v>
      </c>
      <c r="C15" s="71" t="s">
        <v>26</v>
      </c>
      <c r="D15" s="71" t="s">
        <v>27</v>
      </c>
      <c r="E15" s="71" t="s">
        <v>11</v>
      </c>
      <c r="F15" s="71" t="s">
        <v>28</v>
      </c>
      <c r="G15" s="71" t="s">
        <v>738</v>
      </c>
      <c r="H15" s="71" t="s">
        <v>18</v>
      </c>
      <c r="I15" s="71">
        <v>75</v>
      </c>
      <c r="J15" s="72">
        <v>220000</v>
      </c>
      <c r="K15" s="72">
        <f>0.75*J15</f>
        <v>165000</v>
      </c>
      <c r="L15" s="72">
        <f>+J15-K15</f>
        <v>55000</v>
      </c>
      <c r="M15" s="72">
        <v>6721.2224999999999</v>
      </c>
      <c r="N15" s="72">
        <v>43513.570499999994</v>
      </c>
      <c r="O15" s="73">
        <v>49765.207000000002</v>
      </c>
      <c r="P15" s="73">
        <v>40000</v>
      </c>
      <c r="Q15" s="73">
        <v>40000</v>
      </c>
      <c r="R15" s="73">
        <v>40000</v>
      </c>
    </row>
    <row r="16" spans="1:21" ht="25.5" x14ac:dyDescent="0.2">
      <c r="A16" s="65"/>
      <c r="B16" s="65">
        <v>4</v>
      </c>
      <c r="C16" s="65" t="s">
        <v>29</v>
      </c>
      <c r="D16" s="65" t="s">
        <v>27</v>
      </c>
      <c r="E16" s="65" t="s">
        <v>15</v>
      </c>
      <c r="F16" s="65"/>
      <c r="G16" s="65"/>
      <c r="H16" s="65"/>
      <c r="I16" s="65">
        <v>75</v>
      </c>
      <c r="J16" s="66">
        <v>100000</v>
      </c>
      <c r="K16" s="66">
        <v>75000</v>
      </c>
      <c r="L16" s="66">
        <v>25000</v>
      </c>
      <c r="M16" s="66">
        <v>6721.2224999999999</v>
      </c>
      <c r="N16" s="66">
        <v>43513.570499999994</v>
      </c>
      <c r="O16" s="16">
        <v>49765.207000000002</v>
      </c>
      <c r="P16" s="16"/>
      <c r="Q16" s="16"/>
      <c r="R16" s="16"/>
    </row>
    <row r="17" spans="1:18" s="58" customFormat="1" ht="25.5" x14ac:dyDescent="0.2">
      <c r="A17" s="71">
        <v>5</v>
      </c>
      <c r="B17" s="71">
        <v>5</v>
      </c>
      <c r="C17" s="71" t="s">
        <v>30</v>
      </c>
      <c r="D17" s="71" t="s">
        <v>31</v>
      </c>
      <c r="E17" s="71" t="s">
        <v>11</v>
      </c>
      <c r="F17" s="71" t="s">
        <v>12</v>
      </c>
      <c r="G17" s="71" t="s">
        <v>738</v>
      </c>
      <c r="H17" s="71" t="s">
        <v>13</v>
      </c>
      <c r="I17" s="71">
        <v>75</v>
      </c>
      <c r="J17" s="72">
        <v>400000</v>
      </c>
      <c r="K17" s="72">
        <f>0.75*J17</f>
        <v>300000</v>
      </c>
      <c r="L17" s="72">
        <f>+J17-K17</f>
        <v>100000</v>
      </c>
      <c r="M17" s="72">
        <v>46645.62</v>
      </c>
      <c r="N17" s="72">
        <v>0</v>
      </c>
      <c r="O17" s="73">
        <v>108839.78</v>
      </c>
      <c r="P17" s="73">
        <v>80000</v>
      </c>
      <c r="Q17" s="73">
        <v>80000</v>
      </c>
      <c r="R17" s="73">
        <v>84514.6</v>
      </c>
    </row>
    <row r="18" spans="1:18" ht="38.25" x14ac:dyDescent="0.2">
      <c r="A18" s="65"/>
      <c r="B18" s="65">
        <v>5</v>
      </c>
      <c r="C18" s="65" t="s">
        <v>32</v>
      </c>
      <c r="D18" s="65" t="s">
        <v>33</v>
      </c>
      <c r="E18" s="65" t="s">
        <v>15</v>
      </c>
      <c r="F18" s="65"/>
      <c r="G18" s="65"/>
      <c r="H18" s="65"/>
      <c r="I18" s="65">
        <v>75</v>
      </c>
      <c r="J18" s="66">
        <v>155485.4</v>
      </c>
      <c r="K18" s="66">
        <v>116614.05</v>
      </c>
      <c r="L18" s="66">
        <v>38871.35</v>
      </c>
      <c r="M18" s="66">
        <v>46645.62</v>
      </c>
      <c r="N18" s="66">
        <v>0</v>
      </c>
      <c r="O18" s="16">
        <v>108839.78</v>
      </c>
      <c r="P18" s="16"/>
      <c r="Q18" s="16"/>
      <c r="R18" s="16"/>
    </row>
    <row r="19" spans="1:18" s="58" customFormat="1" ht="38.25" x14ac:dyDescent="0.2">
      <c r="A19" s="71">
        <v>6</v>
      </c>
      <c r="B19" s="71">
        <v>6</v>
      </c>
      <c r="C19" s="71" t="s">
        <v>34</v>
      </c>
      <c r="D19" s="71" t="s">
        <v>35</v>
      </c>
      <c r="E19" s="71" t="s">
        <v>11</v>
      </c>
      <c r="F19" s="71" t="s">
        <v>36</v>
      </c>
      <c r="G19" s="71" t="s">
        <v>738</v>
      </c>
      <c r="H19" s="71" t="s">
        <v>18</v>
      </c>
      <c r="I19" s="71">
        <v>75</v>
      </c>
      <c r="J19" s="72">
        <v>105000</v>
      </c>
      <c r="K19" s="72">
        <f>0.75*J19</f>
        <v>78750</v>
      </c>
      <c r="L19" s="72">
        <f>+J19-K19</f>
        <v>26250</v>
      </c>
      <c r="M19" s="72">
        <v>4721.5600000000004</v>
      </c>
      <c r="N19" s="72">
        <v>20278.439999999999</v>
      </c>
      <c r="O19" s="73">
        <v>20000</v>
      </c>
      <c r="P19" s="73">
        <v>20000</v>
      </c>
      <c r="Q19" s="73">
        <v>20000</v>
      </c>
      <c r="R19" s="73">
        <v>20000</v>
      </c>
    </row>
    <row r="20" spans="1:18" ht="51" x14ac:dyDescent="0.2">
      <c r="A20" s="65"/>
      <c r="B20" s="65">
        <v>6</v>
      </c>
      <c r="C20" s="65" t="s">
        <v>37</v>
      </c>
      <c r="D20" s="65" t="s">
        <v>38</v>
      </c>
      <c r="E20" s="65" t="s">
        <v>15</v>
      </c>
      <c r="F20" s="65"/>
      <c r="G20" s="65"/>
      <c r="H20" s="65"/>
      <c r="I20" s="65">
        <v>75</v>
      </c>
      <c r="J20" s="66">
        <v>25000</v>
      </c>
      <c r="K20" s="66">
        <v>18750</v>
      </c>
      <c r="L20" s="66">
        <v>6250</v>
      </c>
      <c r="M20" s="66">
        <v>4721.5600000000004</v>
      </c>
      <c r="N20" s="66">
        <v>20278.439999999999</v>
      </c>
      <c r="O20" s="16"/>
      <c r="P20" s="16"/>
      <c r="Q20" s="16"/>
      <c r="R20" s="16"/>
    </row>
    <row r="21" spans="1:18" s="58" customFormat="1" ht="25.5" x14ac:dyDescent="0.2">
      <c r="A21" s="71">
        <v>7</v>
      </c>
      <c r="B21" s="71">
        <v>7</v>
      </c>
      <c r="C21" s="71" t="s">
        <v>39</v>
      </c>
      <c r="D21" s="71" t="s">
        <v>40</v>
      </c>
      <c r="E21" s="71" t="s">
        <v>11</v>
      </c>
      <c r="F21" s="71" t="s">
        <v>36</v>
      </c>
      <c r="G21" s="71" t="s">
        <v>738</v>
      </c>
      <c r="H21" s="71" t="s">
        <v>13</v>
      </c>
      <c r="I21" s="71">
        <v>75</v>
      </c>
      <c r="J21" s="72">
        <v>105000</v>
      </c>
      <c r="K21" s="72">
        <f>0.75*J21</f>
        <v>78750</v>
      </c>
      <c r="L21" s="72">
        <f>+J21-K21</f>
        <v>26250</v>
      </c>
      <c r="M21" s="72">
        <v>6812.92</v>
      </c>
      <c r="N21" s="72">
        <v>16715.62</v>
      </c>
      <c r="O21" s="73">
        <v>25000</v>
      </c>
      <c r="P21" s="73">
        <v>11000</v>
      </c>
      <c r="Q21" s="73">
        <v>22000</v>
      </c>
      <c r="R21" s="73">
        <v>23471.46</v>
      </c>
    </row>
    <row r="22" spans="1:18" ht="25.5" x14ac:dyDescent="0.2">
      <c r="A22" s="65"/>
      <c r="B22" s="65">
        <v>7</v>
      </c>
      <c r="C22" s="65" t="s">
        <v>41</v>
      </c>
      <c r="D22" s="65" t="s">
        <v>40</v>
      </c>
      <c r="E22" s="65" t="s">
        <v>15</v>
      </c>
      <c r="F22" s="65"/>
      <c r="G22" s="65"/>
      <c r="H22" s="65"/>
      <c r="I22" s="65">
        <v>75</v>
      </c>
      <c r="J22" s="66">
        <v>57079.360000000001</v>
      </c>
      <c r="K22" s="66">
        <v>42809.52</v>
      </c>
      <c r="L22" s="66">
        <v>14269.84</v>
      </c>
      <c r="M22" s="66">
        <v>6812.92</v>
      </c>
      <c r="N22" s="66">
        <v>16715.62</v>
      </c>
      <c r="O22" s="16">
        <v>22000</v>
      </c>
      <c r="P22" s="16">
        <v>11550.82</v>
      </c>
      <c r="Q22" s="16"/>
      <c r="R22" s="16"/>
    </row>
    <row r="23" spans="1:18" s="58" customFormat="1" ht="38.25" x14ac:dyDescent="0.2">
      <c r="A23" s="71">
        <v>8</v>
      </c>
      <c r="B23" s="71">
        <v>8</v>
      </c>
      <c r="C23" s="71" t="s">
        <v>42</v>
      </c>
      <c r="D23" s="71" t="s">
        <v>43</v>
      </c>
      <c r="E23" s="71" t="s">
        <v>11</v>
      </c>
      <c r="F23" s="71" t="s">
        <v>12</v>
      </c>
      <c r="G23" s="71" t="s">
        <v>738</v>
      </c>
      <c r="H23" s="71" t="s">
        <v>18</v>
      </c>
      <c r="I23" s="71">
        <v>75</v>
      </c>
      <c r="J23" s="72">
        <v>221000</v>
      </c>
      <c r="K23" s="72">
        <f>0.75*J23</f>
        <v>165750</v>
      </c>
      <c r="L23" s="72">
        <f>+J23-K23</f>
        <v>55250</v>
      </c>
      <c r="M23" s="72">
        <v>24316.5</v>
      </c>
      <c r="N23" s="72">
        <v>49170</v>
      </c>
      <c r="O23" s="73">
        <v>37000</v>
      </c>
      <c r="P23" s="73">
        <v>37000</v>
      </c>
      <c r="Q23" s="73">
        <v>37000</v>
      </c>
      <c r="R23" s="73">
        <v>36513.5</v>
      </c>
    </row>
    <row r="24" spans="1:18" ht="38.25" x14ac:dyDescent="0.2">
      <c r="A24" s="65"/>
      <c r="B24" s="65">
        <v>8</v>
      </c>
      <c r="C24" s="65" t="s">
        <v>44</v>
      </c>
      <c r="D24" s="65" t="s">
        <v>43</v>
      </c>
      <c r="E24" s="65" t="s">
        <v>15</v>
      </c>
      <c r="F24" s="65"/>
      <c r="G24" s="65"/>
      <c r="H24" s="65"/>
      <c r="I24" s="65">
        <v>75</v>
      </c>
      <c r="J24" s="66">
        <v>100000</v>
      </c>
      <c r="K24" s="66">
        <v>75000</v>
      </c>
      <c r="L24" s="66">
        <v>25000</v>
      </c>
      <c r="M24" s="66">
        <v>24316.5</v>
      </c>
      <c r="N24" s="66">
        <v>49170</v>
      </c>
      <c r="O24" s="16">
        <v>26513.5</v>
      </c>
      <c r="P24" s="16"/>
      <c r="Q24" s="16"/>
      <c r="R24" s="16"/>
    </row>
    <row r="25" spans="1:18" ht="38.25" x14ac:dyDescent="0.2">
      <c r="A25" s="63"/>
      <c r="B25" s="63"/>
      <c r="C25" s="63" t="s">
        <v>45</v>
      </c>
      <c r="D25" s="63" t="s">
        <v>46</v>
      </c>
      <c r="E25" s="63" t="s">
        <v>8</v>
      </c>
      <c r="F25" s="63"/>
      <c r="G25" s="63"/>
      <c r="H25" s="63"/>
      <c r="I25" s="63">
        <v>75</v>
      </c>
      <c r="J25" s="64">
        <f>+J26</f>
        <v>50000</v>
      </c>
      <c r="K25" s="64">
        <f t="shared" ref="K25:R25" si="5">+K26</f>
        <v>37500</v>
      </c>
      <c r="L25" s="64">
        <f t="shared" si="5"/>
        <v>12500</v>
      </c>
      <c r="M25" s="64">
        <f t="shared" si="5"/>
        <v>0</v>
      </c>
      <c r="N25" s="64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58" customFormat="1" ht="38.25" x14ac:dyDescent="0.2">
      <c r="A26" s="71">
        <v>9</v>
      </c>
      <c r="B26" s="71">
        <v>9</v>
      </c>
      <c r="C26" s="71" t="s">
        <v>47</v>
      </c>
      <c r="D26" s="71" t="s">
        <v>48</v>
      </c>
      <c r="E26" s="71" t="s">
        <v>11</v>
      </c>
      <c r="F26" s="71" t="s">
        <v>23</v>
      </c>
      <c r="G26" s="71" t="s">
        <v>738</v>
      </c>
      <c r="H26" s="71" t="s">
        <v>18</v>
      </c>
      <c r="I26" s="71">
        <v>75</v>
      </c>
      <c r="J26" s="72">
        <v>50000</v>
      </c>
      <c r="K26" s="72">
        <f>0.75*J26</f>
        <v>37500</v>
      </c>
      <c r="L26" s="72">
        <f>+J26-K26</f>
        <v>12500</v>
      </c>
      <c r="M26" s="72"/>
      <c r="N26" s="72">
        <v>5384.29</v>
      </c>
      <c r="O26" s="73">
        <v>14615.71</v>
      </c>
      <c r="P26" s="73">
        <v>10000</v>
      </c>
      <c r="Q26" s="73">
        <v>10000</v>
      </c>
      <c r="R26" s="73">
        <v>10000</v>
      </c>
    </row>
    <row r="27" spans="1:18" ht="102" x14ac:dyDescent="0.2">
      <c r="A27" s="65"/>
      <c r="B27" s="65">
        <v>9</v>
      </c>
      <c r="C27" s="65" t="s">
        <v>49</v>
      </c>
      <c r="D27" s="65" t="s">
        <v>50</v>
      </c>
      <c r="E27" s="65" t="s">
        <v>15</v>
      </c>
      <c r="F27" s="65"/>
      <c r="G27" s="65"/>
      <c r="H27" s="65"/>
      <c r="I27" s="65">
        <v>75</v>
      </c>
      <c r="J27" s="66">
        <v>20000</v>
      </c>
      <c r="K27" s="66">
        <v>15000</v>
      </c>
      <c r="L27" s="66">
        <v>5000</v>
      </c>
      <c r="M27" s="66"/>
      <c r="N27" s="66">
        <v>5384.29</v>
      </c>
      <c r="O27" s="16">
        <v>14615.71</v>
      </c>
      <c r="P27" s="16"/>
      <c r="Q27" s="16"/>
      <c r="R27" s="16"/>
    </row>
    <row r="28" spans="1:18" ht="38.25" x14ac:dyDescent="0.2">
      <c r="A28" s="63"/>
      <c r="B28" s="63"/>
      <c r="C28" s="63" t="s">
        <v>51</v>
      </c>
      <c r="D28" s="63" t="s">
        <v>52</v>
      </c>
      <c r="E28" s="63" t="s">
        <v>8</v>
      </c>
      <c r="F28" s="63"/>
      <c r="G28" s="63"/>
      <c r="H28" s="63"/>
      <c r="I28" s="63"/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63"/>
      <c r="B29" s="63"/>
      <c r="C29" s="63" t="s">
        <v>53</v>
      </c>
      <c r="D29" s="63" t="s">
        <v>54</v>
      </c>
      <c r="E29" s="63" t="s">
        <v>8</v>
      </c>
      <c r="F29" s="63"/>
      <c r="G29" s="63"/>
      <c r="H29" s="63"/>
      <c r="I29" s="63">
        <v>75</v>
      </c>
      <c r="J29" s="64">
        <f>+J30+J32</f>
        <v>161440.89000000001</v>
      </c>
      <c r="K29" s="64">
        <f t="shared" ref="K29:R29" si="6">+K30+K32</f>
        <v>121080.6675</v>
      </c>
      <c r="L29" s="64">
        <f t="shared" si="6"/>
        <v>40360.222500000003</v>
      </c>
      <c r="M29" s="64">
        <f t="shared" si="6"/>
        <v>15700</v>
      </c>
      <c r="N29" s="64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58" customFormat="1" ht="38.25" x14ac:dyDescent="0.2">
      <c r="A30" s="71">
        <v>10</v>
      </c>
      <c r="B30" s="71">
        <v>10</v>
      </c>
      <c r="C30" s="71" t="s">
        <v>55</v>
      </c>
      <c r="D30" s="71" t="s">
        <v>56</v>
      </c>
      <c r="E30" s="71" t="s">
        <v>11</v>
      </c>
      <c r="F30" s="71" t="s">
        <v>36</v>
      </c>
      <c r="G30" s="71" t="s">
        <v>738</v>
      </c>
      <c r="H30" s="71" t="s">
        <v>18</v>
      </c>
      <c r="I30" s="71">
        <v>75</v>
      </c>
      <c r="J30" s="72">
        <v>111440.89</v>
      </c>
      <c r="K30" s="72">
        <f>0.75*J30</f>
        <v>83580.667499999996</v>
      </c>
      <c r="L30" s="72">
        <f>+J30-K30</f>
        <v>27860.222500000003</v>
      </c>
      <c r="M30" s="72">
        <v>15700</v>
      </c>
      <c r="N30" s="72">
        <v>50000</v>
      </c>
      <c r="O30" s="73">
        <v>45740.89</v>
      </c>
      <c r="P30" s="73"/>
      <c r="Q30" s="73"/>
      <c r="R30" s="73"/>
    </row>
    <row r="31" spans="1:18" ht="89.25" x14ac:dyDescent="0.2">
      <c r="A31" s="65"/>
      <c r="B31" s="65">
        <v>10</v>
      </c>
      <c r="C31" s="65" t="s">
        <v>57</v>
      </c>
      <c r="D31" s="65" t="s">
        <v>58</v>
      </c>
      <c r="E31" s="65" t="s">
        <v>15</v>
      </c>
      <c r="F31" s="65"/>
      <c r="G31" s="65"/>
      <c r="H31" s="65"/>
      <c r="I31" s="65">
        <v>75</v>
      </c>
      <c r="J31" s="66">
        <v>111440.89</v>
      </c>
      <c r="K31" s="66">
        <v>83580.66</v>
      </c>
      <c r="L31" s="66">
        <v>27860.23</v>
      </c>
      <c r="M31" s="66">
        <v>15700</v>
      </c>
      <c r="N31" s="66">
        <v>50000</v>
      </c>
      <c r="O31" s="16">
        <v>45740.89</v>
      </c>
      <c r="P31" s="16"/>
      <c r="Q31" s="16"/>
      <c r="R31" s="16"/>
    </row>
    <row r="32" spans="1:18" s="58" customFormat="1" ht="38.25" x14ac:dyDescent="0.2">
      <c r="A32" s="71">
        <v>11</v>
      </c>
      <c r="B32" s="71">
        <v>11</v>
      </c>
      <c r="C32" s="71" t="s">
        <v>59</v>
      </c>
      <c r="D32" s="71" t="s">
        <v>60</v>
      </c>
      <c r="E32" s="71" t="s">
        <v>11</v>
      </c>
      <c r="F32" s="71" t="s">
        <v>23</v>
      </c>
      <c r="G32" s="71" t="s">
        <v>738</v>
      </c>
      <c r="H32" s="71" t="s">
        <v>18</v>
      </c>
      <c r="I32" s="71">
        <v>75</v>
      </c>
      <c r="J32" s="72">
        <v>50000</v>
      </c>
      <c r="K32" s="72">
        <f>0.75*J32</f>
        <v>37500</v>
      </c>
      <c r="L32" s="72">
        <f>+J32-K32</f>
        <v>12500</v>
      </c>
      <c r="M32" s="72"/>
      <c r="N32" s="72"/>
      <c r="O32" s="73">
        <v>50000</v>
      </c>
      <c r="P32" s="73"/>
      <c r="Q32" s="73"/>
      <c r="R32" s="73"/>
    </row>
    <row r="33" spans="1:18" ht="51" x14ac:dyDescent="0.2">
      <c r="A33" s="65"/>
      <c r="B33" s="65">
        <v>11</v>
      </c>
      <c r="C33" s="65" t="s">
        <v>61</v>
      </c>
      <c r="D33" s="65" t="s">
        <v>62</v>
      </c>
      <c r="E33" s="65" t="s">
        <v>15</v>
      </c>
      <c r="F33" s="65"/>
      <c r="G33" s="65"/>
      <c r="H33" s="65"/>
      <c r="I33" s="65">
        <v>75</v>
      </c>
      <c r="J33" s="66">
        <v>50000</v>
      </c>
      <c r="K33" s="66">
        <v>37500</v>
      </c>
      <c r="L33" s="66">
        <v>12500</v>
      </c>
      <c r="M33" s="66"/>
      <c r="N33" s="66"/>
      <c r="O33" s="16">
        <v>50000</v>
      </c>
      <c r="P33" s="16"/>
      <c r="Q33" s="16"/>
      <c r="R33" s="16"/>
    </row>
    <row r="34" spans="1:18" ht="25.5" x14ac:dyDescent="0.2">
      <c r="A34" s="63"/>
      <c r="B34" s="63"/>
      <c r="C34" s="63" t="s">
        <v>63</v>
      </c>
      <c r="D34" s="63" t="s">
        <v>64</v>
      </c>
      <c r="E34" s="63" t="s">
        <v>8</v>
      </c>
      <c r="F34" s="63"/>
      <c r="G34" s="63"/>
      <c r="H34" s="63"/>
      <c r="I34" s="63">
        <v>75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63"/>
      <c r="B35" s="63"/>
      <c r="C35" s="63" t="s">
        <v>66</v>
      </c>
      <c r="D35" s="63" t="s">
        <v>67</v>
      </c>
      <c r="E35" s="63" t="s">
        <v>8</v>
      </c>
      <c r="F35" s="63"/>
      <c r="G35" s="63"/>
      <c r="H35" s="63"/>
      <c r="I35" s="63">
        <v>75</v>
      </c>
      <c r="J35" s="64">
        <f>+J36+J38</f>
        <v>200000</v>
      </c>
      <c r="K35" s="64">
        <f t="shared" ref="K35:R35" si="7">+K36+K38</f>
        <v>150000</v>
      </c>
      <c r="L35" s="64">
        <f t="shared" si="7"/>
        <v>50000</v>
      </c>
      <c r="M35" s="64">
        <f t="shared" si="7"/>
        <v>11203.8</v>
      </c>
      <c r="N35" s="64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58" customFormat="1" ht="25.5" x14ac:dyDescent="0.2">
      <c r="A36" s="71">
        <v>12</v>
      </c>
      <c r="B36" s="71">
        <v>12</v>
      </c>
      <c r="C36" s="71" t="s">
        <v>68</v>
      </c>
      <c r="D36" s="71" t="s">
        <v>69</v>
      </c>
      <c r="E36" s="71" t="s">
        <v>11</v>
      </c>
      <c r="F36" s="71" t="s">
        <v>12</v>
      </c>
      <c r="G36" s="71" t="s">
        <v>738</v>
      </c>
      <c r="H36" s="71" t="s">
        <v>13</v>
      </c>
      <c r="I36" s="71">
        <v>75</v>
      </c>
      <c r="J36" s="72">
        <v>45000</v>
      </c>
      <c r="K36" s="72">
        <f>0.75*J36</f>
        <v>33750</v>
      </c>
      <c r="L36" s="72">
        <f>+J36-K36</f>
        <v>11250</v>
      </c>
      <c r="M36" s="72">
        <v>5993.8</v>
      </c>
      <c r="N36" s="72">
        <v>4792.0200000000004</v>
      </c>
      <c r="O36" s="73">
        <v>15000</v>
      </c>
      <c r="P36" s="73">
        <v>6000</v>
      </c>
      <c r="Q36" s="73">
        <v>6000</v>
      </c>
      <c r="R36" s="73">
        <v>7214.18</v>
      </c>
    </row>
    <row r="37" spans="1:18" ht="25.5" x14ac:dyDescent="0.2">
      <c r="A37" s="65"/>
      <c r="B37" s="65">
        <v>12</v>
      </c>
      <c r="C37" s="65" t="s">
        <v>70</v>
      </c>
      <c r="D37" s="65" t="s">
        <v>69</v>
      </c>
      <c r="E37" s="65" t="s">
        <v>15</v>
      </c>
      <c r="F37" s="65"/>
      <c r="G37" s="65"/>
      <c r="H37" s="65"/>
      <c r="I37" s="65">
        <v>75</v>
      </c>
      <c r="J37" s="66">
        <v>19979.36</v>
      </c>
      <c r="K37" s="66">
        <v>14984.52</v>
      </c>
      <c r="L37" s="66">
        <v>4994.84</v>
      </c>
      <c r="M37" s="66">
        <v>5993.8</v>
      </c>
      <c r="N37" s="66">
        <v>4792.0200000000004</v>
      </c>
      <c r="O37" s="16">
        <v>9193.5400000000009</v>
      </c>
      <c r="P37" s="16"/>
      <c r="Q37" s="16"/>
      <c r="R37" s="16"/>
    </row>
    <row r="38" spans="1:18" s="58" customFormat="1" ht="38.25" x14ac:dyDescent="0.2">
      <c r="A38" s="71">
        <v>13</v>
      </c>
      <c r="B38" s="71">
        <v>13</v>
      </c>
      <c r="C38" s="71" t="s">
        <v>71</v>
      </c>
      <c r="D38" s="71" t="s">
        <v>72</v>
      </c>
      <c r="E38" s="71" t="s">
        <v>11</v>
      </c>
      <c r="F38" s="71" t="s">
        <v>36</v>
      </c>
      <c r="G38" s="71" t="s">
        <v>738</v>
      </c>
      <c r="H38" s="71" t="s">
        <v>18</v>
      </c>
      <c r="I38" s="71">
        <v>75</v>
      </c>
      <c r="J38" s="72">
        <v>155000</v>
      </c>
      <c r="K38" s="72">
        <f>0.75*J38</f>
        <v>116250</v>
      </c>
      <c r="L38" s="72">
        <f>+J38-K38</f>
        <v>38750</v>
      </c>
      <c r="M38" s="72">
        <v>5210</v>
      </c>
      <c r="N38" s="72">
        <v>54000</v>
      </c>
      <c r="O38" s="73">
        <v>95790</v>
      </c>
      <c r="P38" s="73"/>
      <c r="Q38" s="73"/>
      <c r="R38" s="73"/>
    </row>
    <row r="39" spans="1:18" ht="63.75" x14ac:dyDescent="0.2">
      <c r="A39" s="65"/>
      <c r="B39" s="65">
        <v>13</v>
      </c>
      <c r="C39" s="65" t="s">
        <v>73</v>
      </c>
      <c r="D39" s="65" t="s">
        <v>74</v>
      </c>
      <c r="E39" s="65" t="s">
        <v>15</v>
      </c>
      <c r="F39" s="65"/>
      <c r="G39" s="65"/>
      <c r="H39" s="65"/>
      <c r="I39" s="65">
        <v>75</v>
      </c>
      <c r="J39" s="66">
        <v>155000</v>
      </c>
      <c r="K39" s="66">
        <v>116250</v>
      </c>
      <c r="L39" s="66">
        <v>38750</v>
      </c>
      <c r="M39" s="66">
        <v>5210</v>
      </c>
      <c r="N39" s="66">
        <v>54000</v>
      </c>
      <c r="O39" s="16">
        <v>95790</v>
      </c>
      <c r="P39" s="16"/>
      <c r="Q39" s="16"/>
      <c r="R39" s="16"/>
    </row>
    <row r="40" spans="1:18" ht="38.25" x14ac:dyDescent="0.2">
      <c r="A40" s="63"/>
      <c r="B40" s="63"/>
      <c r="C40" s="63" t="s">
        <v>75</v>
      </c>
      <c r="D40" s="63" t="s">
        <v>76</v>
      </c>
      <c r="E40" s="63" t="s">
        <v>8</v>
      </c>
      <c r="F40" s="63"/>
      <c r="G40" s="63"/>
      <c r="H40" s="63"/>
      <c r="I40" s="63">
        <v>75</v>
      </c>
      <c r="J40" s="64">
        <f>+J41</f>
        <v>70000</v>
      </c>
      <c r="K40" s="64">
        <f t="shared" ref="K40:R40" si="8">+K41</f>
        <v>52500</v>
      </c>
      <c r="L40" s="64">
        <f t="shared" si="8"/>
        <v>17500</v>
      </c>
      <c r="M40" s="64">
        <f t="shared" si="8"/>
        <v>21370</v>
      </c>
      <c r="N40" s="64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58" customFormat="1" ht="38.25" x14ac:dyDescent="0.2">
      <c r="A41" s="71">
        <v>14</v>
      </c>
      <c r="B41" s="71">
        <v>14</v>
      </c>
      <c r="C41" s="71" t="s">
        <v>77</v>
      </c>
      <c r="D41" s="71" t="s">
        <v>78</v>
      </c>
      <c r="E41" s="71" t="s">
        <v>11</v>
      </c>
      <c r="F41" s="71" t="s">
        <v>28</v>
      </c>
      <c r="G41" s="71" t="s">
        <v>738</v>
      </c>
      <c r="H41" s="71" t="s">
        <v>18</v>
      </c>
      <c r="I41" s="71">
        <v>75</v>
      </c>
      <c r="J41" s="72">
        <v>70000</v>
      </c>
      <c r="K41" s="72">
        <f>0.75*J41</f>
        <v>52500</v>
      </c>
      <c r="L41" s="72">
        <f>+J41-K41</f>
        <v>17500</v>
      </c>
      <c r="M41" s="72">
        <v>21370</v>
      </c>
      <c r="N41" s="72">
        <v>20305</v>
      </c>
      <c r="O41" s="73">
        <v>28325</v>
      </c>
      <c r="P41" s="73"/>
      <c r="Q41" s="73"/>
      <c r="R41" s="73"/>
    </row>
    <row r="42" spans="1:18" ht="63.75" x14ac:dyDescent="0.2">
      <c r="A42" s="65"/>
      <c r="B42" s="65">
        <v>14</v>
      </c>
      <c r="C42" s="65" t="s">
        <v>79</v>
      </c>
      <c r="D42" s="65" t="s">
        <v>80</v>
      </c>
      <c r="E42" s="65" t="s">
        <v>15</v>
      </c>
      <c r="F42" s="65"/>
      <c r="G42" s="65"/>
      <c r="H42" s="65"/>
      <c r="I42" s="65">
        <v>75</v>
      </c>
      <c r="J42" s="66">
        <v>70000</v>
      </c>
      <c r="K42" s="66">
        <v>52500</v>
      </c>
      <c r="L42" s="66">
        <v>17500</v>
      </c>
      <c r="M42" s="66">
        <v>21370</v>
      </c>
      <c r="N42" s="66">
        <v>20305</v>
      </c>
      <c r="O42" s="16">
        <v>28325</v>
      </c>
      <c r="P42" s="16"/>
      <c r="Q42" s="16"/>
      <c r="R42" s="16"/>
    </row>
    <row r="43" spans="1:18" ht="38.25" x14ac:dyDescent="0.2">
      <c r="A43" s="63"/>
      <c r="B43" s="63"/>
      <c r="C43" s="63" t="s">
        <v>81</v>
      </c>
      <c r="D43" s="63" t="s">
        <v>82</v>
      </c>
      <c r="E43" s="63" t="s">
        <v>8</v>
      </c>
      <c r="F43" s="63"/>
      <c r="G43" s="63"/>
      <c r="H43" s="63"/>
      <c r="I43" s="63">
        <v>75</v>
      </c>
      <c r="J43" s="64">
        <f>+J44</f>
        <v>79922.58</v>
      </c>
      <c r="K43" s="64">
        <f t="shared" ref="K43:R43" si="9">+K44</f>
        <v>59941.934999999998</v>
      </c>
      <c r="L43" s="64">
        <f t="shared" si="9"/>
        <v>19980.645000000004</v>
      </c>
      <c r="M43" s="64">
        <f t="shared" si="9"/>
        <v>0</v>
      </c>
      <c r="N43" s="64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58" customFormat="1" ht="25.5" x14ac:dyDescent="0.2">
      <c r="A44" s="71">
        <v>15</v>
      </c>
      <c r="B44" s="71">
        <v>15</v>
      </c>
      <c r="C44" s="71" t="s">
        <v>84</v>
      </c>
      <c r="D44" s="71" t="s">
        <v>85</v>
      </c>
      <c r="E44" s="71" t="s">
        <v>11</v>
      </c>
      <c r="F44" s="71" t="s">
        <v>28</v>
      </c>
      <c r="G44" s="71" t="s">
        <v>738</v>
      </c>
      <c r="H44" s="71" t="s">
        <v>13</v>
      </c>
      <c r="I44" s="71">
        <v>75</v>
      </c>
      <c r="J44" s="72">
        <v>79922.58</v>
      </c>
      <c r="K44" s="72">
        <f>0.75*J44</f>
        <v>59941.934999999998</v>
      </c>
      <c r="L44" s="72">
        <f>+J44-K44</f>
        <v>19980.645000000004</v>
      </c>
      <c r="M44" s="72"/>
      <c r="N44" s="72">
        <v>23976.77</v>
      </c>
      <c r="O44" s="73">
        <v>29571.35</v>
      </c>
      <c r="P44" s="73">
        <v>26374.46</v>
      </c>
      <c r="Q44" s="73"/>
      <c r="R44" s="73"/>
    </row>
    <row r="45" spans="1:18" ht="38.25" x14ac:dyDescent="0.2">
      <c r="A45" s="67"/>
      <c r="B45" s="67">
        <v>15</v>
      </c>
      <c r="C45" s="67" t="s">
        <v>86</v>
      </c>
      <c r="D45" s="67" t="s">
        <v>87</v>
      </c>
      <c r="E45" s="67" t="s">
        <v>15</v>
      </c>
      <c r="F45" s="67"/>
      <c r="G45" s="67"/>
      <c r="H45" s="67"/>
      <c r="I45" s="67">
        <v>75</v>
      </c>
      <c r="J45" s="68">
        <v>79922.58</v>
      </c>
      <c r="K45" s="68">
        <v>59941.93</v>
      </c>
      <c r="L45" s="68">
        <v>19980.650000000001</v>
      </c>
      <c r="M45" s="68"/>
      <c r="N45" s="68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61"/>
      <c r="B46" s="61"/>
      <c r="C46" s="61" t="s">
        <v>88</v>
      </c>
      <c r="D46" s="61" t="s">
        <v>89</v>
      </c>
      <c r="E46" s="61" t="s">
        <v>5</v>
      </c>
      <c r="F46" s="61"/>
      <c r="G46" s="61"/>
      <c r="H46" s="61"/>
      <c r="I46" s="61">
        <v>75</v>
      </c>
      <c r="J46" s="62">
        <f>+K46+L46</f>
        <v>258312</v>
      </c>
      <c r="K46" s="62">
        <v>193734</v>
      </c>
      <c r="L46" s="62">
        <f>+K46/3</f>
        <v>64578</v>
      </c>
      <c r="M46" s="62">
        <v>0</v>
      </c>
      <c r="N46" s="62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3"/>
      <c r="B47" s="63"/>
      <c r="C47" s="63" t="s">
        <v>88</v>
      </c>
      <c r="D47" s="63" t="s">
        <v>89</v>
      </c>
      <c r="E47" s="63" t="s">
        <v>5</v>
      </c>
      <c r="F47" s="63"/>
      <c r="G47" s="63"/>
      <c r="H47" s="63"/>
      <c r="I47" s="63">
        <v>75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63"/>
      <c r="B48" s="63"/>
      <c r="C48" s="63" t="s">
        <v>90</v>
      </c>
      <c r="D48" s="63" t="s">
        <v>91</v>
      </c>
      <c r="E48" s="63" t="s">
        <v>8</v>
      </c>
      <c r="F48" s="63"/>
      <c r="G48" s="63"/>
      <c r="H48" s="63"/>
      <c r="I48" s="63">
        <v>75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63"/>
      <c r="B49" s="63"/>
      <c r="C49" s="63" t="s">
        <v>92</v>
      </c>
      <c r="D49" s="63" t="s">
        <v>93</v>
      </c>
      <c r="E49" s="63" t="s">
        <v>8</v>
      </c>
      <c r="F49" s="63"/>
      <c r="G49" s="63"/>
      <c r="H49" s="63"/>
      <c r="I49" s="63"/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63"/>
      <c r="B50" s="63"/>
      <c r="C50" s="63" t="s">
        <v>94</v>
      </c>
      <c r="D50" s="63" t="s">
        <v>95</v>
      </c>
      <c r="E50" s="63" t="s">
        <v>8</v>
      </c>
      <c r="F50" s="63"/>
      <c r="G50" s="63"/>
      <c r="H50" s="63"/>
      <c r="I50" s="63"/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61"/>
      <c r="B51" s="61"/>
      <c r="C51" s="61" t="s">
        <v>96</v>
      </c>
      <c r="D51" s="61" t="s">
        <v>97</v>
      </c>
      <c r="E51" s="61" t="s">
        <v>5</v>
      </c>
      <c r="F51" s="61"/>
      <c r="G51" s="61"/>
      <c r="H51" s="61"/>
      <c r="I51" s="61">
        <v>100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3"/>
      <c r="B52" s="63"/>
      <c r="C52" s="63" t="s">
        <v>98</v>
      </c>
      <c r="D52" s="63" t="s">
        <v>97</v>
      </c>
      <c r="E52" s="63" t="s">
        <v>8</v>
      </c>
      <c r="F52" s="63"/>
      <c r="G52" s="63"/>
      <c r="H52" s="63"/>
      <c r="I52" s="63">
        <v>100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58" customFormat="1" ht="38.25" x14ac:dyDescent="0.2">
      <c r="A53" s="71">
        <v>16</v>
      </c>
      <c r="B53" s="71">
        <v>16</v>
      </c>
      <c r="C53" s="71" t="s">
        <v>99</v>
      </c>
      <c r="D53" s="71" t="s">
        <v>100</v>
      </c>
      <c r="E53" s="71" t="s">
        <v>11</v>
      </c>
      <c r="F53" s="71" t="s">
        <v>28</v>
      </c>
      <c r="G53" s="71" t="s">
        <v>738</v>
      </c>
      <c r="H53" s="71" t="s">
        <v>18</v>
      </c>
      <c r="I53" s="71">
        <v>100</v>
      </c>
      <c r="J53" s="72">
        <v>0</v>
      </c>
      <c r="K53" s="72">
        <v>0</v>
      </c>
      <c r="L53" s="72">
        <v>0</v>
      </c>
      <c r="M53" s="72"/>
      <c r="N53" s="72">
        <v>0</v>
      </c>
      <c r="O53" s="66">
        <v>0</v>
      </c>
      <c r="P53" s="66"/>
      <c r="Q53" s="66"/>
      <c r="R53" s="66"/>
    </row>
    <row r="54" spans="1:21" ht="25.5" x14ac:dyDescent="0.2">
      <c r="A54" s="67"/>
      <c r="B54" s="67">
        <v>16</v>
      </c>
      <c r="C54" s="67" t="s">
        <v>101</v>
      </c>
      <c r="D54" s="67" t="s">
        <v>100</v>
      </c>
      <c r="E54" s="67" t="s">
        <v>15</v>
      </c>
      <c r="F54" s="67"/>
      <c r="G54" s="67"/>
      <c r="H54" s="67"/>
      <c r="I54" s="67">
        <v>100</v>
      </c>
      <c r="J54" s="68">
        <v>0</v>
      </c>
      <c r="K54" s="68">
        <v>0</v>
      </c>
      <c r="L54" s="68">
        <v>0</v>
      </c>
      <c r="M54" s="68"/>
      <c r="N54" s="68">
        <v>0</v>
      </c>
      <c r="O54" s="24">
        <v>0</v>
      </c>
      <c r="P54" s="24"/>
      <c r="Q54" s="24"/>
      <c r="R54" s="24"/>
    </row>
    <row r="55" spans="1:21" x14ac:dyDescent="0.2">
      <c r="A55" s="61"/>
      <c r="B55" s="61"/>
      <c r="C55" s="61" t="s">
        <v>102</v>
      </c>
      <c r="D55" s="61" t="s">
        <v>103</v>
      </c>
      <c r="E55" s="61" t="s">
        <v>2</v>
      </c>
      <c r="F55" s="61"/>
      <c r="G55" s="61"/>
      <c r="H55" s="61"/>
      <c r="I55" s="61">
        <v>75</v>
      </c>
      <c r="J55" s="62">
        <f>+J57+J62+J88</f>
        <v>8037452.0033333329</v>
      </c>
      <c r="K55" s="62">
        <f>+K57+K62+K88</f>
        <v>6028089</v>
      </c>
      <c r="L55" s="62">
        <f>+L57+L62+L88</f>
        <v>2009363.0033333332</v>
      </c>
      <c r="M55" s="62"/>
      <c r="N55" s="62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741</v>
      </c>
    </row>
    <row r="56" spans="1:21" x14ac:dyDescent="0.2">
      <c r="A56" s="63"/>
      <c r="B56" s="63"/>
      <c r="C56" s="63" t="s">
        <v>102</v>
      </c>
      <c r="D56" s="63" t="s">
        <v>103</v>
      </c>
      <c r="E56" s="63" t="s">
        <v>2</v>
      </c>
      <c r="F56" s="63"/>
      <c r="G56" s="63"/>
      <c r="H56" s="63"/>
      <c r="I56" s="63">
        <v>75</v>
      </c>
      <c r="J56" s="64">
        <f>+J58+J89+J63</f>
        <v>6301337.6500000004</v>
      </c>
      <c r="K56" s="64">
        <f t="shared" ref="K56:R56" si="10">+K58+K89+K63</f>
        <v>4726003.2374999998</v>
      </c>
      <c r="L56" s="64">
        <f t="shared" si="10"/>
        <v>1575334.4125000001</v>
      </c>
      <c r="M56" s="64">
        <f t="shared" si="10"/>
        <v>315603.19999999995</v>
      </c>
      <c r="N56" s="64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61"/>
      <c r="B57" s="61"/>
      <c r="C57" s="61" t="s">
        <v>104</v>
      </c>
      <c r="D57" s="61" t="s">
        <v>105</v>
      </c>
      <c r="E57" s="61" t="s">
        <v>5</v>
      </c>
      <c r="F57" s="61"/>
      <c r="G57" s="61"/>
      <c r="H57" s="61"/>
      <c r="I57" s="61">
        <v>75</v>
      </c>
      <c r="J57" s="62">
        <f>+K57+L57</f>
        <v>688830.67</v>
      </c>
      <c r="K57" s="62">
        <v>516623</v>
      </c>
      <c r="L57" s="62">
        <v>172207.67</v>
      </c>
      <c r="M57" s="62"/>
      <c r="N57" s="62"/>
      <c r="O57" s="29"/>
      <c r="P57" s="29"/>
      <c r="Q57" s="29"/>
      <c r="R57" s="29">
        <v>0</v>
      </c>
    </row>
    <row r="58" spans="1:21" x14ac:dyDescent="0.2">
      <c r="A58" s="63"/>
      <c r="B58" s="63"/>
      <c r="C58" s="63" t="s">
        <v>104</v>
      </c>
      <c r="D58" s="63" t="s">
        <v>105</v>
      </c>
      <c r="E58" s="63" t="s">
        <v>5</v>
      </c>
      <c r="F58" s="63"/>
      <c r="G58" s="63"/>
      <c r="H58" s="63"/>
      <c r="I58" s="63">
        <v>75</v>
      </c>
      <c r="J58" s="64">
        <f>+J59</f>
        <v>50000</v>
      </c>
      <c r="K58" s="64">
        <f t="shared" ref="K58:R59" si="11">+K59</f>
        <v>37500</v>
      </c>
      <c r="L58" s="64">
        <f t="shared" si="11"/>
        <v>12500</v>
      </c>
      <c r="M58" s="64">
        <f t="shared" si="11"/>
        <v>0</v>
      </c>
      <c r="N58" s="64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63"/>
      <c r="B59" s="63"/>
      <c r="C59" s="63" t="s">
        <v>106</v>
      </c>
      <c r="D59" s="63" t="s">
        <v>107</v>
      </c>
      <c r="E59" s="63" t="s">
        <v>8</v>
      </c>
      <c r="F59" s="63"/>
      <c r="G59" s="63"/>
      <c r="H59" s="63"/>
      <c r="I59" s="63">
        <v>75</v>
      </c>
      <c r="J59" s="64">
        <f>+J60</f>
        <v>50000</v>
      </c>
      <c r="K59" s="64">
        <f t="shared" si="11"/>
        <v>37500</v>
      </c>
      <c r="L59" s="64">
        <f t="shared" si="11"/>
        <v>12500</v>
      </c>
      <c r="M59" s="64">
        <f t="shared" si="11"/>
        <v>0</v>
      </c>
      <c r="N59" s="64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58" customFormat="1" ht="38.25" x14ac:dyDescent="0.2">
      <c r="A60" s="71">
        <v>17</v>
      </c>
      <c r="B60" s="71">
        <v>17</v>
      </c>
      <c r="C60" s="71" t="s">
        <v>108</v>
      </c>
      <c r="D60" s="71" t="s">
        <v>109</v>
      </c>
      <c r="E60" s="71" t="s">
        <v>11</v>
      </c>
      <c r="F60" s="71" t="s">
        <v>28</v>
      </c>
      <c r="G60" s="71" t="s">
        <v>738</v>
      </c>
      <c r="H60" s="71" t="s">
        <v>18</v>
      </c>
      <c r="I60" s="71">
        <v>75</v>
      </c>
      <c r="J60" s="72">
        <v>50000</v>
      </c>
      <c r="K60" s="72">
        <f>0.75*J60</f>
        <v>37500</v>
      </c>
      <c r="L60" s="72">
        <f>+J60-K60</f>
        <v>12500</v>
      </c>
      <c r="M60" s="72">
        <v>0</v>
      </c>
      <c r="N60" s="72">
        <v>25000</v>
      </c>
      <c r="O60" s="73">
        <v>25000</v>
      </c>
      <c r="P60" s="73"/>
      <c r="Q60" s="73"/>
      <c r="R60" s="73"/>
    </row>
    <row r="61" spans="1:21" ht="76.5" x14ac:dyDescent="0.2">
      <c r="A61" s="67"/>
      <c r="B61" s="67">
        <v>17</v>
      </c>
      <c r="C61" s="67" t="s">
        <v>110</v>
      </c>
      <c r="D61" s="67" t="s">
        <v>111</v>
      </c>
      <c r="E61" s="67" t="s">
        <v>15</v>
      </c>
      <c r="F61" s="67"/>
      <c r="G61" s="67"/>
      <c r="H61" s="67"/>
      <c r="I61" s="67">
        <v>75</v>
      </c>
      <c r="J61" s="68">
        <v>50000</v>
      </c>
      <c r="K61" s="68">
        <v>37500</v>
      </c>
      <c r="L61" s="68">
        <v>12500</v>
      </c>
      <c r="M61" s="68"/>
      <c r="N61" s="68">
        <v>0</v>
      </c>
      <c r="O61" s="74">
        <v>50000</v>
      </c>
      <c r="P61" s="74"/>
      <c r="Q61" s="74"/>
      <c r="R61" s="74"/>
    </row>
    <row r="62" spans="1:21" ht="24.75" customHeight="1" x14ac:dyDescent="0.2">
      <c r="A62" s="61"/>
      <c r="B62" s="61"/>
      <c r="C62" s="61" t="s">
        <v>112</v>
      </c>
      <c r="D62" s="61" t="s">
        <v>113</v>
      </c>
      <c r="E62" s="61" t="s">
        <v>5</v>
      </c>
      <c r="F62" s="61"/>
      <c r="G62" s="61"/>
      <c r="H62" s="61"/>
      <c r="I62" s="61">
        <v>75</v>
      </c>
      <c r="J62" s="62">
        <f>+K62+L62</f>
        <v>6797557.333333333</v>
      </c>
      <c r="K62" s="62">
        <f>4236309+861859</f>
        <v>5098168</v>
      </c>
      <c r="L62" s="62">
        <f>+K62/3</f>
        <v>1699389.3333333333</v>
      </c>
      <c r="M62" s="62"/>
      <c r="N62" s="62"/>
      <c r="O62" s="29"/>
      <c r="P62" s="29"/>
      <c r="Q62" s="29"/>
      <c r="R62" s="29"/>
    </row>
    <row r="63" spans="1:21" x14ac:dyDescent="0.2">
      <c r="A63" s="63"/>
      <c r="B63" s="63"/>
      <c r="C63" s="63" t="s">
        <v>112</v>
      </c>
      <c r="D63" s="63" t="s">
        <v>113</v>
      </c>
      <c r="E63" s="63"/>
      <c r="F63" s="63"/>
      <c r="G63" s="63"/>
      <c r="H63" s="63"/>
      <c r="I63" s="63">
        <v>75</v>
      </c>
      <c r="J63" s="64">
        <f>+J64+J69+J71+J81+J82+J86</f>
        <v>5911337.6500000004</v>
      </c>
      <c r="K63" s="64">
        <f t="shared" ref="K63:R63" si="12">+K64+K69+K71+K81+K82+K86</f>
        <v>4433503.2374999998</v>
      </c>
      <c r="L63" s="64">
        <f t="shared" si="12"/>
        <v>1477834.4125000001</v>
      </c>
      <c r="M63" s="64">
        <f t="shared" si="12"/>
        <v>315603.19999999995</v>
      </c>
      <c r="N63" s="64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63"/>
      <c r="B64" s="63"/>
      <c r="C64" s="63" t="s">
        <v>114</v>
      </c>
      <c r="D64" s="63" t="s">
        <v>115</v>
      </c>
      <c r="E64" s="63" t="s">
        <v>8</v>
      </c>
      <c r="F64" s="63"/>
      <c r="G64" s="63"/>
      <c r="H64" s="63"/>
      <c r="I64" s="63">
        <v>75</v>
      </c>
      <c r="J64" s="64">
        <f>+J65+J67</f>
        <v>3200000</v>
      </c>
      <c r="K64" s="64">
        <f t="shared" ref="K64:R64" si="13">+K65+K67</f>
        <v>2400000</v>
      </c>
      <c r="L64" s="64">
        <f t="shared" si="13"/>
        <v>800000</v>
      </c>
      <c r="M64" s="64">
        <f t="shared" si="13"/>
        <v>118862.6</v>
      </c>
      <c r="N64" s="64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58" customFormat="1" ht="38.25" x14ac:dyDescent="0.2">
      <c r="A65" s="71">
        <v>18</v>
      </c>
      <c r="B65" s="71">
        <v>18</v>
      </c>
      <c r="C65" s="71" t="s">
        <v>116</v>
      </c>
      <c r="D65" s="71" t="s">
        <v>117</v>
      </c>
      <c r="E65" s="71" t="s">
        <v>11</v>
      </c>
      <c r="F65" s="71" t="s">
        <v>28</v>
      </c>
      <c r="G65" s="71" t="s">
        <v>738</v>
      </c>
      <c r="H65" s="71" t="s">
        <v>18</v>
      </c>
      <c r="I65" s="71">
        <v>75</v>
      </c>
      <c r="J65" s="72">
        <v>2750000</v>
      </c>
      <c r="K65" s="72">
        <f>0.75*J65</f>
        <v>2062500</v>
      </c>
      <c r="L65" s="72">
        <f>+J65-K65</f>
        <v>687500</v>
      </c>
      <c r="M65" s="72">
        <v>84110</v>
      </c>
      <c r="N65" s="72">
        <v>843340</v>
      </c>
      <c r="O65" s="73">
        <v>322550</v>
      </c>
      <c r="P65" s="73">
        <v>500000</v>
      </c>
      <c r="Q65" s="73">
        <v>500000</v>
      </c>
      <c r="R65" s="73">
        <v>500000</v>
      </c>
    </row>
    <row r="66" spans="1:18" ht="25.5" x14ac:dyDescent="0.2">
      <c r="A66" s="65"/>
      <c r="B66" s="65">
        <v>18</v>
      </c>
      <c r="C66" s="65" t="s">
        <v>118</v>
      </c>
      <c r="D66" s="65" t="s">
        <v>119</v>
      </c>
      <c r="E66" s="65" t="s">
        <v>15</v>
      </c>
      <c r="F66" s="65"/>
      <c r="G66" s="65"/>
      <c r="H66" s="65"/>
      <c r="I66" s="65">
        <v>75</v>
      </c>
      <c r="J66" s="66">
        <v>1250000</v>
      </c>
      <c r="K66" s="66">
        <v>937500</v>
      </c>
      <c r="L66" s="66">
        <v>312500</v>
      </c>
      <c r="M66" s="66">
        <v>84110</v>
      </c>
      <c r="N66" s="66">
        <v>843340</v>
      </c>
      <c r="O66" s="74">
        <v>322550</v>
      </c>
      <c r="P66" s="74"/>
      <c r="Q66" s="74"/>
      <c r="R66" s="74"/>
    </row>
    <row r="67" spans="1:18" s="58" customFormat="1" ht="38.25" x14ac:dyDescent="0.2">
      <c r="A67" s="71">
        <v>19</v>
      </c>
      <c r="B67" s="71">
        <v>19</v>
      </c>
      <c r="C67" s="71" t="s">
        <v>120</v>
      </c>
      <c r="D67" s="71" t="s">
        <v>121</v>
      </c>
      <c r="E67" s="71" t="s">
        <v>11</v>
      </c>
      <c r="F67" s="71" t="s">
        <v>28</v>
      </c>
      <c r="G67" s="71" t="s">
        <v>738</v>
      </c>
      <c r="H67" s="71" t="s">
        <v>18</v>
      </c>
      <c r="I67" s="71">
        <v>75</v>
      </c>
      <c r="J67" s="72">
        <v>450000</v>
      </c>
      <c r="K67" s="72">
        <f>0.75*J67</f>
        <v>337500</v>
      </c>
      <c r="L67" s="72">
        <f>+J67-K67</f>
        <v>112500</v>
      </c>
      <c r="M67" s="72">
        <v>34752.6</v>
      </c>
      <c r="N67" s="72">
        <v>135247.4</v>
      </c>
      <c r="O67" s="73">
        <v>70000</v>
      </c>
      <c r="P67" s="73">
        <v>70000</v>
      </c>
      <c r="Q67" s="73">
        <v>70000</v>
      </c>
      <c r="R67" s="73">
        <v>70000</v>
      </c>
    </row>
    <row r="68" spans="1:18" ht="25.5" x14ac:dyDescent="0.2">
      <c r="A68" s="65"/>
      <c r="B68" s="65">
        <v>19</v>
      </c>
      <c r="C68" s="65" t="s">
        <v>122</v>
      </c>
      <c r="D68" s="65" t="s">
        <v>123</v>
      </c>
      <c r="E68" s="65" t="s">
        <v>15</v>
      </c>
      <c r="F68" s="65"/>
      <c r="G68" s="65"/>
      <c r="H68" s="65"/>
      <c r="I68" s="65">
        <v>75</v>
      </c>
      <c r="J68" s="66">
        <v>170000</v>
      </c>
      <c r="K68" s="66">
        <v>127500</v>
      </c>
      <c r="L68" s="66">
        <v>42500</v>
      </c>
      <c r="M68" s="66">
        <v>34752.6</v>
      </c>
      <c r="N68" s="66">
        <v>135247.4</v>
      </c>
      <c r="O68" s="74"/>
      <c r="P68" s="74"/>
      <c r="Q68" s="74"/>
      <c r="R68" s="74"/>
    </row>
    <row r="69" spans="1:18" ht="38.25" x14ac:dyDescent="0.2">
      <c r="A69" s="63"/>
      <c r="B69" s="63"/>
      <c r="C69" s="63" t="s">
        <v>124</v>
      </c>
      <c r="D69" s="63" t="s">
        <v>125</v>
      </c>
      <c r="E69" s="63" t="s">
        <v>8</v>
      </c>
      <c r="F69" s="63"/>
      <c r="G69" s="63"/>
      <c r="H69" s="63"/>
      <c r="I69" s="63">
        <v>75</v>
      </c>
      <c r="J69" s="64">
        <f>+J70</f>
        <v>450000</v>
      </c>
      <c r="K69" s="64">
        <f t="shared" ref="K69:R69" si="14">+K70</f>
        <v>337500</v>
      </c>
      <c r="L69" s="64">
        <f t="shared" si="14"/>
        <v>112500</v>
      </c>
      <c r="M69" s="64">
        <f t="shared" si="14"/>
        <v>0</v>
      </c>
      <c r="N69" s="64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58" customFormat="1" ht="38.25" x14ac:dyDescent="0.2">
      <c r="A70" s="71">
        <v>20</v>
      </c>
      <c r="B70" s="71">
        <v>0</v>
      </c>
      <c r="C70" s="71" t="s">
        <v>126</v>
      </c>
      <c r="D70" s="71" t="s">
        <v>127</v>
      </c>
      <c r="E70" s="71" t="s">
        <v>11</v>
      </c>
      <c r="F70" s="71"/>
      <c r="G70" s="71" t="s">
        <v>738</v>
      </c>
      <c r="H70" s="71" t="s">
        <v>13</v>
      </c>
      <c r="I70" s="71">
        <v>75</v>
      </c>
      <c r="J70" s="72">
        <v>450000</v>
      </c>
      <c r="K70" s="72">
        <f>0.75*J70</f>
        <v>337500</v>
      </c>
      <c r="L70" s="72">
        <f>+J70-K70</f>
        <v>112500</v>
      </c>
      <c r="M70" s="72"/>
      <c r="N70" s="72">
        <v>0</v>
      </c>
      <c r="O70" s="73">
        <v>90000</v>
      </c>
      <c r="P70" s="73">
        <v>90000</v>
      </c>
      <c r="Q70" s="73">
        <v>90000</v>
      </c>
      <c r="R70" s="73">
        <v>180000</v>
      </c>
    </row>
    <row r="71" spans="1:18" ht="38.25" x14ac:dyDescent="0.2">
      <c r="A71" s="63"/>
      <c r="B71" s="63"/>
      <c r="C71" s="63" t="s">
        <v>128</v>
      </c>
      <c r="D71" s="63" t="s">
        <v>129</v>
      </c>
      <c r="E71" s="63" t="s">
        <v>8</v>
      </c>
      <c r="F71" s="63"/>
      <c r="G71" s="63"/>
      <c r="H71" s="63"/>
      <c r="I71" s="63">
        <v>75</v>
      </c>
      <c r="J71" s="64">
        <f>+J72+J74+J76+J78+J80</f>
        <v>2178500</v>
      </c>
      <c r="K71" s="64">
        <f t="shared" ref="K71:R71" si="15">+K72+K74+K76+K78+K80</f>
        <v>1633875</v>
      </c>
      <c r="L71" s="64">
        <f t="shared" si="15"/>
        <v>544625</v>
      </c>
      <c r="M71" s="64">
        <f t="shared" si="15"/>
        <v>170000</v>
      </c>
      <c r="N71" s="64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58" customFormat="1" ht="38.25" x14ac:dyDescent="0.2">
      <c r="A72" s="71">
        <v>21</v>
      </c>
      <c r="B72" s="71">
        <v>20</v>
      </c>
      <c r="C72" s="71" t="s">
        <v>130</v>
      </c>
      <c r="D72" s="71" t="s">
        <v>131</v>
      </c>
      <c r="E72" s="71" t="s">
        <v>11</v>
      </c>
      <c r="F72" s="71" t="s">
        <v>23</v>
      </c>
      <c r="G72" s="71" t="s">
        <v>738</v>
      </c>
      <c r="H72" s="71" t="s">
        <v>13</v>
      </c>
      <c r="I72" s="71">
        <v>75</v>
      </c>
      <c r="J72" s="72">
        <v>400000</v>
      </c>
      <c r="K72" s="72">
        <f>0.75*J72</f>
        <v>300000</v>
      </c>
      <c r="L72" s="72">
        <f>+J72-K72</f>
        <v>100000</v>
      </c>
      <c r="M72" s="72">
        <v>47000</v>
      </c>
      <c r="N72" s="72">
        <v>39225</v>
      </c>
      <c r="O72" s="73">
        <v>90000</v>
      </c>
      <c r="P72" s="73">
        <v>70000</v>
      </c>
      <c r="Q72" s="73">
        <v>70000</v>
      </c>
      <c r="R72" s="73">
        <v>83775</v>
      </c>
    </row>
    <row r="73" spans="1:18" ht="25.5" x14ac:dyDescent="0.2">
      <c r="A73" s="67"/>
      <c r="B73" s="67">
        <v>20</v>
      </c>
      <c r="C73" s="67" t="s">
        <v>132</v>
      </c>
      <c r="D73" s="67" t="s">
        <v>133</v>
      </c>
      <c r="E73" s="67" t="s">
        <v>15</v>
      </c>
      <c r="F73" s="67"/>
      <c r="G73" s="67"/>
      <c r="H73" s="67"/>
      <c r="I73" s="67">
        <v>75</v>
      </c>
      <c r="J73" s="68">
        <v>157210</v>
      </c>
      <c r="K73" s="68">
        <v>117907.5</v>
      </c>
      <c r="L73" s="68">
        <v>39302.5</v>
      </c>
      <c r="M73" s="68">
        <v>47000</v>
      </c>
      <c r="N73" s="68">
        <v>39224.76</v>
      </c>
      <c r="O73" s="74">
        <v>70985.239999999991</v>
      </c>
      <c r="P73" s="74"/>
      <c r="Q73" s="74"/>
      <c r="R73" s="74"/>
    </row>
    <row r="74" spans="1:18" s="58" customFormat="1" ht="38.25" x14ac:dyDescent="0.2">
      <c r="A74" s="71">
        <v>22</v>
      </c>
      <c r="B74" s="71">
        <v>21</v>
      </c>
      <c r="C74" s="71" t="s">
        <v>134</v>
      </c>
      <c r="D74" s="71" t="s">
        <v>135</v>
      </c>
      <c r="E74" s="71" t="s">
        <v>11</v>
      </c>
      <c r="F74" s="71" t="s">
        <v>28</v>
      </c>
      <c r="G74" s="71" t="s">
        <v>738</v>
      </c>
      <c r="H74" s="71" t="s">
        <v>18</v>
      </c>
      <c r="I74" s="71">
        <v>75</v>
      </c>
      <c r="J74" s="72">
        <v>895000</v>
      </c>
      <c r="K74" s="72">
        <f>0.75*J74</f>
        <v>671250</v>
      </c>
      <c r="L74" s="72">
        <f>+J74-K74</f>
        <v>223750</v>
      </c>
      <c r="M74" s="72">
        <v>120000</v>
      </c>
      <c r="N74" s="72">
        <v>175000</v>
      </c>
      <c r="O74" s="73">
        <v>150000</v>
      </c>
      <c r="P74" s="73">
        <v>150000</v>
      </c>
      <c r="Q74" s="73">
        <v>150000</v>
      </c>
      <c r="R74" s="73">
        <v>150000</v>
      </c>
    </row>
    <row r="75" spans="1:18" ht="25.5" x14ac:dyDescent="0.2">
      <c r="A75" s="67"/>
      <c r="B75" s="67">
        <v>21</v>
      </c>
      <c r="C75" s="67" t="s">
        <v>136</v>
      </c>
      <c r="D75" s="67" t="s">
        <v>135</v>
      </c>
      <c r="E75" s="67" t="s">
        <v>15</v>
      </c>
      <c r="F75" s="67"/>
      <c r="G75" s="67"/>
      <c r="H75" s="67"/>
      <c r="I75" s="67">
        <v>75</v>
      </c>
      <c r="J75" s="68">
        <v>355000</v>
      </c>
      <c r="K75" s="68">
        <v>266250</v>
      </c>
      <c r="L75" s="68">
        <v>88750</v>
      </c>
      <c r="M75" s="68">
        <v>120000</v>
      </c>
      <c r="N75" s="68">
        <v>175000</v>
      </c>
      <c r="O75" s="74">
        <v>60000</v>
      </c>
      <c r="P75" s="74"/>
      <c r="Q75" s="74"/>
      <c r="R75" s="74"/>
    </row>
    <row r="76" spans="1:18" s="58" customFormat="1" ht="38.25" x14ac:dyDescent="0.2">
      <c r="A76" s="71">
        <v>23</v>
      </c>
      <c r="B76" s="71">
        <v>22</v>
      </c>
      <c r="C76" s="71" t="s">
        <v>137</v>
      </c>
      <c r="D76" s="71" t="s">
        <v>138</v>
      </c>
      <c r="E76" s="71" t="s">
        <v>11</v>
      </c>
      <c r="F76" s="71" t="s">
        <v>23</v>
      </c>
      <c r="G76" s="71" t="s">
        <v>738</v>
      </c>
      <c r="H76" s="71" t="s">
        <v>18</v>
      </c>
      <c r="I76" s="71">
        <v>75</v>
      </c>
      <c r="J76" s="72">
        <v>33000</v>
      </c>
      <c r="K76" s="72">
        <f>0.75*J76</f>
        <v>24750</v>
      </c>
      <c r="L76" s="72">
        <f>+J76-K76</f>
        <v>8250</v>
      </c>
      <c r="M76" s="72">
        <v>3000</v>
      </c>
      <c r="N76" s="72">
        <v>6100</v>
      </c>
      <c r="O76" s="73">
        <v>5900</v>
      </c>
      <c r="P76" s="73">
        <v>6000</v>
      </c>
      <c r="Q76" s="73">
        <v>6000</v>
      </c>
      <c r="R76" s="73">
        <v>6000</v>
      </c>
    </row>
    <row r="77" spans="1:18" ht="38.25" x14ac:dyDescent="0.2">
      <c r="A77" s="67"/>
      <c r="B77" s="67">
        <v>22</v>
      </c>
      <c r="C77" s="67" t="s">
        <v>139</v>
      </c>
      <c r="D77" s="67" t="s">
        <v>138</v>
      </c>
      <c r="E77" s="67" t="s">
        <v>15</v>
      </c>
      <c r="F77" s="67"/>
      <c r="G77" s="67"/>
      <c r="H77" s="67"/>
      <c r="I77" s="67">
        <v>75</v>
      </c>
      <c r="J77" s="68">
        <v>15000</v>
      </c>
      <c r="K77" s="68">
        <v>11250</v>
      </c>
      <c r="L77" s="68">
        <v>3750</v>
      </c>
      <c r="M77" s="68">
        <v>3000</v>
      </c>
      <c r="N77" s="68">
        <v>6100</v>
      </c>
      <c r="O77" s="74">
        <v>5900</v>
      </c>
      <c r="P77" s="74"/>
      <c r="Q77" s="74"/>
      <c r="R77" s="74"/>
    </row>
    <row r="78" spans="1:18" s="58" customFormat="1" ht="38.25" x14ac:dyDescent="0.2">
      <c r="A78" s="71">
        <v>24</v>
      </c>
      <c r="B78" s="71">
        <v>23</v>
      </c>
      <c r="C78" s="71" t="s">
        <v>140</v>
      </c>
      <c r="D78" s="71" t="s">
        <v>141</v>
      </c>
      <c r="E78" s="71" t="s">
        <v>11</v>
      </c>
      <c r="F78" s="71" t="s">
        <v>36</v>
      </c>
      <c r="G78" s="71" t="s">
        <v>738</v>
      </c>
      <c r="H78" s="71" t="s">
        <v>13</v>
      </c>
      <c r="I78" s="71">
        <v>75</v>
      </c>
      <c r="J78" s="72">
        <v>850500</v>
      </c>
      <c r="K78" s="72">
        <f>0.75*J78</f>
        <v>637875</v>
      </c>
      <c r="L78" s="72">
        <f>+J78-K78</f>
        <v>212625</v>
      </c>
      <c r="M78" s="72"/>
      <c r="N78" s="72">
        <v>100000</v>
      </c>
      <c r="O78" s="73">
        <v>250000</v>
      </c>
      <c r="P78" s="73">
        <v>177189.35</v>
      </c>
      <c r="Q78" s="73">
        <v>163000</v>
      </c>
      <c r="R78" s="73">
        <v>160310.65</v>
      </c>
    </row>
    <row r="79" spans="1:18" ht="38.25" x14ac:dyDescent="0.2">
      <c r="A79" s="67"/>
      <c r="B79" s="67">
        <v>23</v>
      </c>
      <c r="C79" s="67" t="s">
        <v>142</v>
      </c>
      <c r="D79" s="67" t="s">
        <v>141</v>
      </c>
      <c r="E79" s="67" t="s">
        <v>15</v>
      </c>
      <c r="F79" s="67"/>
      <c r="G79" s="67"/>
      <c r="H79" s="67"/>
      <c r="I79" s="67">
        <v>75</v>
      </c>
      <c r="J79" s="68">
        <v>487189.35</v>
      </c>
      <c r="K79" s="68">
        <v>365392.01</v>
      </c>
      <c r="L79" s="68">
        <v>121797.34</v>
      </c>
      <c r="M79" s="68"/>
      <c r="N79" s="68">
        <v>100000</v>
      </c>
      <c r="O79" s="74">
        <v>250000</v>
      </c>
      <c r="P79" s="74">
        <v>137189.34999999998</v>
      </c>
      <c r="Q79" s="74"/>
      <c r="R79" s="74"/>
    </row>
    <row r="80" spans="1:18" s="58" customFormat="1" ht="25.5" x14ac:dyDescent="0.2">
      <c r="A80" s="71">
        <v>25</v>
      </c>
      <c r="B80" s="71">
        <v>0</v>
      </c>
      <c r="C80" s="71" t="s">
        <v>143</v>
      </c>
      <c r="D80" s="71" t="s">
        <v>144</v>
      </c>
      <c r="E80" s="71" t="s">
        <v>11</v>
      </c>
      <c r="F80" s="71"/>
      <c r="G80" s="71" t="s">
        <v>738</v>
      </c>
      <c r="H80" s="71" t="s">
        <v>13</v>
      </c>
      <c r="I80" s="71">
        <v>75</v>
      </c>
      <c r="J80" s="72">
        <v>0</v>
      </c>
      <c r="K80" s="72">
        <v>0</v>
      </c>
      <c r="L80" s="72">
        <v>0</v>
      </c>
      <c r="M80" s="72"/>
      <c r="N80" s="72">
        <v>0</v>
      </c>
      <c r="O80" s="66">
        <v>0</v>
      </c>
      <c r="P80" s="66">
        <v>0</v>
      </c>
      <c r="Q80" s="66">
        <v>0</v>
      </c>
      <c r="R80" s="66"/>
    </row>
    <row r="81" spans="1:18" ht="38.25" x14ac:dyDescent="0.2">
      <c r="A81" s="63"/>
      <c r="B81" s="63"/>
      <c r="C81" s="63" t="s">
        <v>145</v>
      </c>
      <c r="D81" s="63" t="s">
        <v>146</v>
      </c>
      <c r="E81" s="63" t="s">
        <v>8</v>
      </c>
      <c r="F81" s="63"/>
      <c r="G81" s="63"/>
      <c r="H81" s="63"/>
      <c r="I81" s="63"/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63"/>
      <c r="B82" s="63"/>
      <c r="C82" s="63" t="s">
        <v>147</v>
      </c>
      <c r="D82" s="63" t="s">
        <v>148</v>
      </c>
      <c r="E82" s="63" t="s">
        <v>8</v>
      </c>
      <c r="F82" s="63"/>
      <c r="G82" s="63"/>
      <c r="H82" s="63"/>
      <c r="I82" s="63">
        <v>75</v>
      </c>
      <c r="J82" s="64">
        <f>+J83+J85</f>
        <v>82837.649999999994</v>
      </c>
      <c r="K82" s="64">
        <f t="shared" ref="K82:R82" si="16">+K83+K85</f>
        <v>62128.237499999996</v>
      </c>
      <c r="L82" s="64">
        <f t="shared" si="16"/>
        <v>20709.412499999999</v>
      </c>
      <c r="M82" s="64">
        <f t="shared" si="16"/>
        <v>26740.6</v>
      </c>
      <c r="N82" s="64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58" customFormat="1" ht="38.25" x14ac:dyDescent="0.2">
      <c r="A83" s="71">
        <v>26</v>
      </c>
      <c r="B83" s="71">
        <v>24</v>
      </c>
      <c r="C83" s="71" t="s">
        <v>149</v>
      </c>
      <c r="D83" s="71" t="s">
        <v>150</v>
      </c>
      <c r="E83" s="71" t="s">
        <v>11</v>
      </c>
      <c r="F83" s="71" t="s">
        <v>23</v>
      </c>
      <c r="G83" s="71" t="s">
        <v>738</v>
      </c>
      <c r="H83" s="71" t="s">
        <v>13</v>
      </c>
      <c r="I83" s="71">
        <v>75</v>
      </c>
      <c r="J83" s="72">
        <v>82837.649999999994</v>
      </c>
      <c r="K83" s="72">
        <f>0.75*J83</f>
        <v>62128.237499999996</v>
      </c>
      <c r="L83" s="72">
        <f>+J83-K83</f>
        <v>20709.412499999999</v>
      </c>
      <c r="M83" s="72">
        <v>26740.6</v>
      </c>
      <c r="N83" s="72">
        <v>56097.05</v>
      </c>
      <c r="O83" s="73"/>
      <c r="P83" s="73">
        <v>0</v>
      </c>
      <c r="Q83" s="73"/>
      <c r="R83" s="73">
        <v>0</v>
      </c>
    </row>
    <row r="84" spans="1:18" ht="25.5" x14ac:dyDescent="0.2">
      <c r="A84" s="65"/>
      <c r="B84" s="65">
        <v>24</v>
      </c>
      <c r="C84" s="65" t="s">
        <v>151</v>
      </c>
      <c r="D84" s="65" t="s">
        <v>150</v>
      </c>
      <c r="E84" s="65" t="s">
        <v>15</v>
      </c>
      <c r="F84" s="65"/>
      <c r="G84" s="65"/>
      <c r="H84" s="65"/>
      <c r="I84" s="65">
        <v>75</v>
      </c>
      <c r="J84" s="66">
        <v>82837.649999999994</v>
      </c>
      <c r="K84" s="66">
        <v>62128.23</v>
      </c>
      <c r="L84" s="66">
        <v>20709.419999999991</v>
      </c>
      <c r="M84" s="66">
        <v>26740.6</v>
      </c>
      <c r="N84" s="66">
        <v>56097.05</v>
      </c>
      <c r="O84" s="74"/>
      <c r="P84" s="74"/>
      <c r="Q84" s="74"/>
      <c r="R84" s="74"/>
    </row>
    <row r="85" spans="1:18" s="58" customFormat="1" ht="25.5" x14ac:dyDescent="0.2">
      <c r="A85" s="71">
        <v>27</v>
      </c>
      <c r="B85" s="71">
        <v>0</v>
      </c>
      <c r="C85" s="71" t="s">
        <v>152</v>
      </c>
      <c r="D85" s="71" t="s">
        <v>153</v>
      </c>
      <c r="E85" s="71" t="s">
        <v>11</v>
      </c>
      <c r="F85" s="71"/>
      <c r="G85" s="71" t="s">
        <v>738</v>
      </c>
      <c r="H85" s="71" t="s">
        <v>13</v>
      </c>
      <c r="I85" s="71">
        <v>75</v>
      </c>
      <c r="J85" s="72">
        <v>0</v>
      </c>
      <c r="K85" s="72">
        <v>0</v>
      </c>
      <c r="L85" s="72">
        <v>0</v>
      </c>
      <c r="M85" s="72"/>
      <c r="N85" s="72"/>
      <c r="O85" s="73"/>
      <c r="P85" s="73">
        <v>0</v>
      </c>
      <c r="Q85" s="73"/>
      <c r="R85" s="73">
        <v>0</v>
      </c>
    </row>
    <row r="86" spans="1:18" ht="38.25" x14ac:dyDescent="0.2">
      <c r="A86" s="63"/>
      <c r="B86" s="63"/>
      <c r="C86" s="63" t="s">
        <v>154</v>
      </c>
      <c r="D86" s="63" t="s">
        <v>155</v>
      </c>
      <c r="E86" s="63" t="s">
        <v>8</v>
      </c>
      <c r="F86" s="63"/>
      <c r="G86" s="63"/>
      <c r="H86" s="63"/>
      <c r="I86" s="63">
        <v>75</v>
      </c>
      <c r="J86" s="64">
        <f>+J87</f>
        <v>0</v>
      </c>
      <c r="K86" s="64">
        <v>0</v>
      </c>
      <c r="L86" s="64">
        <v>0</v>
      </c>
      <c r="M86" s="64">
        <v>0</v>
      </c>
      <c r="N86" s="64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58" customFormat="1" ht="38.25" x14ac:dyDescent="0.2">
      <c r="A87" s="71">
        <v>28</v>
      </c>
      <c r="B87" s="71">
        <v>0</v>
      </c>
      <c r="C87" s="71" t="s">
        <v>156</v>
      </c>
      <c r="D87" s="71" t="s">
        <v>157</v>
      </c>
      <c r="E87" s="71" t="s">
        <v>11</v>
      </c>
      <c r="F87" s="71"/>
      <c r="G87" s="71" t="s">
        <v>738</v>
      </c>
      <c r="H87" s="71" t="s">
        <v>18</v>
      </c>
      <c r="I87" s="71">
        <v>75</v>
      </c>
      <c r="J87" s="72">
        <v>0</v>
      </c>
      <c r="K87" s="72">
        <v>0</v>
      </c>
      <c r="L87" s="72">
        <v>0</v>
      </c>
      <c r="M87" s="72"/>
      <c r="N87" s="72"/>
      <c r="O87" s="73"/>
      <c r="P87" s="73"/>
      <c r="Q87" s="73"/>
      <c r="R87" s="73"/>
    </row>
    <row r="88" spans="1:18" ht="26.25" customHeight="1" x14ac:dyDescent="0.2">
      <c r="A88" s="69"/>
      <c r="B88" s="69"/>
      <c r="C88" s="69" t="s">
        <v>158</v>
      </c>
      <c r="D88" s="69" t="s">
        <v>159</v>
      </c>
      <c r="E88" s="69" t="s">
        <v>5</v>
      </c>
      <c r="F88" s="69"/>
      <c r="G88" s="69"/>
      <c r="H88" s="69"/>
      <c r="I88" s="69">
        <v>75</v>
      </c>
      <c r="J88" s="70">
        <v>551064</v>
      </c>
      <c r="K88" s="70">
        <v>413298</v>
      </c>
      <c r="L88" s="70">
        <v>137766</v>
      </c>
      <c r="M88" s="70"/>
      <c r="N88" s="70"/>
      <c r="O88" s="26"/>
      <c r="P88" s="26"/>
      <c r="Q88" s="26"/>
      <c r="R88" s="26"/>
    </row>
    <row r="89" spans="1:18" x14ac:dyDescent="0.2">
      <c r="A89" s="63"/>
      <c r="B89" s="63"/>
      <c r="C89" s="63" t="s">
        <v>158</v>
      </c>
      <c r="D89" s="63" t="s">
        <v>159</v>
      </c>
      <c r="E89" s="63" t="s">
        <v>5</v>
      </c>
      <c r="F89" s="63"/>
      <c r="G89" s="63"/>
      <c r="H89" s="63"/>
      <c r="I89" s="63">
        <v>75</v>
      </c>
      <c r="J89" s="64">
        <f>+J90+J92+J94+J99</f>
        <v>340000</v>
      </c>
      <c r="K89" s="64">
        <f t="shared" ref="K89:R89" si="17">+K90+K92+K94+K99</f>
        <v>255000</v>
      </c>
      <c r="L89" s="64">
        <f t="shared" si="17"/>
        <v>85000</v>
      </c>
      <c r="M89" s="64">
        <f t="shared" si="17"/>
        <v>0</v>
      </c>
      <c r="N89" s="64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63"/>
      <c r="B90" s="63"/>
      <c r="C90" s="63" t="s">
        <v>160</v>
      </c>
      <c r="D90" s="63" t="s">
        <v>161</v>
      </c>
      <c r="E90" s="63" t="s">
        <v>8</v>
      </c>
      <c r="F90" s="63"/>
      <c r="G90" s="63"/>
      <c r="H90" s="63"/>
      <c r="I90" s="63">
        <v>75</v>
      </c>
      <c r="J90" s="64">
        <f>+J91</f>
        <v>0</v>
      </c>
      <c r="K90" s="64">
        <f t="shared" ref="K90:R90" si="18">+K91</f>
        <v>0</v>
      </c>
      <c r="L90" s="64">
        <f t="shared" si="18"/>
        <v>0</v>
      </c>
      <c r="M90" s="64">
        <f t="shared" si="18"/>
        <v>0</v>
      </c>
      <c r="N90" s="64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58" customFormat="1" ht="38.25" x14ac:dyDescent="0.2">
      <c r="A91" s="71">
        <v>29</v>
      </c>
      <c r="B91" s="71">
        <v>0</v>
      </c>
      <c r="C91" s="71" t="s">
        <v>162</v>
      </c>
      <c r="D91" s="71" t="s">
        <v>163</v>
      </c>
      <c r="E91" s="71" t="s">
        <v>11</v>
      </c>
      <c r="F91" s="71"/>
      <c r="G91" s="71" t="s">
        <v>738</v>
      </c>
      <c r="H91" s="71" t="s">
        <v>18</v>
      </c>
      <c r="I91" s="71">
        <v>75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3">
        <v>0</v>
      </c>
      <c r="P91" s="73">
        <v>0</v>
      </c>
      <c r="Q91" s="73">
        <v>0</v>
      </c>
      <c r="R91" s="73">
        <v>0</v>
      </c>
    </row>
    <row r="92" spans="1:18" ht="38.25" x14ac:dyDescent="0.2">
      <c r="A92" s="63"/>
      <c r="B92" s="63"/>
      <c r="C92" s="63" t="s">
        <v>164</v>
      </c>
      <c r="D92" s="63" t="s">
        <v>165</v>
      </c>
      <c r="E92" s="63" t="s">
        <v>8</v>
      </c>
      <c r="F92" s="63"/>
      <c r="G92" s="63"/>
      <c r="H92" s="63"/>
      <c r="I92" s="63"/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58" customFormat="1" ht="51" x14ac:dyDescent="0.2">
      <c r="A93" s="71">
        <v>30</v>
      </c>
      <c r="B93" s="71">
        <v>0</v>
      </c>
      <c r="C93" s="71" t="s">
        <v>166</v>
      </c>
      <c r="D93" s="71" t="s">
        <v>167</v>
      </c>
      <c r="E93" s="71" t="s">
        <v>11</v>
      </c>
      <c r="F93" s="71"/>
      <c r="G93" s="71" t="s">
        <v>738</v>
      </c>
      <c r="H93" s="71" t="s">
        <v>13</v>
      </c>
      <c r="I93" s="71"/>
      <c r="J93" s="72">
        <v>0</v>
      </c>
      <c r="K93" s="72">
        <v>0</v>
      </c>
      <c r="L93" s="72">
        <v>0</v>
      </c>
      <c r="M93" s="72"/>
      <c r="N93" s="72"/>
      <c r="O93" s="73"/>
      <c r="P93" s="73"/>
      <c r="Q93" s="73"/>
      <c r="R93" s="73"/>
    </row>
    <row r="94" spans="1:18" ht="38.25" x14ac:dyDescent="0.2">
      <c r="A94" s="63"/>
      <c r="B94" s="63"/>
      <c r="C94" s="63" t="s">
        <v>168</v>
      </c>
      <c r="D94" s="63" t="s">
        <v>169</v>
      </c>
      <c r="E94" s="63" t="s">
        <v>8</v>
      </c>
      <c r="F94" s="63"/>
      <c r="G94" s="63"/>
      <c r="H94" s="63"/>
      <c r="I94" s="63">
        <v>75</v>
      </c>
      <c r="J94" s="64">
        <f>+J95+J97</f>
        <v>190000</v>
      </c>
      <c r="K94" s="64">
        <f t="shared" ref="K94:R94" si="19">+K95+K97</f>
        <v>142500</v>
      </c>
      <c r="L94" s="64">
        <f t="shared" si="19"/>
        <v>47500</v>
      </c>
      <c r="M94" s="64">
        <f t="shared" si="19"/>
        <v>0</v>
      </c>
      <c r="N94" s="64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58" customFormat="1" ht="38.25" x14ac:dyDescent="0.2">
      <c r="A95" s="71">
        <v>31</v>
      </c>
      <c r="B95" s="71">
        <v>25</v>
      </c>
      <c r="C95" s="71" t="s">
        <v>170</v>
      </c>
      <c r="D95" s="71" t="s">
        <v>171</v>
      </c>
      <c r="E95" s="71" t="s">
        <v>11</v>
      </c>
      <c r="F95" s="71" t="s">
        <v>36</v>
      </c>
      <c r="G95" s="71" t="s">
        <v>738</v>
      </c>
      <c r="H95" s="71" t="s">
        <v>18</v>
      </c>
      <c r="I95" s="71">
        <v>75</v>
      </c>
      <c r="J95" s="72">
        <v>90760.33</v>
      </c>
      <c r="K95" s="72">
        <f>0.75*J95</f>
        <v>68070.247499999998</v>
      </c>
      <c r="L95" s="72">
        <f>+J95-K95</f>
        <v>22690.082500000004</v>
      </c>
      <c r="M95" s="72"/>
      <c r="N95" s="72">
        <v>10603</v>
      </c>
      <c r="O95" s="73">
        <v>19397</v>
      </c>
      <c r="P95" s="73">
        <v>20000</v>
      </c>
      <c r="Q95" s="73">
        <v>20760.330000000002</v>
      </c>
      <c r="R95" s="73">
        <v>20000</v>
      </c>
    </row>
    <row r="96" spans="1:18" ht="63.75" x14ac:dyDescent="0.2">
      <c r="A96" s="65"/>
      <c r="B96" s="65">
        <v>25</v>
      </c>
      <c r="C96" s="65" t="s">
        <v>172</v>
      </c>
      <c r="D96" s="65" t="s">
        <v>173</v>
      </c>
      <c r="E96" s="65" t="s">
        <v>15</v>
      </c>
      <c r="F96" s="65"/>
      <c r="G96" s="65"/>
      <c r="H96" s="65"/>
      <c r="I96" s="65">
        <v>75</v>
      </c>
      <c r="J96" s="66">
        <v>30000</v>
      </c>
      <c r="K96" s="66">
        <v>22500</v>
      </c>
      <c r="L96" s="66">
        <v>7500</v>
      </c>
      <c r="M96" s="66"/>
      <c r="N96" s="66">
        <v>10603</v>
      </c>
      <c r="O96" s="74">
        <v>19397</v>
      </c>
      <c r="P96" s="74"/>
      <c r="Q96" s="74"/>
      <c r="R96" s="74"/>
    </row>
    <row r="97" spans="1:18" s="58" customFormat="1" ht="38.25" x14ac:dyDescent="0.2">
      <c r="A97" s="71">
        <v>32</v>
      </c>
      <c r="B97" s="71">
        <v>26</v>
      </c>
      <c r="C97" s="71" t="s">
        <v>174</v>
      </c>
      <c r="D97" s="71" t="s">
        <v>175</v>
      </c>
      <c r="E97" s="71" t="s">
        <v>11</v>
      </c>
      <c r="F97" s="71" t="s">
        <v>28</v>
      </c>
      <c r="G97" s="71" t="s">
        <v>738</v>
      </c>
      <c r="H97" s="71" t="s">
        <v>13</v>
      </c>
      <c r="I97" s="71">
        <v>75</v>
      </c>
      <c r="J97" s="72">
        <f>+J98</f>
        <v>99239.67</v>
      </c>
      <c r="K97" s="72">
        <f>0.75*J97</f>
        <v>74429.752500000002</v>
      </c>
      <c r="L97" s="72">
        <f>+J97-K97</f>
        <v>24809.917499999996</v>
      </c>
      <c r="M97" s="72">
        <f>+M98</f>
        <v>0</v>
      </c>
      <c r="N97" s="72">
        <f>+N98</f>
        <v>14885.95</v>
      </c>
      <c r="O97" s="73">
        <f>+O98</f>
        <v>59157</v>
      </c>
      <c r="P97" s="73">
        <f>+P98</f>
        <v>25196.720000000001</v>
      </c>
      <c r="Q97" s="73"/>
      <c r="R97" s="73"/>
    </row>
    <row r="98" spans="1:18" ht="38.25" x14ac:dyDescent="0.2">
      <c r="A98" s="65"/>
      <c r="B98" s="65">
        <v>26</v>
      </c>
      <c r="C98" s="65" t="s">
        <v>176</v>
      </c>
      <c r="D98" s="65" t="s">
        <v>175</v>
      </c>
      <c r="E98" s="65" t="s">
        <v>15</v>
      </c>
      <c r="F98" s="65"/>
      <c r="G98" s="65"/>
      <c r="H98" s="65"/>
      <c r="I98" s="65">
        <v>75</v>
      </c>
      <c r="J98" s="66">
        <v>99239.67</v>
      </c>
      <c r="K98" s="66">
        <v>74429.75</v>
      </c>
      <c r="L98" s="66">
        <v>24809.919999999998</v>
      </c>
      <c r="M98" s="66"/>
      <c r="N98" s="66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63"/>
      <c r="B99" s="63"/>
      <c r="C99" s="63" t="s">
        <v>177</v>
      </c>
      <c r="D99" s="63" t="s">
        <v>178</v>
      </c>
      <c r="E99" s="63" t="s">
        <v>8</v>
      </c>
      <c r="F99" s="63"/>
      <c r="G99" s="63"/>
      <c r="H99" s="63"/>
      <c r="I99" s="63">
        <v>75</v>
      </c>
      <c r="J99" s="64">
        <f>+J100</f>
        <v>150000</v>
      </c>
      <c r="K99" s="64">
        <f t="shared" ref="K99:R99" si="20">+K100</f>
        <v>112500</v>
      </c>
      <c r="L99" s="64">
        <f t="shared" si="20"/>
        <v>37500</v>
      </c>
      <c r="M99" s="64">
        <f t="shared" si="20"/>
        <v>0</v>
      </c>
      <c r="N99" s="64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58" customFormat="1" ht="38.25" x14ac:dyDescent="0.2">
      <c r="A100" s="71">
        <v>33</v>
      </c>
      <c r="B100" s="71">
        <v>27</v>
      </c>
      <c r="C100" s="71" t="s">
        <v>179</v>
      </c>
      <c r="D100" s="71" t="s">
        <v>180</v>
      </c>
      <c r="E100" s="71" t="s">
        <v>11</v>
      </c>
      <c r="F100" s="71" t="s">
        <v>12</v>
      </c>
      <c r="G100" s="71" t="s">
        <v>738</v>
      </c>
      <c r="H100" s="71" t="s">
        <v>18</v>
      </c>
      <c r="I100" s="71">
        <v>75</v>
      </c>
      <c r="J100" s="72">
        <v>150000</v>
      </c>
      <c r="K100" s="72">
        <f>0.75*J100</f>
        <v>112500</v>
      </c>
      <c r="L100" s="72">
        <f>+J100-K100</f>
        <v>37500</v>
      </c>
      <c r="M100" s="72"/>
      <c r="N100" s="72">
        <v>0</v>
      </c>
      <c r="O100" s="73">
        <v>150000</v>
      </c>
      <c r="P100" s="73"/>
      <c r="Q100" s="73"/>
      <c r="R100" s="73"/>
    </row>
    <row r="101" spans="1:18" ht="38.25" x14ac:dyDescent="0.2">
      <c r="A101" s="67"/>
      <c r="B101" s="67">
        <v>27</v>
      </c>
      <c r="C101" s="67" t="s">
        <v>181</v>
      </c>
      <c r="D101" s="67" t="s">
        <v>182</v>
      </c>
      <c r="E101" s="67" t="s">
        <v>15</v>
      </c>
      <c r="F101" s="67"/>
      <c r="G101" s="67"/>
      <c r="H101" s="67"/>
      <c r="I101" s="67">
        <v>75</v>
      </c>
      <c r="J101" s="68">
        <v>150000</v>
      </c>
      <c r="K101" s="68">
        <v>112500</v>
      </c>
      <c r="L101" s="68">
        <v>37500</v>
      </c>
      <c r="M101" s="68"/>
      <c r="N101" s="68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709</v>
      </c>
      <c r="B1" s="8" t="s">
        <v>710</v>
      </c>
      <c r="C1" s="8" t="s">
        <v>711</v>
      </c>
      <c r="D1" s="9" t="s">
        <v>712</v>
      </c>
      <c r="E1" s="9" t="s">
        <v>713</v>
      </c>
      <c r="F1" s="9" t="s">
        <v>714</v>
      </c>
      <c r="G1" s="9" t="s">
        <v>715</v>
      </c>
      <c r="H1" s="9" t="s">
        <v>716</v>
      </c>
      <c r="I1" s="9" t="s">
        <v>717</v>
      </c>
      <c r="J1" s="9" t="s">
        <v>718</v>
      </c>
      <c r="K1" s="9" t="s">
        <v>719</v>
      </c>
      <c r="L1" s="9" t="s">
        <v>720</v>
      </c>
      <c r="M1" s="9" t="s">
        <v>721</v>
      </c>
      <c r="N1" s="9" t="s">
        <v>722</v>
      </c>
      <c r="O1" s="9" t="s">
        <v>723</v>
      </c>
      <c r="P1" s="9" t="s">
        <v>724</v>
      </c>
      <c r="Q1" s="9" t="s">
        <v>725</v>
      </c>
      <c r="R1" s="9" t="s">
        <v>726</v>
      </c>
      <c r="S1" s="5" t="s">
        <v>727</v>
      </c>
      <c r="T1" s="5" t="s">
        <v>728</v>
      </c>
      <c r="U1" s="5" t="s">
        <v>729</v>
      </c>
      <c r="V1" s="5" t="s">
        <v>730</v>
      </c>
      <c r="W1" s="5" t="s">
        <v>731</v>
      </c>
      <c r="X1" s="5" t="s">
        <v>732</v>
      </c>
      <c r="Y1" s="5" t="s">
        <v>733</v>
      </c>
      <c r="Z1" s="5" t="s">
        <v>734</v>
      </c>
      <c r="AA1" s="5" t="s">
        <v>735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742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192</v>
      </c>
      <c r="D8" s="9" t="s">
        <v>193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9"/>
      <c r="B9" s="19"/>
      <c r="C9" s="19" t="s">
        <v>194</v>
      </c>
      <c r="D9" s="19" t="s">
        <v>195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196</v>
      </c>
      <c r="D10" s="10" t="s">
        <v>197</v>
      </c>
      <c r="E10" s="10" t="s">
        <v>11</v>
      </c>
      <c r="F10" s="10" t="s">
        <v>191</v>
      </c>
      <c r="G10" s="10" t="s">
        <v>743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198</v>
      </c>
      <c r="D11" s="15" t="s">
        <v>197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9"/>
      <c r="B12" s="19"/>
      <c r="C12" s="19" t="s">
        <v>199</v>
      </c>
      <c r="D12" s="19" t="s">
        <v>200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201</v>
      </c>
      <c r="D13" s="10" t="s">
        <v>202</v>
      </c>
      <c r="E13" s="10" t="s">
        <v>11</v>
      </c>
      <c r="F13" s="10" t="s">
        <v>191</v>
      </c>
      <c r="G13" s="10" t="s">
        <v>743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203</v>
      </c>
      <c r="D14" s="9" t="s">
        <v>202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204</v>
      </c>
      <c r="D15" s="10" t="s">
        <v>205</v>
      </c>
      <c r="E15" s="10" t="s">
        <v>11</v>
      </c>
      <c r="F15" s="10" t="s">
        <v>191</v>
      </c>
      <c r="G15" s="10" t="s">
        <v>743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206</v>
      </c>
      <c r="D16" s="9" t="s">
        <v>207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208</v>
      </c>
      <c r="D17" s="10" t="s">
        <v>209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744</v>
      </c>
      <c r="D18" s="15" t="s">
        <v>209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210</v>
      </c>
      <c r="D19" s="19" t="s">
        <v>211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213</v>
      </c>
      <c r="D20" s="10" t="s">
        <v>214</v>
      </c>
      <c r="E20" s="10" t="s">
        <v>11</v>
      </c>
      <c r="F20" s="10" t="s">
        <v>191</v>
      </c>
      <c r="G20" s="10" t="s">
        <v>743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215</v>
      </c>
      <c r="D21" s="9" t="s">
        <v>212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216</v>
      </c>
      <c r="D22" s="19" t="s">
        <v>217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218</v>
      </c>
      <c r="D23" s="10" t="s">
        <v>219</v>
      </c>
      <c r="E23" s="10" t="s">
        <v>11</v>
      </c>
      <c r="F23" s="10" t="s">
        <v>191</v>
      </c>
      <c r="G23" s="10" t="s">
        <v>743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220</v>
      </c>
      <c r="D24" s="19" t="s">
        <v>221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222</v>
      </c>
      <c r="D25" s="10" t="s">
        <v>221</v>
      </c>
      <c r="E25" s="10" t="s">
        <v>11</v>
      </c>
      <c r="F25" s="10" t="s">
        <v>191</v>
      </c>
      <c r="G25" s="10" t="s">
        <v>743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223</v>
      </c>
      <c r="D26" s="15" t="s">
        <v>221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224</v>
      </c>
      <c r="D27" s="25" t="s">
        <v>225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224</v>
      </c>
      <c r="D28" s="19" t="s">
        <v>225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226</v>
      </c>
      <c r="D29" s="19" t="s">
        <v>227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228</v>
      </c>
      <c r="D30" s="10" t="s">
        <v>229</v>
      </c>
      <c r="E30" s="10" t="s">
        <v>11</v>
      </c>
      <c r="F30" s="10" t="s">
        <v>191</v>
      </c>
      <c r="G30" s="10" t="s">
        <v>743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230</v>
      </c>
      <c r="D31" s="15" t="s">
        <v>231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232</v>
      </c>
      <c r="D32" s="9" t="s">
        <v>229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9"/>
      <c r="B33" s="19"/>
      <c r="C33" s="19" t="s">
        <v>233</v>
      </c>
      <c r="D33" s="19" t="s">
        <v>234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235</v>
      </c>
      <c r="D34" s="10" t="s">
        <v>236</v>
      </c>
      <c r="E34" s="10" t="s">
        <v>11</v>
      </c>
      <c r="F34" s="10" t="s">
        <v>191</v>
      </c>
      <c r="G34" s="10" t="s">
        <v>743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237</v>
      </c>
      <c r="D35" s="23" t="s">
        <v>236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238</v>
      </c>
      <c r="D36" s="19" t="s">
        <v>239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241</v>
      </c>
      <c r="D37" s="10" t="s">
        <v>242</v>
      </c>
      <c r="E37" s="10" t="s">
        <v>11</v>
      </c>
      <c r="F37" s="10" t="s">
        <v>191</v>
      </c>
      <c r="G37" s="10" t="s">
        <v>743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243</v>
      </c>
      <c r="D38" s="9" t="s">
        <v>240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244</v>
      </c>
      <c r="D39" s="19" t="s">
        <v>245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246</v>
      </c>
      <c r="D40" s="25" t="s">
        <v>247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246</v>
      </c>
      <c r="D41" s="19" t="s">
        <v>247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248</v>
      </c>
      <c r="D42" s="19" t="s">
        <v>249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250</v>
      </c>
      <c r="D43" s="10" t="s">
        <v>251</v>
      </c>
      <c r="E43" s="10" t="s">
        <v>11</v>
      </c>
      <c r="F43" s="10" t="s">
        <v>191</v>
      </c>
      <c r="G43" s="10" t="s">
        <v>743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252</v>
      </c>
      <c r="D44" s="19" t="s">
        <v>253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254</v>
      </c>
      <c r="D45" s="12" t="s">
        <v>255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tabSelected="1" zoomScale="85" zoomScaleNormal="85" workbookViewId="0">
      <pane xSplit="2" ySplit="3" topLeftCell="D55" activePane="bottomRight" state="frozen"/>
      <selection pane="topRight" activeCell="C1" sqref="C1"/>
      <selection pane="bottomLeft" activeCell="A4" sqref="A4"/>
      <selection pane="bottomRight" activeCell="J63" sqref="J63"/>
    </sheetView>
  </sheetViews>
  <sheetFormatPr defaultColWidth="9.140625" defaultRowHeight="12.75" x14ac:dyDescent="0.2"/>
  <cols>
    <col min="1" max="1" width="12.42578125" style="90" customWidth="1"/>
    <col min="2" max="2" width="13.5703125" style="90" customWidth="1"/>
    <col min="3" max="3" width="20.42578125" style="90" customWidth="1"/>
    <col min="4" max="4" width="12.42578125" style="90" customWidth="1"/>
    <col min="5" max="5" width="14.140625" style="90" customWidth="1"/>
    <col min="6" max="6" width="9.42578125" style="90" customWidth="1"/>
    <col min="7" max="7" width="12.7109375" style="90" customWidth="1"/>
    <col min="8" max="8" width="12.42578125" style="90" customWidth="1"/>
    <col min="9" max="9" width="12.140625" style="90" bestFit="1" customWidth="1"/>
    <col min="10" max="10" width="11.5703125" style="90" bestFit="1" customWidth="1"/>
    <col min="11" max="11" width="11.7109375" style="90" customWidth="1"/>
    <col min="12" max="12" width="11.7109375" style="90" bestFit="1" customWidth="1"/>
    <col min="13" max="13" width="11.7109375" style="93" bestFit="1" customWidth="1"/>
    <col min="14" max="14" width="12.7109375" style="90" bestFit="1" customWidth="1"/>
    <col min="15" max="15" width="12.85546875" style="90" customWidth="1"/>
    <col min="16" max="16" width="12.7109375" style="90" bestFit="1" customWidth="1"/>
    <col min="17" max="17" width="12.7109375" style="91" hidden="1" customWidth="1"/>
    <col min="18" max="18" width="15.42578125" style="91" hidden="1" customWidth="1"/>
    <col min="19" max="19" width="15.85546875" style="91" hidden="1" customWidth="1"/>
    <col min="20" max="20" width="12.7109375" style="91" bestFit="1" customWidth="1"/>
    <col min="21" max="21" width="0.7109375" style="91" customWidth="1"/>
    <col min="22" max="22" width="13.140625" style="91" bestFit="1" customWidth="1"/>
    <col min="23" max="16384" width="9.140625" style="91"/>
  </cols>
  <sheetData>
    <row r="1" spans="1:21" s="94" customFormat="1" ht="12" x14ac:dyDescent="0.2">
      <c r="A1" s="95" t="s">
        <v>812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129"/>
      <c r="U1" s="135">
        <f>+U3-H4</f>
        <v>-40.000000007450581</v>
      </c>
    </row>
    <row r="2" spans="1:2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31"/>
      <c r="R2" s="129">
        <v>47181139.189999998</v>
      </c>
      <c r="S2" s="122">
        <f>+P2+R2-635040</f>
        <v>46546099.189999998</v>
      </c>
    </row>
    <row r="3" spans="1:21" ht="24" x14ac:dyDescent="0.2">
      <c r="A3" s="97" t="s">
        <v>709</v>
      </c>
      <c r="B3" s="97" t="s">
        <v>711</v>
      </c>
      <c r="C3" s="98" t="s">
        <v>774</v>
      </c>
      <c r="D3" s="98" t="s">
        <v>713</v>
      </c>
      <c r="E3" s="98" t="s">
        <v>715</v>
      </c>
      <c r="F3" s="98" t="s">
        <v>773</v>
      </c>
      <c r="G3" s="98" t="s">
        <v>718</v>
      </c>
      <c r="H3" s="98" t="s">
        <v>719</v>
      </c>
      <c r="I3" s="98" t="s">
        <v>720</v>
      </c>
      <c r="J3" s="98" t="s">
        <v>721</v>
      </c>
      <c r="K3" s="98" t="s">
        <v>722</v>
      </c>
      <c r="L3" s="98" t="s">
        <v>723</v>
      </c>
      <c r="M3" s="98" t="s">
        <v>724</v>
      </c>
      <c r="N3" s="98" t="s">
        <v>725</v>
      </c>
      <c r="O3" s="98" t="s">
        <v>726</v>
      </c>
      <c r="P3" s="99">
        <v>2021</v>
      </c>
      <c r="S3" s="122">
        <f>+S2-H4</f>
        <v>-40.000000007450581</v>
      </c>
      <c r="T3" s="91">
        <v>635000</v>
      </c>
      <c r="U3" s="129">
        <f>47181139.19-635040</f>
        <v>46546099.189999998</v>
      </c>
    </row>
    <row r="4" spans="1:21" ht="24" x14ac:dyDescent="0.2">
      <c r="A4" s="100"/>
      <c r="B4" s="100" t="s">
        <v>761</v>
      </c>
      <c r="C4" s="100"/>
      <c r="D4" s="100" t="s">
        <v>775</v>
      </c>
      <c r="E4" s="100"/>
      <c r="F4" s="100"/>
      <c r="G4" s="101">
        <f>G5+G27+G81+G101</f>
        <v>53011998.021499999</v>
      </c>
      <c r="H4" s="101">
        <f t="shared" ref="H4:P4" si="0">H5+H27+H81+H101</f>
        <v>46546139.190000005</v>
      </c>
      <c r="I4" s="101">
        <f t="shared" si="0"/>
        <v>6465858.8314999994</v>
      </c>
      <c r="J4" s="101">
        <f t="shared" si="0"/>
        <v>775760.13124999986</v>
      </c>
      <c r="K4" s="101">
        <f t="shared" si="0"/>
        <v>4411312.7250000006</v>
      </c>
      <c r="L4" s="101">
        <f t="shared" si="0"/>
        <v>5179912.909</v>
      </c>
      <c r="M4" s="101">
        <f t="shared" si="0"/>
        <v>3685942.65625</v>
      </c>
      <c r="N4" s="101">
        <f t="shared" si="0"/>
        <v>10025812.51</v>
      </c>
      <c r="O4" s="101">
        <f t="shared" si="0"/>
        <v>11860266.09</v>
      </c>
      <c r="P4" s="101">
        <f t="shared" si="0"/>
        <v>17072991</v>
      </c>
      <c r="Q4" s="122"/>
      <c r="S4" s="122"/>
      <c r="T4" s="122">
        <f>+H4+T3</f>
        <v>47181139.190000005</v>
      </c>
    </row>
    <row r="5" spans="1:21" ht="24" x14ac:dyDescent="0.2">
      <c r="A5" s="106"/>
      <c r="B5" s="106" t="s">
        <v>256</v>
      </c>
      <c r="C5" s="106" t="s">
        <v>257</v>
      </c>
      <c r="D5" s="106" t="s">
        <v>775</v>
      </c>
      <c r="E5" s="106"/>
      <c r="F5" s="106"/>
      <c r="G5" s="107">
        <f t="shared" ref="G5:P5" si="1">+G6+G20</f>
        <v>5056797.2300000004</v>
      </c>
      <c r="H5" s="107">
        <f t="shared" si="1"/>
        <v>3792597.89</v>
      </c>
      <c r="I5" s="107">
        <f t="shared" si="1"/>
        <v>1264199.3400000001</v>
      </c>
      <c r="J5" s="107">
        <f t="shared" si="1"/>
        <v>88042.26</v>
      </c>
      <c r="K5" s="107">
        <f t="shared" si="1"/>
        <v>590942.31000000006</v>
      </c>
      <c r="L5" s="107">
        <f t="shared" si="1"/>
        <v>413163.27999999997</v>
      </c>
      <c r="M5" s="107">
        <f t="shared" si="1"/>
        <v>433025.43000000005</v>
      </c>
      <c r="N5" s="107">
        <f t="shared" si="1"/>
        <v>614864.03</v>
      </c>
      <c r="O5" s="107">
        <f t="shared" si="1"/>
        <v>1916591.92</v>
      </c>
      <c r="P5" s="107">
        <f t="shared" si="1"/>
        <v>1000168</v>
      </c>
      <c r="R5" s="122">
        <v>4421268.0266666664</v>
      </c>
      <c r="S5" s="122"/>
      <c r="U5" s="122"/>
    </row>
    <row r="6" spans="1:21" ht="24" x14ac:dyDescent="0.2">
      <c r="A6" s="100"/>
      <c r="B6" s="100" t="s">
        <v>258</v>
      </c>
      <c r="C6" s="100" t="s">
        <v>259</v>
      </c>
      <c r="D6" s="100" t="s">
        <v>776</v>
      </c>
      <c r="E6" s="100"/>
      <c r="F6" s="100"/>
      <c r="G6" s="101">
        <f t="shared" ref="G6:P6" si="2">+G7+G10+G13+G16+G18</f>
        <v>4757126.95</v>
      </c>
      <c r="H6" s="101">
        <f t="shared" si="2"/>
        <v>3567845.19</v>
      </c>
      <c r="I6" s="101">
        <f t="shared" si="2"/>
        <v>1189281.76</v>
      </c>
      <c r="J6" s="101">
        <f t="shared" si="2"/>
        <v>72428.479999999996</v>
      </c>
      <c r="K6" s="101">
        <f t="shared" si="2"/>
        <v>554339.03</v>
      </c>
      <c r="L6" s="101">
        <f t="shared" si="2"/>
        <v>368399.08999999997</v>
      </c>
      <c r="M6" s="101">
        <f t="shared" si="2"/>
        <v>406443.30000000005</v>
      </c>
      <c r="N6" s="101">
        <f t="shared" si="2"/>
        <v>531417.13</v>
      </c>
      <c r="O6" s="101">
        <f t="shared" si="2"/>
        <v>1871231.92</v>
      </c>
      <c r="P6" s="101">
        <f t="shared" si="2"/>
        <v>952868</v>
      </c>
    </row>
    <row r="7" spans="1:21" ht="48" x14ac:dyDescent="0.2">
      <c r="A7" s="102"/>
      <c r="B7" s="102" t="s">
        <v>260</v>
      </c>
      <c r="C7" s="102" t="s">
        <v>261</v>
      </c>
      <c r="D7" s="102" t="s">
        <v>8</v>
      </c>
      <c r="E7" s="102"/>
      <c r="F7" s="102"/>
      <c r="G7" s="103">
        <f>+G8+G9</f>
        <v>1356777.54</v>
      </c>
      <c r="H7" s="103">
        <f t="shared" ref="H7:P7" si="3">+H8+H9</f>
        <v>1017583.14</v>
      </c>
      <c r="I7" s="103">
        <f t="shared" si="3"/>
        <v>339194.4</v>
      </c>
      <c r="J7" s="103">
        <f t="shared" si="3"/>
        <v>0</v>
      </c>
      <c r="K7" s="103">
        <f t="shared" si="3"/>
        <v>32233.01</v>
      </c>
      <c r="L7" s="103">
        <f t="shared" si="3"/>
        <v>156033.07999999999</v>
      </c>
      <c r="M7" s="103">
        <f t="shared" si="3"/>
        <v>222397.72000000003</v>
      </c>
      <c r="N7" s="103">
        <f t="shared" si="3"/>
        <v>240775.72999999998</v>
      </c>
      <c r="O7" s="103">
        <f t="shared" si="3"/>
        <v>341820</v>
      </c>
      <c r="P7" s="103">
        <f t="shared" si="3"/>
        <v>363518</v>
      </c>
    </row>
    <row r="8" spans="1:21" s="93" customFormat="1" ht="36" customHeight="1" x14ac:dyDescent="0.2">
      <c r="A8" s="104">
        <v>1</v>
      </c>
      <c r="B8" s="104" t="s">
        <v>262</v>
      </c>
      <c r="C8" s="108" t="s">
        <v>261</v>
      </c>
      <c r="D8" s="104" t="s">
        <v>11</v>
      </c>
      <c r="E8" s="104" t="s">
        <v>783</v>
      </c>
      <c r="F8" s="104" t="s">
        <v>772</v>
      </c>
      <c r="G8" s="105">
        <f>+J8+K8+L8+M8+N8+O8+P8</f>
        <v>958664.89</v>
      </c>
      <c r="H8" s="109">
        <f>+ROUNDDOWN(G8*0.75,2)</f>
        <v>718998.66</v>
      </c>
      <c r="I8" s="105">
        <f>+G8-H8</f>
        <v>239666.22999999998</v>
      </c>
      <c r="J8" s="105">
        <v>0</v>
      </c>
      <c r="K8" s="105">
        <v>32233.01</v>
      </c>
      <c r="L8" s="105">
        <v>146872.34</v>
      </c>
      <c r="M8" s="109">
        <f>138748.98+46046</f>
        <v>184794.98</v>
      </c>
      <c r="N8" s="105">
        <v>194764.56</v>
      </c>
      <c r="O8" s="105">
        <v>200000</v>
      </c>
      <c r="P8" s="105">
        <v>200000</v>
      </c>
      <c r="Q8" s="127">
        <v>344605</v>
      </c>
    </row>
    <row r="9" spans="1:21" s="93" customFormat="1" ht="24" x14ac:dyDescent="0.2">
      <c r="A9" s="104">
        <v>2</v>
      </c>
      <c r="B9" s="104" t="s">
        <v>263</v>
      </c>
      <c r="C9" s="104" t="s">
        <v>782</v>
      </c>
      <c r="D9" s="104" t="s">
        <v>11</v>
      </c>
      <c r="E9" s="104" t="s">
        <v>783</v>
      </c>
      <c r="F9" s="104" t="s">
        <v>772</v>
      </c>
      <c r="G9" s="105">
        <f>+J9+K9+L9+M9+N9+O9+P9</f>
        <v>398112.65</v>
      </c>
      <c r="H9" s="109">
        <f>+ROUNDDOWN(G9*0.75,2)</f>
        <v>298584.48</v>
      </c>
      <c r="I9" s="105">
        <f>+G9-H9</f>
        <v>99528.170000000042</v>
      </c>
      <c r="J9" s="105">
        <v>0</v>
      </c>
      <c r="K9" s="105">
        <v>0</v>
      </c>
      <c r="L9" s="105">
        <v>9160.74</v>
      </c>
      <c r="M9" s="109">
        <f>28202.04+9400.7</f>
        <v>37602.740000000005</v>
      </c>
      <c r="N9" s="105">
        <v>46011.17</v>
      </c>
      <c r="O9" s="109">
        <v>141820</v>
      </c>
      <c r="P9" s="109">
        <v>163518</v>
      </c>
      <c r="Q9" s="127">
        <v>113934.57</v>
      </c>
      <c r="R9" s="93">
        <v>437471.74</v>
      </c>
      <c r="S9" s="127">
        <f>+R9-G9</f>
        <v>39359.089999999967</v>
      </c>
    </row>
    <row r="10" spans="1:21" ht="48" x14ac:dyDescent="0.2">
      <c r="A10" s="102"/>
      <c r="B10" s="102" t="s">
        <v>264</v>
      </c>
      <c r="C10" s="102" t="s">
        <v>265</v>
      </c>
      <c r="D10" s="102" t="s">
        <v>8</v>
      </c>
      <c r="E10" s="102"/>
      <c r="F10" s="102"/>
      <c r="G10" s="103">
        <f t="shared" ref="G10:O10" si="4">+G11+G12</f>
        <v>1604860.53</v>
      </c>
      <c r="H10" s="103">
        <f t="shared" si="4"/>
        <v>1203645.3899999999</v>
      </c>
      <c r="I10" s="103">
        <f t="shared" si="4"/>
        <v>401215.14000000013</v>
      </c>
      <c r="J10" s="103">
        <f t="shared" si="4"/>
        <v>22428.48</v>
      </c>
      <c r="K10" s="103">
        <f t="shared" si="4"/>
        <v>250385.14</v>
      </c>
      <c r="L10" s="103">
        <f t="shared" si="4"/>
        <v>120127.91</v>
      </c>
      <c r="M10" s="103">
        <f t="shared" si="4"/>
        <v>65426.560000000005</v>
      </c>
      <c r="N10" s="103">
        <f t="shared" si="4"/>
        <v>60762.44</v>
      </c>
      <c r="O10" s="103">
        <f t="shared" si="4"/>
        <v>692780</v>
      </c>
      <c r="P10" s="103">
        <f>+P11+P12</f>
        <v>392950</v>
      </c>
    </row>
    <row r="11" spans="1:21" s="93" customFormat="1" ht="36" x14ac:dyDescent="0.2">
      <c r="A11" s="104">
        <v>3</v>
      </c>
      <c r="B11" s="104" t="s">
        <v>266</v>
      </c>
      <c r="C11" s="104" t="s">
        <v>267</v>
      </c>
      <c r="D11" s="104" t="s">
        <v>11</v>
      </c>
      <c r="E11" s="104" t="s">
        <v>783</v>
      </c>
      <c r="F11" s="104" t="s">
        <v>772</v>
      </c>
      <c r="G11" s="105">
        <f>+J11+K11+L11+M11+N11+O11+P11</f>
        <v>1451140.53</v>
      </c>
      <c r="H11" s="109">
        <f>+ROUNDDOWN(G11*0.75,2)</f>
        <v>1088355.3899999999</v>
      </c>
      <c r="I11" s="105">
        <f>+G11-H11</f>
        <v>362785.14000000013</v>
      </c>
      <c r="J11" s="105">
        <v>22428.48</v>
      </c>
      <c r="K11" s="105">
        <v>96665.14</v>
      </c>
      <c r="L11" s="105">
        <v>120127.91</v>
      </c>
      <c r="M11" s="105">
        <f>49069.91+16356.65</f>
        <v>65426.560000000005</v>
      </c>
      <c r="N11" s="105">
        <v>60762.44</v>
      </c>
      <c r="O11" s="105">
        <v>692780</v>
      </c>
      <c r="P11" s="105">
        <v>392950</v>
      </c>
      <c r="Q11" s="127">
        <v>815909.72</v>
      </c>
      <c r="R11" s="93">
        <v>1366507.81</v>
      </c>
      <c r="S11" s="127">
        <f>+R11-G11</f>
        <v>-84632.719999999972</v>
      </c>
    </row>
    <row r="12" spans="1:21" s="93" customFormat="1" ht="24" x14ac:dyDescent="0.2">
      <c r="A12" s="104">
        <v>4</v>
      </c>
      <c r="B12" s="104" t="s">
        <v>268</v>
      </c>
      <c r="C12" s="104" t="s">
        <v>269</v>
      </c>
      <c r="D12" s="104" t="s">
        <v>11</v>
      </c>
      <c r="E12" s="104" t="s">
        <v>783</v>
      </c>
      <c r="F12" s="104" t="s">
        <v>772</v>
      </c>
      <c r="G12" s="105">
        <f>+J12+K12+L12+M12+N12+O12+P12</f>
        <v>153720</v>
      </c>
      <c r="H12" s="109">
        <f>+ROUNDDOWN(G12*0.75,2)</f>
        <v>115290</v>
      </c>
      <c r="I12" s="105">
        <f>+G12-H12</f>
        <v>38430</v>
      </c>
      <c r="J12" s="105">
        <v>0</v>
      </c>
      <c r="K12" s="105">
        <v>153720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27">
        <f>+N12</f>
        <v>0</v>
      </c>
    </row>
    <row r="13" spans="1:21" ht="60" x14ac:dyDescent="0.2">
      <c r="A13" s="102"/>
      <c r="B13" s="102" t="s">
        <v>270</v>
      </c>
      <c r="C13" s="102" t="s">
        <v>271</v>
      </c>
      <c r="D13" s="102" t="s">
        <v>8</v>
      </c>
      <c r="E13" s="102"/>
      <c r="F13" s="102"/>
      <c r="G13" s="103">
        <f>+G14+G15</f>
        <v>1204738.8799999999</v>
      </c>
      <c r="H13" s="103">
        <f t="shared" ref="H13:P13" si="5">+H14+H15</f>
        <v>903554.16</v>
      </c>
      <c r="I13" s="103">
        <f t="shared" si="5"/>
        <v>301184.71999999986</v>
      </c>
      <c r="J13" s="103">
        <f t="shared" si="5"/>
        <v>50000</v>
      </c>
      <c r="K13" s="103">
        <f t="shared" si="5"/>
        <v>271720.88</v>
      </c>
      <c r="L13" s="103">
        <f t="shared" si="5"/>
        <v>92238.1</v>
      </c>
      <c r="M13" s="103">
        <f t="shared" si="5"/>
        <v>118619.02</v>
      </c>
      <c r="N13" s="103">
        <f t="shared" si="5"/>
        <v>185380.72</v>
      </c>
      <c r="O13" s="103">
        <f t="shared" si="5"/>
        <v>340380.15999999997</v>
      </c>
      <c r="P13" s="103">
        <f t="shared" si="5"/>
        <v>146400</v>
      </c>
    </row>
    <row r="14" spans="1:21" s="93" customFormat="1" ht="72" x14ac:dyDescent="0.2">
      <c r="A14" s="104">
        <v>5</v>
      </c>
      <c r="B14" s="104" t="s">
        <v>272</v>
      </c>
      <c r="C14" s="104" t="s">
        <v>273</v>
      </c>
      <c r="D14" s="104" t="s">
        <v>11</v>
      </c>
      <c r="E14" s="104" t="s">
        <v>783</v>
      </c>
      <c r="F14" s="104" t="s">
        <v>772</v>
      </c>
      <c r="G14" s="109">
        <f>+J14+K14+L14+M14+N14+O14+P14</f>
        <v>1154738.8799999999</v>
      </c>
      <c r="H14" s="109">
        <f>+ROUNDDOWN(G14*0.75,2)</f>
        <v>866054.16</v>
      </c>
      <c r="I14" s="109">
        <f>+G14-H14</f>
        <v>288684.71999999986</v>
      </c>
      <c r="J14" s="105">
        <v>50000</v>
      </c>
      <c r="K14" s="105">
        <v>271720.88</v>
      </c>
      <c r="L14" s="105">
        <v>92238.1</v>
      </c>
      <c r="M14" s="109">
        <v>118619.02</v>
      </c>
      <c r="N14" s="109">
        <v>185380.72</v>
      </c>
      <c r="O14" s="109">
        <v>290380.15999999997</v>
      </c>
      <c r="P14" s="105">
        <v>146400</v>
      </c>
      <c r="Q14" s="127">
        <v>117200</v>
      </c>
    </row>
    <row r="15" spans="1:21" s="126" customFormat="1" ht="48" x14ac:dyDescent="0.2">
      <c r="A15" s="108">
        <v>6</v>
      </c>
      <c r="B15" s="108" t="s">
        <v>811</v>
      </c>
      <c r="C15" s="108" t="s">
        <v>803</v>
      </c>
      <c r="D15" s="108" t="s">
        <v>11</v>
      </c>
      <c r="E15" s="108" t="s">
        <v>783</v>
      </c>
      <c r="F15" s="108" t="s">
        <v>772</v>
      </c>
      <c r="G15" s="109">
        <f>+J15+K15+L15+M15+N15+O15+P15</f>
        <v>50000</v>
      </c>
      <c r="H15" s="109">
        <f>+ROUNDDOWN(G15*0.75,2)</f>
        <v>37500</v>
      </c>
      <c r="I15" s="109">
        <f>+G15-H15</f>
        <v>12500</v>
      </c>
      <c r="J15" s="124"/>
      <c r="K15" s="124"/>
      <c r="L15" s="124"/>
      <c r="M15" s="109"/>
      <c r="N15" s="109"/>
      <c r="O15" s="109">
        <v>50000</v>
      </c>
      <c r="P15" s="124"/>
      <c r="Q15" s="127">
        <f>+N15</f>
        <v>0</v>
      </c>
    </row>
    <row r="16" spans="1:21" ht="48" x14ac:dyDescent="0.2">
      <c r="A16" s="102"/>
      <c r="B16" s="102" t="s">
        <v>274</v>
      </c>
      <c r="C16" s="102" t="s">
        <v>275</v>
      </c>
      <c r="D16" s="102" t="s">
        <v>8</v>
      </c>
      <c r="E16" s="102"/>
      <c r="F16" s="102"/>
      <c r="G16" s="103">
        <f>+G17</f>
        <v>440750</v>
      </c>
      <c r="H16" s="103">
        <f t="shared" ref="H16:P16" si="6">+H17</f>
        <v>330562.5</v>
      </c>
      <c r="I16" s="103">
        <f t="shared" si="6"/>
        <v>110187.5</v>
      </c>
      <c r="J16" s="103">
        <f t="shared" si="6"/>
        <v>0</v>
      </c>
      <c r="K16" s="103">
        <f t="shared" si="6"/>
        <v>0</v>
      </c>
      <c r="L16" s="103">
        <f t="shared" si="6"/>
        <v>0</v>
      </c>
      <c r="M16" s="103">
        <f t="shared" si="6"/>
        <v>0</v>
      </c>
      <c r="N16" s="103">
        <f t="shared" si="6"/>
        <v>0</v>
      </c>
      <c r="O16" s="103">
        <f t="shared" si="6"/>
        <v>440750</v>
      </c>
      <c r="P16" s="103">
        <f t="shared" si="6"/>
        <v>0</v>
      </c>
    </row>
    <row r="17" spans="1:17" s="93" customFormat="1" ht="36" x14ac:dyDescent="0.2">
      <c r="A17" s="104">
        <v>7</v>
      </c>
      <c r="B17" s="104" t="s">
        <v>276</v>
      </c>
      <c r="C17" s="104" t="s">
        <v>277</v>
      </c>
      <c r="D17" s="104" t="s">
        <v>11</v>
      </c>
      <c r="E17" s="104" t="s">
        <v>783</v>
      </c>
      <c r="F17" s="104" t="s">
        <v>772</v>
      </c>
      <c r="G17" s="105">
        <f>+J17+K17+L17+M17+N17+O17+P17</f>
        <v>440750</v>
      </c>
      <c r="H17" s="109">
        <f>+ROUNDDOWN(G17*0.75,2)</f>
        <v>330562.5</v>
      </c>
      <c r="I17" s="105">
        <f>+G17-H17</f>
        <v>110187.5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440750</v>
      </c>
      <c r="P17" s="105">
        <v>0</v>
      </c>
      <c r="Q17" s="127">
        <v>298339</v>
      </c>
    </row>
    <row r="18" spans="1:17" ht="60" x14ac:dyDescent="0.2">
      <c r="A18" s="102"/>
      <c r="B18" s="102" t="s">
        <v>278</v>
      </c>
      <c r="C18" s="102" t="s">
        <v>279</v>
      </c>
      <c r="D18" s="102" t="s">
        <v>8</v>
      </c>
      <c r="E18" s="102"/>
      <c r="F18" s="102"/>
      <c r="G18" s="103">
        <f>+G19</f>
        <v>150000</v>
      </c>
      <c r="H18" s="103">
        <f t="shared" ref="H18:P18" si="7">+H19</f>
        <v>112500</v>
      </c>
      <c r="I18" s="103">
        <f t="shared" si="7"/>
        <v>37500</v>
      </c>
      <c r="J18" s="103">
        <f t="shared" si="7"/>
        <v>0</v>
      </c>
      <c r="K18" s="103">
        <f t="shared" si="7"/>
        <v>0</v>
      </c>
      <c r="L18" s="103">
        <f t="shared" si="7"/>
        <v>0</v>
      </c>
      <c r="M18" s="110">
        <v>0</v>
      </c>
      <c r="N18" s="110">
        <f t="shared" si="7"/>
        <v>44498.239999999998</v>
      </c>
      <c r="O18" s="110">
        <f t="shared" si="7"/>
        <v>55501.760000000002</v>
      </c>
      <c r="P18" s="110">
        <f t="shared" si="7"/>
        <v>50000</v>
      </c>
    </row>
    <row r="19" spans="1:17" s="93" customFormat="1" ht="60" x14ac:dyDescent="0.2">
      <c r="A19" s="104">
        <v>8</v>
      </c>
      <c r="B19" s="104" t="s">
        <v>280</v>
      </c>
      <c r="C19" s="104" t="s">
        <v>279</v>
      </c>
      <c r="D19" s="104" t="s">
        <v>11</v>
      </c>
      <c r="E19" s="104" t="s">
        <v>783</v>
      </c>
      <c r="F19" s="104" t="s">
        <v>772</v>
      </c>
      <c r="G19" s="105">
        <f>+J19+K19+L19+M19+N19+O19+P19</f>
        <v>150000</v>
      </c>
      <c r="H19" s="109">
        <f>+ROUNDDOWN(G19*0.75,2)</f>
        <v>112500</v>
      </c>
      <c r="I19" s="105">
        <f>+G19-H19</f>
        <v>37500</v>
      </c>
      <c r="J19" s="105">
        <v>0</v>
      </c>
      <c r="K19" s="105">
        <v>0</v>
      </c>
      <c r="L19" s="105">
        <v>0</v>
      </c>
      <c r="M19" s="109">
        <v>0</v>
      </c>
      <c r="N19" s="109">
        <v>44498.239999999998</v>
      </c>
      <c r="O19" s="109">
        <v>55501.760000000002</v>
      </c>
      <c r="P19" s="109">
        <v>50000</v>
      </c>
      <c r="Q19" s="127">
        <v>100000</v>
      </c>
    </row>
    <row r="20" spans="1:17" ht="24" x14ac:dyDescent="0.2">
      <c r="A20" s="100"/>
      <c r="B20" s="100" t="s">
        <v>281</v>
      </c>
      <c r="C20" s="100" t="s">
        <v>282</v>
      </c>
      <c r="D20" s="100" t="s">
        <v>776</v>
      </c>
      <c r="E20" s="100"/>
      <c r="F20" s="100"/>
      <c r="G20" s="101">
        <f>+G21+G23+G25</f>
        <v>299670.27999999997</v>
      </c>
      <c r="H20" s="101">
        <f t="shared" ref="H20:O20" si="8">+H21+H23+H25</f>
        <v>224752.7</v>
      </c>
      <c r="I20" s="101">
        <f t="shared" si="8"/>
        <v>74917.579999999987</v>
      </c>
      <c r="J20" s="101">
        <f t="shared" si="8"/>
        <v>15613.779999999999</v>
      </c>
      <c r="K20" s="101">
        <f t="shared" si="8"/>
        <v>36603.279999999999</v>
      </c>
      <c r="L20" s="101">
        <f t="shared" si="8"/>
        <v>44764.19</v>
      </c>
      <c r="M20" s="101">
        <f t="shared" si="8"/>
        <v>26582.13</v>
      </c>
      <c r="N20" s="101">
        <f t="shared" si="8"/>
        <v>83446.899999999994</v>
      </c>
      <c r="O20" s="101">
        <f t="shared" si="8"/>
        <v>45360</v>
      </c>
      <c r="P20" s="101">
        <f>+P21+P23+P25</f>
        <v>47300</v>
      </c>
    </row>
    <row r="21" spans="1:17" ht="48" x14ac:dyDescent="0.2">
      <c r="A21" s="102"/>
      <c r="B21" s="102" t="s">
        <v>283</v>
      </c>
      <c r="C21" s="102" t="s">
        <v>284</v>
      </c>
      <c r="D21" s="102" t="s">
        <v>8</v>
      </c>
      <c r="E21" s="102"/>
      <c r="F21" s="102"/>
      <c r="G21" s="103">
        <f>+G22</f>
        <v>5860.74</v>
      </c>
      <c r="H21" s="103">
        <f t="shared" ref="H21:P21" si="9">+H22</f>
        <v>4395.55</v>
      </c>
      <c r="I21" s="103">
        <f t="shared" si="9"/>
        <v>1465.1899999999996</v>
      </c>
      <c r="J21" s="103">
        <f t="shared" si="9"/>
        <v>4481.46</v>
      </c>
      <c r="K21" s="103">
        <f t="shared" si="9"/>
        <v>1379.28</v>
      </c>
      <c r="L21" s="103">
        <f t="shared" si="9"/>
        <v>0</v>
      </c>
      <c r="M21" s="103">
        <f t="shared" si="9"/>
        <v>0</v>
      </c>
      <c r="N21" s="103">
        <f t="shared" si="9"/>
        <v>0</v>
      </c>
      <c r="O21" s="103">
        <f t="shared" si="9"/>
        <v>0</v>
      </c>
      <c r="P21" s="103">
        <f t="shared" si="9"/>
        <v>0</v>
      </c>
    </row>
    <row r="22" spans="1:17" s="93" customFormat="1" ht="60" x14ac:dyDescent="0.2">
      <c r="A22" s="104">
        <v>9</v>
      </c>
      <c r="B22" s="104" t="s">
        <v>285</v>
      </c>
      <c r="C22" s="104" t="s">
        <v>286</v>
      </c>
      <c r="D22" s="104" t="s">
        <v>11</v>
      </c>
      <c r="E22" s="104" t="s">
        <v>783</v>
      </c>
      <c r="F22" s="104" t="s">
        <v>772</v>
      </c>
      <c r="G22" s="105">
        <f>+J22+K22+L22+M22+N22+O22+P22</f>
        <v>5860.74</v>
      </c>
      <c r="H22" s="109">
        <f>+ROUNDDOWN(G22*0.75,2)</f>
        <v>4395.55</v>
      </c>
      <c r="I22" s="105">
        <f>+G22-H22</f>
        <v>1465.1899999999996</v>
      </c>
      <c r="J22" s="105">
        <v>4481.46</v>
      </c>
      <c r="K22" s="105">
        <v>1379.28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27">
        <f>+N22</f>
        <v>0</v>
      </c>
    </row>
    <row r="23" spans="1:17" ht="60" x14ac:dyDescent="0.2">
      <c r="A23" s="102"/>
      <c r="B23" s="102" t="s">
        <v>287</v>
      </c>
      <c r="C23" s="102" t="s">
        <v>288</v>
      </c>
      <c r="D23" s="102" t="s">
        <v>8</v>
      </c>
      <c r="E23" s="102"/>
      <c r="F23" s="102"/>
      <c r="G23" s="103">
        <f>+G24</f>
        <v>289760.68</v>
      </c>
      <c r="H23" s="103">
        <f t="shared" ref="H23:P23" si="10">+H24</f>
        <v>217320.51</v>
      </c>
      <c r="I23" s="103">
        <f t="shared" si="10"/>
        <v>72440.169999999984</v>
      </c>
      <c r="J23" s="103">
        <f t="shared" si="10"/>
        <v>10510.86</v>
      </c>
      <c r="K23" s="103">
        <f t="shared" si="10"/>
        <v>33864.04</v>
      </c>
      <c r="L23" s="103">
        <f t="shared" si="10"/>
        <v>42696.75</v>
      </c>
      <c r="M23" s="103">
        <f t="shared" si="10"/>
        <v>26582.13</v>
      </c>
      <c r="N23" s="103">
        <f t="shared" si="10"/>
        <v>83446.899999999994</v>
      </c>
      <c r="O23" s="103">
        <f t="shared" si="10"/>
        <v>45360</v>
      </c>
      <c r="P23" s="103">
        <f t="shared" si="10"/>
        <v>47300</v>
      </c>
    </row>
    <row r="24" spans="1:17" s="93" customFormat="1" ht="24" x14ac:dyDescent="0.2">
      <c r="A24" s="104">
        <v>10</v>
      </c>
      <c r="B24" s="104" t="s">
        <v>289</v>
      </c>
      <c r="C24" s="104" t="s">
        <v>290</v>
      </c>
      <c r="D24" s="104" t="s">
        <v>11</v>
      </c>
      <c r="E24" s="104" t="s">
        <v>783</v>
      </c>
      <c r="F24" s="104" t="s">
        <v>772</v>
      </c>
      <c r="G24" s="105">
        <f>+J24+K24+L24+M24+N24+O24+P24</f>
        <v>289760.68</v>
      </c>
      <c r="H24" s="109">
        <f>+ROUNDDOWN(G24*0.75,2)</f>
        <v>217320.51</v>
      </c>
      <c r="I24" s="105">
        <f>+G24-H24</f>
        <v>72440.169999999984</v>
      </c>
      <c r="J24" s="105">
        <v>10510.86</v>
      </c>
      <c r="K24" s="105">
        <v>33864.04</v>
      </c>
      <c r="L24" s="105">
        <v>42696.75</v>
      </c>
      <c r="M24" s="105">
        <f>19929.29+6652.84</f>
        <v>26582.13</v>
      </c>
      <c r="N24" s="105">
        <f>63470.9+19976</f>
        <v>83446.899999999994</v>
      </c>
      <c r="O24" s="105">
        <v>45360</v>
      </c>
      <c r="P24" s="105">
        <v>47300</v>
      </c>
      <c r="Q24" s="127">
        <v>83446.899999999994</v>
      </c>
    </row>
    <row r="25" spans="1:17" ht="72" x14ac:dyDescent="0.2">
      <c r="A25" s="102"/>
      <c r="B25" s="102" t="s">
        <v>291</v>
      </c>
      <c r="C25" s="102" t="s">
        <v>292</v>
      </c>
      <c r="D25" s="102" t="s">
        <v>8</v>
      </c>
      <c r="E25" s="102"/>
      <c r="F25" s="102"/>
      <c r="G25" s="103">
        <f>+G26</f>
        <v>4048.86</v>
      </c>
      <c r="H25" s="103">
        <f t="shared" ref="H25:P25" si="11">+H26</f>
        <v>3036.64</v>
      </c>
      <c r="I25" s="103">
        <f t="shared" si="11"/>
        <v>1012.2200000000003</v>
      </c>
      <c r="J25" s="103">
        <f t="shared" si="11"/>
        <v>621.46</v>
      </c>
      <c r="K25" s="103">
        <f t="shared" si="11"/>
        <v>1359.96</v>
      </c>
      <c r="L25" s="103">
        <f t="shared" si="11"/>
        <v>2067.44</v>
      </c>
      <c r="M25" s="103">
        <f t="shared" si="11"/>
        <v>0</v>
      </c>
      <c r="N25" s="103">
        <f t="shared" si="11"/>
        <v>0</v>
      </c>
      <c r="O25" s="103">
        <f t="shared" si="11"/>
        <v>0</v>
      </c>
      <c r="P25" s="103">
        <f t="shared" si="11"/>
        <v>0</v>
      </c>
    </row>
    <row r="26" spans="1:17" s="93" customFormat="1" ht="36" x14ac:dyDescent="0.2">
      <c r="A26" s="104">
        <v>11</v>
      </c>
      <c r="B26" s="104" t="s">
        <v>293</v>
      </c>
      <c r="C26" s="104" t="s">
        <v>294</v>
      </c>
      <c r="D26" s="104" t="s">
        <v>11</v>
      </c>
      <c r="E26" s="104" t="s">
        <v>783</v>
      </c>
      <c r="F26" s="104" t="s">
        <v>772</v>
      </c>
      <c r="G26" s="105">
        <f>+J26+K26+L26+M26+N26+O26+P26</f>
        <v>4048.86</v>
      </c>
      <c r="H26" s="109">
        <f>+ROUNDDOWN(G26*0.75,2)</f>
        <v>3036.64</v>
      </c>
      <c r="I26" s="105">
        <f>+G26-H26</f>
        <v>1012.2200000000003</v>
      </c>
      <c r="J26" s="105">
        <v>621.46</v>
      </c>
      <c r="K26" s="105">
        <v>1359.96</v>
      </c>
      <c r="L26" s="105">
        <v>2067.44</v>
      </c>
      <c r="M26" s="105">
        <v>0</v>
      </c>
      <c r="N26" s="105">
        <v>0</v>
      </c>
      <c r="O26" s="105">
        <v>0</v>
      </c>
      <c r="P26" s="105">
        <v>0</v>
      </c>
      <c r="Q26" s="127">
        <v>10401.65</v>
      </c>
    </row>
    <row r="27" spans="1:17" x14ac:dyDescent="0.2">
      <c r="A27" s="106"/>
      <c r="B27" s="106" t="s">
        <v>295</v>
      </c>
      <c r="C27" s="106" t="s">
        <v>296</v>
      </c>
      <c r="D27" s="106" t="s">
        <v>2</v>
      </c>
      <c r="E27" s="106"/>
      <c r="F27" s="106"/>
      <c r="G27" s="107">
        <f t="shared" ref="G27:P27" si="12">+G28+G33+G43+G38+G55+G62</f>
        <v>31662903.741499998</v>
      </c>
      <c r="H27" s="107">
        <f t="shared" si="12"/>
        <v>26461244.25</v>
      </c>
      <c r="I27" s="107">
        <f t="shared" si="12"/>
        <v>5201659.4914999995</v>
      </c>
      <c r="J27" s="107">
        <f t="shared" si="12"/>
        <v>130790.54999999999</v>
      </c>
      <c r="K27" s="107">
        <f t="shared" si="12"/>
        <v>1738495.0385</v>
      </c>
      <c r="L27" s="107">
        <f t="shared" si="12"/>
        <v>2100646.83</v>
      </c>
      <c r="M27" s="107">
        <f t="shared" si="12"/>
        <v>624981.36300000001</v>
      </c>
      <c r="N27" s="107">
        <f t="shared" si="12"/>
        <v>6177494.7400000002</v>
      </c>
      <c r="O27" s="107">
        <f>+O28+O33+O43+O38+O55+O62</f>
        <v>6285330.1699999999</v>
      </c>
      <c r="P27" s="107">
        <f t="shared" si="12"/>
        <v>14605165.050000001</v>
      </c>
    </row>
    <row r="28" spans="1:17" ht="24" x14ac:dyDescent="0.2">
      <c r="A28" s="100"/>
      <c r="B28" s="100" t="s">
        <v>297</v>
      </c>
      <c r="C28" s="100" t="s">
        <v>298</v>
      </c>
      <c r="D28" s="100" t="s">
        <v>776</v>
      </c>
      <c r="E28" s="100"/>
      <c r="F28" s="100"/>
      <c r="G28" s="101">
        <f t="shared" ref="G28:O28" si="13">+G29+G31</f>
        <v>1305235.99</v>
      </c>
      <c r="H28" s="101">
        <f t="shared" si="13"/>
        <v>978926.98</v>
      </c>
      <c r="I28" s="101">
        <f t="shared" si="13"/>
        <v>326309.01</v>
      </c>
      <c r="J28" s="101">
        <f t="shared" si="13"/>
        <v>0</v>
      </c>
      <c r="K28" s="101">
        <f t="shared" si="13"/>
        <v>1235215.19</v>
      </c>
      <c r="L28" s="101">
        <f t="shared" si="13"/>
        <v>16256.5</v>
      </c>
      <c r="M28" s="101">
        <f t="shared" si="13"/>
        <v>17882.150000000001</v>
      </c>
      <c r="N28" s="101">
        <f t="shared" si="13"/>
        <v>17882.150000000001</v>
      </c>
      <c r="O28" s="101">
        <f t="shared" si="13"/>
        <v>18000</v>
      </c>
      <c r="P28" s="101">
        <f>+P29+P31</f>
        <v>0</v>
      </c>
    </row>
    <row r="29" spans="1:17" ht="48" x14ac:dyDescent="0.2">
      <c r="A29" s="102"/>
      <c r="B29" s="102" t="s">
        <v>299</v>
      </c>
      <c r="C29" s="102" t="s">
        <v>300</v>
      </c>
      <c r="D29" s="102" t="s">
        <v>8</v>
      </c>
      <c r="E29" s="102"/>
      <c r="F29" s="102"/>
      <c r="G29" s="103">
        <f>+G30</f>
        <v>1219174.97</v>
      </c>
      <c r="H29" s="103">
        <f t="shared" ref="H29:P29" si="14">+H30</f>
        <v>914381.22</v>
      </c>
      <c r="I29" s="103">
        <f t="shared" si="14"/>
        <v>304793.75</v>
      </c>
      <c r="J29" s="103">
        <f t="shared" si="14"/>
        <v>0</v>
      </c>
      <c r="K29" s="103">
        <f t="shared" si="14"/>
        <v>1219174.97</v>
      </c>
      <c r="L29" s="103">
        <f t="shared" si="14"/>
        <v>0</v>
      </c>
      <c r="M29" s="103">
        <f t="shared" si="14"/>
        <v>0</v>
      </c>
      <c r="N29" s="103">
        <f t="shared" si="14"/>
        <v>0</v>
      </c>
      <c r="O29" s="103">
        <f t="shared" si="14"/>
        <v>0</v>
      </c>
      <c r="P29" s="103">
        <f t="shared" si="14"/>
        <v>0</v>
      </c>
    </row>
    <row r="30" spans="1:17" s="93" customFormat="1" ht="48" x14ac:dyDescent="0.2">
      <c r="A30" s="104">
        <v>12</v>
      </c>
      <c r="B30" s="104" t="s">
        <v>301</v>
      </c>
      <c r="C30" s="104" t="s">
        <v>300</v>
      </c>
      <c r="D30" s="104" t="s">
        <v>11</v>
      </c>
      <c r="E30" s="104" t="s">
        <v>784</v>
      </c>
      <c r="F30" s="104" t="s">
        <v>772</v>
      </c>
      <c r="G30" s="105">
        <f>+J30+K30+L30+M30+N30+O30+P30</f>
        <v>1219174.97</v>
      </c>
      <c r="H30" s="109">
        <f>+ROUNDDOWN(G30*0.75,2)</f>
        <v>914381.22</v>
      </c>
      <c r="I30" s="105">
        <f>+G30-H30</f>
        <v>304793.75</v>
      </c>
      <c r="J30" s="105">
        <v>0</v>
      </c>
      <c r="K30" s="105">
        <v>1219174.97</v>
      </c>
      <c r="L30" s="105">
        <v>0</v>
      </c>
      <c r="M30" s="111">
        <v>0</v>
      </c>
      <c r="N30" s="111">
        <v>0</v>
      </c>
      <c r="O30" s="111">
        <v>0</v>
      </c>
      <c r="P30" s="111">
        <v>0</v>
      </c>
    </row>
    <row r="31" spans="1:17" ht="60" x14ac:dyDescent="0.2">
      <c r="A31" s="102"/>
      <c r="B31" s="102" t="s">
        <v>303</v>
      </c>
      <c r="C31" s="102" t="s">
        <v>304</v>
      </c>
      <c r="D31" s="102" t="s">
        <v>8</v>
      </c>
      <c r="E31" s="102"/>
      <c r="F31" s="102"/>
      <c r="G31" s="103">
        <f>+G32</f>
        <v>86061.02</v>
      </c>
      <c r="H31" s="103">
        <f t="shared" ref="H31:P31" si="15">+H32</f>
        <v>64545.760000000002</v>
      </c>
      <c r="I31" s="103">
        <f t="shared" si="15"/>
        <v>21515.260000000002</v>
      </c>
      <c r="J31" s="103">
        <f t="shared" si="15"/>
        <v>0</v>
      </c>
      <c r="K31" s="103">
        <f t="shared" si="15"/>
        <v>16040.22</v>
      </c>
      <c r="L31" s="103">
        <f t="shared" si="15"/>
        <v>16256.5</v>
      </c>
      <c r="M31" s="110">
        <f t="shared" si="15"/>
        <v>17882.150000000001</v>
      </c>
      <c r="N31" s="103">
        <f t="shared" si="15"/>
        <v>17882.150000000001</v>
      </c>
      <c r="O31" s="103">
        <f t="shared" si="15"/>
        <v>18000</v>
      </c>
      <c r="P31" s="103">
        <f t="shared" si="15"/>
        <v>0</v>
      </c>
    </row>
    <row r="32" spans="1:17" s="93" customFormat="1" ht="36" x14ac:dyDescent="0.2">
      <c r="A32" s="104">
        <v>13</v>
      </c>
      <c r="B32" s="104" t="s">
        <v>305</v>
      </c>
      <c r="C32" s="104" t="s">
        <v>306</v>
      </c>
      <c r="D32" s="104" t="s">
        <v>11</v>
      </c>
      <c r="E32" s="104" t="s">
        <v>784</v>
      </c>
      <c r="F32" s="104" t="s">
        <v>772</v>
      </c>
      <c r="G32" s="105">
        <f>+J32+K32+L32+M32+N32+O32+P32</f>
        <v>86061.02</v>
      </c>
      <c r="H32" s="109">
        <f>+ROUNDDOWN(G32*0.75,2)</f>
        <v>64545.760000000002</v>
      </c>
      <c r="I32" s="105">
        <f>+G32-H32</f>
        <v>21515.260000000002</v>
      </c>
      <c r="J32" s="105">
        <v>0</v>
      </c>
      <c r="K32" s="105">
        <v>16040.22</v>
      </c>
      <c r="L32" s="105">
        <v>16256.5</v>
      </c>
      <c r="M32" s="112">
        <v>17882.150000000001</v>
      </c>
      <c r="N32" s="111">
        <v>17882.150000000001</v>
      </c>
      <c r="O32" s="111">
        <v>18000</v>
      </c>
      <c r="P32" s="111">
        <v>0</v>
      </c>
    </row>
    <row r="33" spans="1:20" ht="24" x14ac:dyDescent="0.2">
      <c r="A33" s="100"/>
      <c r="B33" s="100" t="s">
        <v>307</v>
      </c>
      <c r="C33" s="100" t="s">
        <v>308</v>
      </c>
      <c r="D33" s="100" t="s">
        <v>776</v>
      </c>
      <c r="E33" s="100"/>
      <c r="F33" s="100"/>
      <c r="G33" s="101">
        <f>+G34</f>
        <v>2316924.52</v>
      </c>
      <c r="H33" s="101">
        <f t="shared" ref="H33:P33" si="16">+H34</f>
        <v>1737693.3900000001</v>
      </c>
      <c r="I33" s="101">
        <f t="shared" si="16"/>
        <v>579231.13</v>
      </c>
      <c r="J33" s="101">
        <f t="shared" si="16"/>
        <v>0</v>
      </c>
      <c r="K33" s="101">
        <f t="shared" si="16"/>
        <v>150632.73000000001</v>
      </c>
      <c r="L33" s="101">
        <f t="shared" si="16"/>
        <v>119313.93</v>
      </c>
      <c r="M33" s="101">
        <f t="shared" si="16"/>
        <v>39209.94</v>
      </c>
      <c r="N33" s="101">
        <f t="shared" si="16"/>
        <v>52279.92</v>
      </c>
      <c r="O33" s="101">
        <f>+O34</f>
        <v>235464</v>
      </c>
      <c r="P33" s="101">
        <f t="shared" si="16"/>
        <v>1720024</v>
      </c>
      <c r="R33" s="91">
        <f>2200000*0.2</f>
        <v>440000</v>
      </c>
    </row>
    <row r="34" spans="1:20" ht="60" x14ac:dyDescent="0.2">
      <c r="A34" s="102"/>
      <c r="B34" s="102" t="s">
        <v>309</v>
      </c>
      <c r="C34" s="102" t="s">
        <v>310</v>
      </c>
      <c r="D34" s="102" t="s">
        <v>8</v>
      </c>
      <c r="E34" s="102"/>
      <c r="F34" s="102"/>
      <c r="G34" s="103">
        <f>+G35+G36+G37</f>
        <v>2316924.52</v>
      </c>
      <c r="H34" s="103">
        <f t="shared" ref="H34:P34" si="17">+H35+H36+H37</f>
        <v>1737693.3900000001</v>
      </c>
      <c r="I34" s="103">
        <f t="shared" si="17"/>
        <v>579231.13</v>
      </c>
      <c r="J34" s="103">
        <f t="shared" si="17"/>
        <v>0</v>
      </c>
      <c r="K34" s="103">
        <f t="shared" si="17"/>
        <v>150632.73000000001</v>
      </c>
      <c r="L34" s="103">
        <f t="shared" si="17"/>
        <v>119313.93</v>
      </c>
      <c r="M34" s="103">
        <f t="shared" si="17"/>
        <v>39209.94</v>
      </c>
      <c r="N34" s="103">
        <f t="shared" si="17"/>
        <v>52279.92</v>
      </c>
      <c r="O34" s="103">
        <f t="shared" si="17"/>
        <v>235464</v>
      </c>
      <c r="P34" s="103">
        <f t="shared" si="17"/>
        <v>1720024</v>
      </c>
    </row>
    <row r="35" spans="1:20" s="93" customFormat="1" ht="72" x14ac:dyDescent="0.2">
      <c r="A35" s="104">
        <v>14</v>
      </c>
      <c r="B35" s="104" t="s">
        <v>311</v>
      </c>
      <c r="C35" s="104" t="s">
        <v>312</v>
      </c>
      <c r="D35" s="104" t="s">
        <v>11</v>
      </c>
      <c r="E35" s="104" t="s">
        <v>785</v>
      </c>
      <c r="F35" s="104" t="s">
        <v>772</v>
      </c>
      <c r="G35" s="105">
        <f>+J35+K35+L35+M35+N35+O35+P35</f>
        <v>411436.52</v>
      </c>
      <c r="H35" s="109">
        <f>+ROUNDDOWN(G35*0.75,2)</f>
        <v>308577.39</v>
      </c>
      <c r="I35" s="105">
        <f>+G35-H35</f>
        <v>102859.13</v>
      </c>
      <c r="J35" s="105">
        <v>0</v>
      </c>
      <c r="K35" s="109">
        <f>ROUNDDOWN(146958.77*1.025,2)</f>
        <v>150632.73000000001</v>
      </c>
      <c r="L35" s="109">
        <f>ROUNDDOWN(116403.84*1.025,2)</f>
        <v>119313.93</v>
      </c>
      <c r="M35" s="112">
        <f>ROUNDDOWN(38253.6*1.025,2)</f>
        <v>39209.94</v>
      </c>
      <c r="N35" s="112">
        <v>52279.92</v>
      </c>
      <c r="O35" s="112">
        <v>50000</v>
      </c>
      <c r="P35" s="111">
        <v>0</v>
      </c>
    </row>
    <row r="36" spans="1:20" s="93" customFormat="1" x14ac:dyDescent="0.2">
      <c r="A36" s="104">
        <v>15</v>
      </c>
      <c r="B36" s="104" t="s">
        <v>759</v>
      </c>
      <c r="C36" s="104" t="s">
        <v>760</v>
      </c>
      <c r="D36" s="104" t="s">
        <v>11</v>
      </c>
      <c r="E36" s="104" t="s">
        <v>785</v>
      </c>
      <c r="F36" s="104" t="s">
        <v>772</v>
      </c>
      <c r="G36" s="105">
        <f>+J36+K36+L36+M36+N36+O36+P36</f>
        <v>0</v>
      </c>
      <c r="H36" s="109">
        <f>+ROUNDDOWN(G36*0.75,2)</f>
        <v>0</v>
      </c>
      <c r="I36" s="105">
        <f>+G36-H36</f>
        <v>0</v>
      </c>
      <c r="J36" s="105">
        <v>0</v>
      </c>
      <c r="K36" s="109">
        <v>0</v>
      </c>
      <c r="L36" s="109">
        <v>0</v>
      </c>
      <c r="M36" s="112">
        <v>0</v>
      </c>
      <c r="N36" s="112">
        <v>0</v>
      </c>
      <c r="O36" s="112">
        <v>0</v>
      </c>
      <c r="P36" s="111">
        <v>0</v>
      </c>
    </row>
    <row r="37" spans="1:20" s="93" customFormat="1" x14ac:dyDescent="0.2">
      <c r="A37" s="104">
        <v>16</v>
      </c>
      <c r="B37" s="104" t="s">
        <v>794</v>
      </c>
      <c r="C37" s="104" t="s">
        <v>793</v>
      </c>
      <c r="D37" s="104" t="s">
        <v>11</v>
      </c>
      <c r="E37" s="104" t="s">
        <v>813</v>
      </c>
      <c r="F37" s="104" t="s">
        <v>772</v>
      </c>
      <c r="G37" s="105">
        <f>+J37+K37+L37+M37+N37+O37+P37</f>
        <v>1905488</v>
      </c>
      <c r="H37" s="109">
        <f>+ROUNDDOWN(G37*0.75,2)</f>
        <v>1429116</v>
      </c>
      <c r="I37" s="105">
        <f>+G37-H37</f>
        <v>476372</v>
      </c>
      <c r="J37" s="105">
        <v>0</v>
      </c>
      <c r="K37" s="105">
        <v>0</v>
      </c>
      <c r="L37" s="105">
        <v>0</v>
      </c>
      <c r="M37" s="111">
        <v>0</v>
      </c>
      <c r="N37" s="111">
        <v>0</v>
      </c>
      <c r="O37" s="111">
        <v>185464</v>
      </c>
      <c r="P37" s="111">
        <v>1720024</v>
      </c>
      <c r="T37" s="127"/>
    </row>
    <row r="38" spans="1:20" ht="24" x14ac:dyDescent="0.2">
      <c r="A38" s="100"/>
      <c r="B38" s="100" t="s">
        <v>314</v>
      </c>
      <c r="C38" s="100" t="s">
        <v>315</v>
      </c>
      <c r="D38" s="100" t="s">
        <v>776</v>
      </c>
      <c r="E38" s="100"/>
      <c r="F38" s="100"/>
      <c r="G38" s="101">
        <f t="shared" ref="G38:O38" si="18">+G39+G41</f>
        <v>618737.23</v>
      </c>
      <c r="H38" s="101">
        <f>+H39+H41</f>
        <v>464052.92</v>
      </c>
      <c r="I38" s="101">
        <f t="shared" si="18"/>
        <v>154684.31</v>
      </c>
      <c r="J38" s="101">
        <f t="shared" si="18"/>
        <v>0</v>
      </c>
      <c r="K38" s="101">
        <f t="shared" si="18"/>
        <v>3299.8</v>
      </c>
      <c r="L38" s="101">
        <f t="shared" si="18"/>
        <v>6169.05</v>
      </c>
      <c r="M38" s="101">
        <f t="shared" si="18"/>
        <v>4268.38</v>
      </c>
      <c r="N38" s="101">
        <f t="shared" si="18"/>
        <v>0</v>
      </c>
      <c r="O38" s="101">
        <f t="shared" si="18"/>
        <v>5000</v>
      </c>
      <c r="P38" s="101">
        <f>+P39+P41</f>
        <v>600000</v>
      </c>
      <c r="Q38" s="130"/>
    </row>
    <row r="39" spans="1:20" ht="48" x14ac:dyDescent="0.2">
      <c r="A39" s="102"/>
      <c r="B39" s="102" t="s">
        <v>316</v>
      </c>
      <c r="C39" s="102" t="s">
        <v>317</v>
      </c>
      <c r="D39" s="102" t="s">
        <v>8</v>
      </c>
      <c r="E39" s="102"/>
      <c r="F39" s="102"/>
      <c r="G39" s="103">
        <f>+G40</f>
        <v>18737.23</v>
      </c>
      <c r="H39" s="103">
        <f t="shared" ref="H39:P39" si="19">+H40</f>
        <v>14052.92</v>
      </c>
      <c r="I39" s="103">
        <f t="shared" si="19"/>
        <v>4684.3099999999995</v>
      </c>
      <c r="J39" s="103">
        <f t="shared" si="19"/>
        <v>0</v>
      </c>
      <c r="K39" s="103">
        <f t="shared" si="19"/>
        <v>3299.8</v>
      </c>
      <c r="L39" s="103">
        <f t="shared" si="19"/>
        <v>6169.05</v>
      </c>
      <c r="M39" s="103">
        <f t="shared" si="19"/>
        <v>4268.38</v>
      </c>
      <c r="N39" s="103">
        <f t="shared" si="19"/>
        <v>0</v>
      </c>
      <c r="O39" s="103">
        <f t="shared" si="19"/>
        <v>5000</v>
      </c>
      <c r="P39" s="103">
        <f t="shared" si="19"/>
        <v>0</v>
      </c>
    </row>
    <row r="40" spans="1:20" s="93" customFormat="1" ht="36" x14ac:dyDescent="0.2">
      <c r="A40" s="104">
        <v>17</v>
      </c>
      <c r="B40" s="104" t="s">
        <v>318</v>
      </c>
      <c r="C40" s="104" t="s">
        <v>319</v>
      </c>
      <c r="D40" s="104" t="s">
        <v>11</v>
      </c>
      <c r="E40" s="104" t="s">
        <v>784</v>
      </c>
      <c r="F40" s="104" t="s">
        <v>772</v>
      </c>
      <c r="G40" s="105">
        <f>+J40+K40+L40+M40+N40+O40+P40</f>
        <v>18737.23</v>
      </c>
      <c r="H40" s="109">
        <f>+ROUNDDOWN(G40*0.75,2)</f>
        <v>14052.92</v>
      </c>
      <c r="I40" s="105">
        <f>+G40-H40</f>
        <v>4684.3099999999995</v>
      </c>
      <c r="J40" s="105"/>
      <c r="K40" s="125">
        <v>3299.8</v>
      </c>
      <c r="L40" s="125">
        <v>6169.05</v>
      </c>
      <c r="M40" s="125">
        <v>4268.38</v>
      </c>
      <c r="N40" s="111">
        <v>0</v>
      </c>
      <c r="O40" s="111">
        <v>5000</v>
      </c>
      <c r="P40" s="111">
        <v>0</v>
      </c>
    </row>
    <row r="41" spans="1:20" ht="60" x14ac:dyDescent="0.2">
      <c r="A41" s="102"/>
      <c r="B41" s="102" t="s">
        <v>320</v>
      </c>
      <c r="C41" s="102" t="s">
        <v>321</v>
      </c>
      <c r="D41" s="102" t="s">
        <v>8</v>
      </c>
      <c r="E41" s="102"/>
      <c r="F41" s="102"/>
      <c r="G41" s="103">
        <f>+G42</f>
        <v>600000</v>
      </c>
      <c r="H41" s="103">
        <f t="shared" ref="H41:P41" si="20">+H42</f>
        <v>450000</v>
      </c>
      <c r="I41" s="103">
        <f t="shared" si="20"/>
        <v>150000</v>
      </c>
      <c r="J41" s="103">
        <f t="shared" si="20"/>
        <v>0</v>
      </c>
      <c r="K41" s="103">
        <f t="shared" si="20"/>
        <v>0</v>
      </c>
      <c r="L41" s="103">
        <f t="shared" si="20"/>
        <v>0</v>
      </c>
      <c r="M41" s="103">
        <f t="shared" si="20"/>
        <v>0</v>
      </c>
      <c r="N41" s="103">
        <f t="shared" si="20"/>
        <v>0</v>
      </c>
      <c r="O41" s="103">
        <f t="shared" si="20"/>
        <v>0</v>
      </c>
      <c r="P41" s="103">
        <f t="shared" si="20"/>
        <v>600000</v>
      </c>
    </row>
    <row r="42" spans="1:20" s="93" customFormat="1" ht="32.25" customHeight="1" x14ac:dyDescent="0.2">
      <c r="A42" s="104">
        <v>18</v>
      </c>
      <c r="B42" s="104" t="s">
        <v>322</v>
      </c>
      <c r="C42" s="104" t="s">
        <v>323</v>
      </c>
      <c r="D42" s="104" t="s">
        <v>11</v>
      </c>
      <c r="E42" s="104" t="s">
        <v>784</v>
      </c>
      <c r="F42" s="104" t="s">
        <v>772</v>
      </c>
      <c r="G42" s="105">
        <f>+J42+K42+L42+M42+N42+O42+P42</f>
        <v>600000</v>
      </c>
      <c r="H42" s="109">
        <f>+ROUNDDOWN(G42*0.75,2)</f>
        <v>450000</v>
      </c>
      <c r="I42" s="105">
        <f>+G42-H42</f>
        <v>150000</v>
      </c>
      <c r="J42" s="105">
        <v>0</v>
      </c>
      <c r="K42" s="105">
        <v>0</v>
      </c>
      <c r="L42" s="105">
        <v>0</v>
      </c>
      <c r="M42" s="111">
        <v>0</v>
      </c>
      <c r="N42" s="111">
        <v>0</v>
      </c>
      <c r="O42" s="111">
        <v>0</v>
      </c>
      <c r="P42" s="111">
        <v>600000</v>
      </c>
    </row>
    <row r="43" spans="1:20" ht="24" x14ac:dyDescent="0.2">
      <c r="A43" s="100"/>
      <c r="B43" s="100" t="s">
        <v>324</v>
      </c>
      <c r="C43" s="100" t="s">
        <v>282</v>
      </c>
      <c r="D43" s="100" t="s">
        <v>776</v>
      </c>
      <c r="E43" s="100"/>
      <c r="F43" s="100"/>
      <c r="G43" s="101">
        <f t="shared" ref="G43:O43" si="21">+G44+G46+G48+G50</f>
        <v>3830888.3215000001</v>
      </c>
      <c r="H43" s="101">
        <f t="shared" si="21"/>
        <v>2873166.2199999997</v>
      </c>
      <c r="I43" s="101">
        <f t="shared" si="21"/>
        <v>957722.10149999987</v>
      </c>
      <c r="J43" s="101">
        <f t="shared" si="21"/>
        <v>76297.329999999987</v>
      </c>
      <c r="K43" s="101">
        <f t="shared" si="21"/>
        <v>81887.468500000003</v>
      </c>
      <c r="L43" s="101">
        <f t="shared" si="21"/>
        <v>397944.78</v>
      </c>
      <c r="M43" s="101">
        <f t="shared" si="21"/>
        <v>31468.952999999998</v>
      </c>
      <c r="N43" s="101">
        <f t="shared" si="21"/>
        <v>1772368.79</v>
      </c>
      <c r="O43" s="101">
        <f t="shared" si="21"/>
        <v>1470921</v>
      </c>
      <c r="P43" s="101">
        <f>+P44+P46+P48+P50</f>
        <v>0</v>
      </c>
    </row>
    <row r="44" spans="1:20" ht="48" x14ac:dyDescent="0.2">
      <c r="A44" s="102"/>
      <c r="B44" s="102" t="s">
        <v>325</v>
      </c>
      <c r="C44" s="102" t="s">
        <v>326</v>
      </c>
      <c r="D44" s="102" t="s">
        <v>8</v>
      </c>
      <c r="E44" s="102"/>
      <c r="F44" s="102"/>
      <c r="G44" s="103">
        <f>+G45</f>
        <v>220208.89824999997</v>
      </c>
      <c r="H44" s="103">
        <f t="shared" ref="H44:P44" si="22">+H45</f>
        <v>165156.67000000001</v>
      </c>
      <c r="I44" s="103">
        <f t="shared" si="22"/>
        <v>55052.228249999956</v>
      </c>
      <c r="J44" s="103">
        <f t="shared" si="22"/>
        <v>58986.979999999996</v>
      </c>
      <c r="K44" s="103">
        <f t="shared" si="22"/>
        <v>61593.008500000011</v>
      </c>
      <c r="L44" s="103">
        <f t="shared" si="22"/>
        <v>32512.770000000004</v>
      </c>
      <c r="M44" s="103">
        <f t="shared" si="22"/>
        <v>12622.249749999999</v>
      </c>
      <c r="N44" s="103">
        <f t="shared" si="22"/>
        <v>30793.89</v>
      </c>
      <c r="O44" s="103">
        <f t="shared" si="22"/>
        <v>23700</v>
      </c>
      <c r="P44" s="103">
        <f t="shared" si="22"/>
        <v>0</v>
      </c>
    </row>
    <row r="45" spans="1:20" s="93" customFormat="1" ht="66.75" customHeight="1" x14ac:dyDescent="0.2">
      <c r="A45" s="104">
        <v>19</v>
      </c>
      <c r="B45" s="104" t="s">
        <v>327</v>
      </c>
      <c r="C45" s="104" t="s">
        <v>328</v>
      </c>
      <c r="D45" s="104" t="s">
        <v>11</v>
      </c>
      <c r="E45" s="104" t="s">
        <v>786</v>
      </c>
      <c r="F45" s="104" t="s">
        <v>772</v>
      </c>
      <c r="G45" s="105">
        <f>+J45+K45+L45+M45+N45+O45+P45</f>
        <v>220208.89824999997</v>
      </c>
      <c r="H45" s="109">
        <f>+ROUNDDOWN(G45*0.75,2)</f>
        <v>165156.67000000001</v>
      </c>
      <c r="I45" s="109">
        <f>+G45-H45</f>
        <v>55052.228249999956</v>
      </c>
      <c r="J45" s="109">
        <v>58986.979999999996</v>
      </c>
      <c r="K45" s="109">
        <v>61593.008500000011</v>
      </c>
      <c r="L45" s="109">
        <v>32512.770000000004</v>
      </c>
      <c r="M45" s="112">
        <f>12314.39*1.025</f>
        <v>12622.249749999999</v>
      </c>
      <c r="N45" s="112">
        <v>30793.89</v>
      </c>
      <c r="O45" s="112">
        <f>13700+10000</f>
        <v>23700</v>
      </c>
      <c r="P45" s="111">
        <v>0</v>
      </c>
    </row>
    <row r="46" spans="1:20" ht="60" x14ac:dyDescent="0.2">
      <c r="A46" s="102"/>
      <c r="B46" s="102" t="s">
        <v>329</v>
      </c>
      <c r="C46" s="102" t="s">
        <v>330</v>
      </c>
      <c r="D46" s="102" t="s">
        <v>8</v>
      </c>
      <c r="E46" s="102"/>
      <c r="F46" s="102"/>
      <c r="G46" s="103">
        <f>+G47</f>
        <v>35269.443249999997</v>
      </c>
      <c r="H46" s="103">
        <f t="shared" ref="H46:P46" si="23">+H47</f>
        <v>26452.080000000002</v>
      </c>
      <c r="I46" s="103">
        <f t="shared" si="23"/>
        <v>8817.3632499999949</v>
      </c>
      <c r="J46" s="103">
        <f t="shared" si="23"/>
        <v>3554.85</v>
      </c>
      <c r="K46" s="103">
        <f t="shared" si="23"/>
        <v>8954.56</v>
      </c>
      <c r="L46" s="103">
        <f t="shared" si="23"/>
        <v>4000</v>
      </c>
      <c r="M46" s="103">
        <f t="shared" si="23"/>
        <v>13613.363249999999</v>
      </c>
      <c r="N46" s="103">
        <f t="shared" si="23"/>
        <v>3146.67</v>
      </c>
      <c r="O46" s="103">
        <f t="shared" si="23"/>
        <v>2000</v>
      </c>
      <c r="P46" s="103">
        <f t="shared" si="23"/>
        <v>0</v>
      </c>
    </row>
    <row r="47" spans="1:20" s="93" customFormat="1" x14ac:dyDescent="0.2">
      <c r="A47" s="104">
        <v>20</v>
      </c>
      <c r="B47" s="104" t="s">
        <v>331</v>
      </c>
      <c r="C47" s="104" t="s">
        <v>332</v>
      </c>
      <c r="D47" s="104" t="s">
        <v>11</v>
      </c>
      <c r="E47" s="104" t="s">
        <v>786</v>
      </c>
      <c r="F47" s="104" t="s">
        <v>772</v>
      </c>
      <c r="G47" s="105">
        <f>+J47+K47+L47+M47+N47+O47+P47</f>
        <v>35269.443249999997</v>
      </c>
      <c r="H47" s="109">
        <f>+ROUNDDOWN(G47*0.75,2)</f>
        <v>26452.080000000002</v>
      </c>
      <c r="I47" s="105">
        <f>+G47-H47</f>
        <v>8817.3632499999949</v>
      </c>
      <c r="J47" s="105">
        <v>3554.85</v>
      </c>
      <c r="K47" s="105">
        <f>8936.13+18.43</f>
        <v>8954.56</v>
      </c>
      <c r="L47" s="105">
        <v>4000</v>
      </c>
      <c r="M47" s="111">
        <f>13281.33*1.025</f>
        <v>13613.363249999999</v>
      </c>
      <c r="N47" s="112">
        <v>3146.67</v>
      </c>
      <c r="O47" s="112">
        <v>2000</v>
      </c>
      <c r="P47" s="111">
        <v>0</v>
      </c>
    </row>
    <row r="48" spans="1:20" ht="60" x14ac:dyDescent="0.2">
      <c r="A48" s="102"/>
      <c r="B48" s="102" t="s">
        <v>333</v>
      </c>
      <c r="C48" s="102" t="s">
        <v>334</v>
      </c>
      <c r="D48" s="102" t="s">
        <v>8</v>
      </c>
      <c r="E48" s="102"/>
      <c r="F48" s="102"/>
      <c r="G48" s="103">
        <f>+G49</f>
        <v>25095.399999999998</v>
      </c>
      <c r="H48" s="103">
        <f t="shared" ref="H48:P48" si="24">+H49</f>
        <v>18821.55</v>
      </c>
      <c r="I48" s="103">
        <f t="shared" si="24"/>
        <v>6273.8499999999985</v>
      </c>
      <c r="J48" s="103">
        <f t="shared" si="24"/>
        <v>13755.499999999998</v>
      </c>
      <c r="K48" s="103">
        <f t="shared" si="24"/>
        <v>11339.9</v>
      </c>
      <c r="L48" s="103">
        <f t="shared" si="24"/>
        <v>0</v>
      </c>
      <c r="M48" s="103">
        <f t="shared" si="24"/>
        <v>0</v>
      </c>
      <c r="N48" s="103">
        <f t="shared" si="24"/>
        <v>0</v>
      </c>
      <c r="O48" s="103">
        <f t="shared" si="24"/>
        <v>0</v>
      </c>
      <c r="P48" s="103">
        <f t="shared" si="24"/>
        <v>0</v>
      </c>
    </row>
    <row r="49" spans="1:18" s="93" customFormat="1" ht="24" x14ac:dyDescent="0.2">
      <c r="A49" s="104">
        <v>21</v>
      </c>
      <c r="B49" s="104" t="s">
        <v>335</v>
      </c>
      <c r="C49" s="104" t="s">
        <v>336</v>
      </c>
      <c r="D49" s="104" t="s">
        <v>11</v>
      </c>
      <c r="E49" s="104" t="s">
        <v>784</v>
      </c>
      <c r="F49" s="104" t="s">
        <v>772</v>
      </c>
      <c r="G49" s="105">
        <f>+J49+K49+L49+M49+N49+O49+P49</f>
        <v>25095.399999999998</v>
      </c>
      <c r="H49" s="109">
        <f>+ROUNDDOWN(G49*0.75,2)</f>
        <v>18821.55</v>
      </c>
      <c r="I49" s="105">
        <f>+G49-H49</f>
        <v>6273.8499999999985</v>
      </c>
      <c r="J49" s="105">
        <v>13755.499999999998</v>
      </c>
      <c r="K49" s="105">
        <v>11339.9</v>
      </c>
      <c r="L49" s="105">
        <v>0</v>
      </c>
      <c r="M49" s="111">
        <v>0</v>
      </c>
      <c r="N49" s="111">
        <v>0</v>
      </c>
      <c r="O49" s="111">
        <v>0</v>
      </c>
      <c r="P49" s="111">
        <v>0</v>
      </c>
    </row>
    <row r="50" spans="1:18" ht="48" x14ac:dyDescent="0.2">
      <c r="A50" s="102"/>
      <c r="B50" s="102" t="s">
        <v>337</v>
      </c>
      <c r="C50" s="102" t="s">
        <v>338</v>
      </c>
      <c r="D50" s="102" t="s">
        <v>8</v>
      </c>
      <c r="E50" s="102"/>
      <c r="F50" s="102"/>
      <c r="G50" s="103">
        <f t="shared" ref="G50:P50" si="25">SUM(G51:G54)</f>
        <v>3550314.58</v>
      </c>
      <c r="H50" s="103">
        <f t="shared" si="25"/>
        <v>2662735.92</v>
      </c>
      <c r="I50" s="103">
        <f t="shared" si="25"/>
        <v>887578.65999999992</v>
      </c>
      <c r="J50" s="103">
        <f t="shared" si="25"/>
        <v>0</v>
      </c>
      <c r="K50" s="103">
        <f t="shared" si="25"/>
        <v>0</v>
      </c>
      <c r="L50" s="103">
        <f t="shared" si="25"/>
        <v>361432.01</v>
      </c>
      <c r="M50" s="103">
        <f t="shared" si="25"/>
        <v>5233.34</v>
      </c>
      <c r="N50" s="103">
        <f t="shared" si="25"/>
        <v>1738428.23</v>
      </c>
      <c r="O50" s="103">
        <f t="shared" si="25"/>
        <v>1445221</v>
      </c>
      <c r="P50" s="103">
        <f t="shared" si="25"/>
        <v>0</v>
      </c>
    </row>
    <row r="51" spans="1:18" s="93" customFormat="1" ht="24" x14ac:dyDescent="0.2">
      <c r="A51" s="104">
        <v>22</v>
      </c>
      <c r="B51" s="104" t="s">
        <v>339</v>
      </c>
      <c r="C51" s="104" t="s">
        <v>340</v>
      </c>
      <c r="D51" s="104" t="s">
        <v>11</v>
      </c>
      <c r="E51" s="104" t="s">
        <v>784</v>
      </c>
      <c r="F51" s="104" t="s">
        <v>772</v>
      </c>
      <c r="G51" s="105">
        <f>+J51+K51+L51+M51+N51+O51+P51</f>
        <v>498649.37</v>
      </c>
      <c r="H51" s="109">
        <f>+ROUNDDOWN(G51*0.75,2)</f>
        <v>373987.02</v>
      </c>
      <c r="I51" s="105">
        <f>+G51-H51</f>
        <v>124662.34999999998</v>
      </c>
      <c r="J51" s="105">
        <v>0</v>
      </c>
      <c r="K51" s="105">
        <v>0</v>
      </c>
      <c r="L51" s="105">
        <v>176117.91</v>
      </c>
      <c r="M51" s="111">
        <v>0</v>
      </c>
      <c r="N51" s="112">
        <v>322531.46000000002</v>
      </c>
      <c r="O51" s="112">
        <v>0</v>
      </c>
      <c r="P51" s="111">
        <v>0</v>
      </c>
    </row>
    <row r="52" spans="1:18" s="93" customFormat="1" ht="36" x14ac:dyDescent="0.2">
      <c r="A52" s="104">
        <v>23</v>
      </c>
      <c r="B52" s="104" t="s">
        <v>341</v>
      </c>
      <c r="C52" s="104" t="s">
        <v>342</v>
      </c>
      <c r="D52" s="104" t="s">
        <v>11</v>
      </c>
      <c r="E52" s="104" t="s">
        <v>785</v>
      </c>
      <c r="F52" s="104" t="s">
        <v>772</v>
      </c>
      <c r="G52" s="105">
        <f>+J52+K52+L52+M52+N52+O52+P52</f>
        <v>442954.34</v>
      </c>
      <c r="H52" s="109">
        <f>+ROUNDDOWN(G52*0.75,2)</f>
        <v>332215.75</v>
      </c>
      <c r="I52" s="105">
        <f>+G52-H52</f>
        <v>110738.59000000003</v>
      </c>
      <c r="J52" s="105">
        <v>0</v>
      </c>
      <c r="K52" s="105">
        <v>0</v>
      </c>
      <c r="L52" s="105">
        <v>0</v>
      </c>
      <c r="M52" s="112">
        <v>5233.34</v>
      </c>
      <c r="N52" s="112">
        <v>0</v>
      </c>
      <c r="O52" s="112">
        <v>437721</v>
      </c>
      <c r="P52" s="111">
        <v>0</v>
      </c>
    </row>
    <row r="53" spans="1:18" s="93" customFormat="1" ht="24" x14ac:dyDescent="0.2">
      <c r="A53" s="104">
        <v>24</v>
      </c>
      <c r="B53" s="104" t="s">
        <v>343</v>
      </c>
      <c r="C53" s="104" t="s">
        <v>798</v>
      </c>
      <c r="D53" s="104" t="s">
        <v>11</v>
      </c>
      <c r="E53" s="104" t="s">
        <v>784</v>
      </c>
      <c r="F53" s="104" t="s">
        <v>772</v>
      </c>
      <c r="G53" s="105">
        <f>+J53+K53+L53+M53+N53+O53+P53</f>
        <v>1143722.3900000001</v>
      </c>
      <c r="H53" s="109">
        <f>+ROUNDDOWN(G53*0.75,2)</f>
        <v>857791.79</v>
      </c>
      <c r="I53" s="105">
        <f>+G53-H53</f>
        <v>285930.60000000009</v>
      </c>
      <c r="J53" s="105">
        <v>0</v>
      </c>
      <c r="K53" s="105">
        <v>0</v>
      </c>
      <c r="L53" s="109">
        <v>185314.1</v>
      </c>
      <c r="M53" s="111">
        <v>0</v>
      </c>
      <c r="N53" s="111">
        <v>445908.29</v>
      </c>
      <c r="O53" s="111">
        <v>512500</v>
      </c>
      <c r="P53" s="111">
        <v>0</v>
      </c>
    </row>
    <row r="54" spans="1:18" s="93" customFormat="1" ht="36" x14ac:dyDescent="0.2">
      <c r="A54" s="104">
        <v>25</v>
      </c>
      <c r="B54" s="104" t="s">
        <v>770</v>
      </c>
      <c r="C54" s="104" t="s">
        <v>771</v>
      </c>
      <c r="D54" s="104" t="s">
        <v>11</v>
      </c>
      <c r="E54" s="104" t="s">
        <v>785</v>
      </c>
      <c r="F54" s="104" t="s">
        <v>772</v>
      </c>
      <c r="G54" s="105">
        <f>+J54+K54+L54+M54+N54+O54+P54</f>
        <v>1464988.48</v>
      </c>
      <c r="H54" s="109">
        <f>+ROUNDDOWN(G54*0.75,2)</f>
        <v>1098741.3600000001</v>
      </c>
      <c r="I54" s="105">
        <f>+G54-H54</f>
        <v>366247.11999999988</v>
      </c>
      <c r="J54" s="105">
        <v>0</v>
      </c>
      <c r="K54" s="105"/>
      <c r="L54" s="109">
        <v>0</v>
      </c>
      <c r="M54" s="111">
        <v>0</v>
      </c>
      <c r="N54" s="111">
        <v>969988.48</v>
      </c>
      <c r="O54" s="111">
        <v>495000</v>
      </c>
      <c r="P54" s="111">
        <v>0</v>
      </c>
      <c r="Q54" s="93">
        <f>0.75*O54</f>
        <v>371250</v>
      </c>
      <c r="R54" s="127">
        <f>+O54-Q54</f>
        <v>123750</v>
      </c>
    </row>
    <row r="55" spans="1:18" ht="24" x14ac:dyDescent="0.2">
      <c r="A55" s="118"/>
      <c r="B55" s="118" t="s">
        <v>344</v>
      </c>
      <c r="C55" s="100" t="s">
        <v>345</v>
      </c>
      <c r="D55" s="100" t="s">
        <v>776</v>
      </c>
      <c r="E55" s="100"/>
      <c r="F55" s="100"/>
      <c r="G55" s="101">
        <f t="shared" ref="G55:O55" si="26">+G56+G60</f>
        <v>2585804.5599999996</v>
      </c>
      <c r="H55" s="101">
        <f t="shared" si="26"/>
        <v>1939353.4100000001</v>
      </c>
      <c r="I55" s="101">
        <f t="shared" si="26"/>
        <v>646451.14999999967</v>
      </c>
      <c r="J55" s="101">
        <f t="shared" si="26"/>
        <v>0</v>
      </c>
      <c r="K55" s="101">
        <f t="shared" si="26"/>
        <v>163522.32</v>
      </c>
      <c r="L55" s="101">
        <f t="shared" si="26"/>
        <v>628672.79</v>
      </c>
      <c r="M55" s="101">
        <f t="shared" si="26"/>
        <v>201419.34</v>
      </c>
      <c r="N55" s="101">
        <f t="shared" si="26"/>
        <v>772190.11</v>
      </c>
      <c r="O55" s="101">
        <f t="shared" si="26"/>
        <v>820000</v>
      </c>
      <c r="P55" s="101">
        <f>+P56+P60</f>
        <v>0</v>
      </c>
    </row>
    <row r="56" spans="1:18" ht="60" x14ac:dyDescent="0.2">
      <c r="A56" s="102"/>
      <c r="B56" s="102" t="s">
        <v>346</v>
      </c>
      <c r="C56" s="102" t="s">
        <v>347</v>
      </c>
      <c r="D56" s="102" t="s">
        <v>8</v>
      </c>
      <c r="E56" s="102"/>
      <c r="F56" s="102"/>
      <c r="G56" s="103">
        <f t="shared" ref="G56:O56" si="27">+G57+G58+G59</f>
        <v>2350024.1799999997</v>
      </c>
      <c r="H56" s="103">
        <f t="shared" si="27"/>
        <v>1762518.1300000001</v>
      </c>
      <c r="I56" s="103">
        <f t="shared" si="27"/>
        <v>587506.0499999997</v>
      </c>
      <c r="J56" s="103">
        <f t="shared" si="27"/>
        <v>0</v>
      </c>
      <c r="K56" s="103">
        <f>+K57+K58+K59</f>
        <v>163522.32</v>
      </c>
      <c r="L56" s="103">
        <f>+L57+L58+L59</f>
        <v>487404</v>
      </c>
      <c r="M56" s="103">
        <f t="shared" si="27"/>
        <v>106907.75</v>
      </c>
      <c r="N56" s="103">
        <f t="shared" si="27"/>
        <v>772190.11</v>
      </c>
      <c r="O56" s="103">
        <f t="shared" si="27"/>
        <v>820000</v>
      </c>
      <c r="P56" s="103">
        <f>+P57+P58+P59</f>
        <v>0</v>
      </c>
    </row>
    <row r="57" spans="1:18" s="93" customFormat="1" ht="24" x14ac:dyDescent="0.2">
      <c r="A57" s="104">
        <v>26</v>
      </c>
      <c r="B57" s="104" t="s">
        <v>348</v>
      </c>
      <c r="C57" s="104" t="s">
        <v>349</v>
      </c>
      <c r="D57" s="104" t="s">
        <v>11</v>
      </c>
      <c r="E57" s="104" t="s">
        <v>785</v>
      </c>
      <c r="F57" s="104" t="s">
        <v>772</v>
      </c>
      <c r="G57" s="105">
        <f>+J57+K57+L57+M57+N57+O57+P57</f>
        <v>106907.75</v>
      </c>
      <c r="H57" s="109">
        <f>+ROUNDDOWN(G57*0.75,2)</f>
        <v>80180.81</v>
      </c>
      <c r="I57" s="105">
        <f>+G57-H57</f>
        <v>26726.940000000002</v>
      </c>
      <c r="J57" s="105">
        <v>0</v>
      </c>
      <c r="K57" s="105">
        <v>0</v>
      </c>
      <c r="L57" s="109">
        <v>0</v>
      </c>
      <c r="M57" s="111">
        <v>106907.75</v>
      </c>
      <c r="N57" s="111">
        <v>0</v>
      </c>
      <c r="O57" s="111">
        <v>0</v>
      </c>
      <c r="P57" s="111">
        <v>0</v>
      </c>
    </row>
    <row r="58" spans="1:18" s="93" customFormat="1" ht="36" x14ac:dyDescent="0.2">
      <c r="A58" s="104">
        <v>27</v>
      </c>
      <c r="B58" s="104" t="s">
        <v>350</v>
      </c>
      <c r="C58" s="104" t="s">
        <v>351</v>
      </c>
      <c r="D58" s="104" t="s">
        <v>11</v>
      </c>
      <c r="E58" s="104" t="s">
        <v>784</v>
      </c>
      <c r="F58" s="104" t="s">
        <v>772</v>
      </c>
      <c r="G58" s="105">
        <f>+J58+K58+L58+M58+N58+O58+P58</f>
        <v>2079594.1099999999</v>
      </c>
      <c r="H58" s="109">
        <f>+ROUNDDOWN(G58*0.75,2)</f>
        <v>1559695.58</v>
      </c>
      <c r="I58" s="105">
        <f>+G58-H58</f>
        <v>519898.5299999998</v>
      </c>
      <c r="J58" s="105">
        <v>0</v>
      </c>
      <c r="K58" s="105">
        <v>0</v>
      </c>
      <c r="L58" s="109">
        <v>487404</v>
      </c>
      <c r="M58" s="112">
        <v>0</v>
      </c>
      <c r="N58" s="112">
        <v>772190.11</v>
      </c>
      <c r="O58" s="111">
        <v>820000</v>
      </c>
      <c r="P58" s="111">
        <v>0</v>
      </c>
    </row>
    <row r="59" spans="1:18" s="93" customFormat="1" ht="36" x14ac:dyDescent="0.2">
      <c r="A59" s="104">
        <v>28</v>
      </c>
      <c r="B59" s="104" t="s">
        <v>352</v>
      </c>
      <c r="C59" s="104" t="s">
        <v>353</v>
      </c>
      <c r="D59" s="104" t="s">
        <v>11</v>
      </c>
      <c r="E59" s="104" t="s">
        <v>784</v>
      </c>
      <c r="F59" s="104" t="s">
        <v>772</v>
      </c>
      <c r="G59" s="105">
        <f>+J59+K59+L59+M59+N59+O59+P59</f>
        <v>163522.32</v>
      </c>
      <c r="H59" s="109">
        <f>+ROUNDDOWN(G59*0.75,2)</f>
        <v>122641.74</v>
      </c>
      <c r="I59" s="105">
        <f>+G59-H59</f>
        <v>40880.58</v>
      </c>
      <c r="J59" s="105">
        <v>0</v>
      </c>
      <c r="K59" s="105">
        <v>163522.32</v>
      </c>
      <c r="L59" s="105">
        <v>0</v>
      </c>
      <c r="M59" s="111">
        <v>0</v>
      </c>
      <c r="N59" s="111">
        <v>0</v>
      </c>
      <c r="O59" s="111">
        <v>0</v>
      </c>
      <c r="P59" s="111">
        <v>0</v>
      </c>
    </row>
    <row r="60" spans="1:18" ht="48" x14ac:dyDescent="0.2">
      <c r="A60" s="102"/>
      <c r="B60" s="102" t="s">
        <v>354</v>
      </c>
      <c r="C60" s="102" t="s">
        <v>355</v>
      </c>
      <c r="D60" s="102" t="s">
        <v>8</v>
      </c>
      <c r="E60" s="102"/>
      <c r="F60" s="102"/>
      <c r="G60" s="103">
        <f>+G61</f>
        <v>235780.38</v>
      </c>
      <c r="H60" s="103">
        <f t="shared" ref="H60:P60" si="28">+H61</f>
        <v>176835.28</v>
      </c>
      <c r="I60" s="103">
        <f t="shared" si="28"/>
        <v>58945.100000000006</v>
      </c>
      <c r="J60" s="103">
        <f t="shared" si="28"/>
        <v>0</v>
      </c>
      <c r="K60" s="103">
        <f t="shared" si="28"/>
        <v>0</v>
      </c>
      <c r="L60" s="103">
        <f t="shared" si="28"/>
        <v>141268.79</v>
      </c>
      <c r="M60" s="110">
        <f t="shared" si="28"/>
        <v>94511.59</v>
      </c>
      <c r="N60" s="103">
        <f t="shared" si="28"/>
        <v>0</v>
      </c>
      <c r="O60" s="103">
        <f t="shared" si="28"/>
        <v>0</v>
      </c>
      <c r="P60" s="103">
        <f t="shared" si="28"/>
        <v>0</v>
      </c>
    </row>
    <row r="61" spans="1:18" s="93" customFormat="1" ht="36" x14ac:dyDescent="0.2">
      <c r="A61" s="104">
        <v>29</v>
      </c>
      <c r="B61" s="104" t="s">
        <v>356</v>
      </c>
      <c r="C61" s="104" t="s">
        <v>778</v>
      </c>
      <c r="D61" s="104" t="s">
        <v>11</v>
      </c>
      <c r="E61" s="104" t="s">
        <v>784</v>
      </c>
      <c r="F61" s="104" t="s">
        <v>772</v>
      </c>
      <c r="G61" s="105">
        <f>+J61+K61+L61+M61+N61+O61+P61</f>
        <v>235780.38</v>
      </c>
      <c r="H61" s="109">
        <f>+ROUNDDOWN(G61*0.75,2)</f>
        <v>176835.28</v>
      </c>
      <c r="I61" s="105">
        <f>+G61-H61</f>
        <v>58945.100000000006</v>
      </c>
      <c r="J61" s="105">
        <v>0</v>
      </c>
      <c r="K61" s="105">
        <v>0</v>
      </c>
      <c r="L61" s="105">
        <v>141268.79</v>
      </c>
      <c r="M61" s="112">
        <v>94511.59</v>
      </c>
      <c r="N61" s="111">
        <v>0</v>
      </c>
      <c r="O61" s="111">
        <v>0</v>
      </c>
      <c r="P61" s="111">
        <v>0</v>
      </c>
    </row>
    <row r="62" spans="1:18" ht="24" x14ac:dyDescent="0.2">
      <c r="A62" s="100"/>
      <c r="B62" s="100" t="s">
        <v>357</v>
      </c>
      <c r="C62" s="100" t="s">
        <v>259</v>
      </c>
      <c r="D62" s="100" t="s">
        <v>776</v>
      </c>
      <c r="E62" s="100"/>
      <c r="F62" s="100"/>
      <c r="G62" s="101">
        <f>+G63+G65+G67+G69+G73+G78</f>
        <v>21005313.119999997</v>
      </c>
      <c r="H62" s="101">
        <f>+H63+H65+H67+H69+H73+H78</f>
        <v>18468051.329999998</v>
      </c>
      <c r="I62" s="101">
        <f t="shared" ref="I62:P62" si="29">+I63+I65+I67+I69+I73+I78</f>
        <v>2537261.79</v>
      </c>
      <c r="J62" s="101">
        <f t="shared" si="29"/>
        <v>54493.22</v>
      </c>
      <c r="K62" s="101">
        <f t="shared" si="29"/>
        <v>103937.53</v>
      </c>
      <c r="L62" s="101">
        <f t="shared" si="29"/>
        <v>932289.78</v>
      </c>
      <c r="M62" s="101">
        <f t="shared" si="29"/>
        <v>330732.59999999998</v>
      </c>
      <c r="N62" s="101">
        <f t="shared" si="29"/>
        <v>3562773.7700000005</v>
      </c>
      <c r="O62" s="101">
        <f t="shared" si="29"/>
        <v>3735945.17</v>
      </c>
      <c r="P62" s="101">
        <f t="shared" si="29"/>
        <v>12285141.050000001</v>
      </c>
    </row>
    <row r="63" spans="1:18" ht="60" x14ac:dyDescent="0.2">
      <c r="A63" s="102"/>
      <c r="B63" s="102" t="s">
        <v>358</v>
      </c>
      <c r="C63" s="102" t="s">
        <v>359</v>
      </c>
      <c r="D63" s="102" t="s">
        <v>8</v>
      </c>
      <c r="E63" s="102"/>
      <c r="F63" s="102"/>
      <c r="G63" s="103">
        <f>+G64</f>
        <v>947946.51</v>
      </c>
      <c r="H63" s="103">
        <f t="shared" ref="H63:P63" si="30">+H64</f>
        <v>710959.88</v>
      </c>
      <c r="I63" s="103">
        <f t="shared" si="30"/>
        <v>236986.63</v>
      </c>
      <c r="J63" s="103">
        <f t="shared" si="30"/>
        <v>8748</v>
      </c>
      <c r="K63" s="103">
        <f t="shared" si="30"/>
        <v>36361</v>
      </c>
      <c r="L63" s="103">
        <f t="shared" si="30"/>
        <v>213474.51</v>
      </c>
      <c r="M63" s="103">
        <f t="shared" si="30"/>
        <v>61948</v>
      </c>
      <c r="N63" s="103">
        <f t="shared" si="30"/>
        <v>127415</v>
      </c>
      <c r="O63" s="103">
        <f t="shared" si="30"/>
        <v>500000</v>
      </c>
      <c r="P63" s="103">
        <f t="shared" si="30"/>
        <v>0</v>
      </c>
    </row>
    <row r="64" spans="1:18" s="93" customFormat="1" ht="60" x14ac:dyDescent="0.2">
      <c r="A64" s="104">
        <v>30</v>
      </c>
      <c r="B64" s="104" t="s">
        <v>360</v>
      </c>
      <c r="C64" s="104" t="s">
        <v>359</v>
      </c>
      <c r="D64" s="104" t="s">
        <v>11</v>
      </c>
      <c r="E64" s="104" t="s">
        <v>787</v>
      </c>
      <c r="F64" s="104" t="s">
        <v>772</v>
      </c>
      <c r="G64" s="105">
        <f>+J64+K64+L64+M64+N64+O64+P64</f>
        <v>947946.51</v>
      </c>
      <c r="H64" s="109">
        <f>+ROUNDDOWN(G64*0.75,2)</f>
        <v>710959.88</v>
      </c>
      <c r="I64" s="105">
        <f>+G64-H64</f>
        <v>236986.63</v>
      </c>
      <c r="J64" s="105">
        <v>8748</v>
      </c>
      <c r="K64" s="105">
        <v>36361</v>
      </c>
      <c r="L64" s="105">
        <v>213474.51</v>
      </c>
      <c r="M64" s="105">
        <v>61948</v>
      </c>
      <c r="N64" s="109">
        <v>127415</v>
      </c>
      <c r="O64" s="109">
        <f>500000</f>
        <v>500000</v>
      </c>
      <c r="P64" s="109">
        <v>0</v>
      </c>
    </row>
    <row r="65" spans="1:21" ht="48" x14ac:dyDescent="0.2">
      <c r="A65" s="102"/>
      <c r="B65" s="102" t="s">
        <v>361</v>
      </c>
      <c r="C65" s="102" t="s">
        <v>777</v>
      </c>
      <c r="D65" s="102" t="s">
        <v>8</v>
      </c>
      <c r="E65" s="102"/>
      <c r="F65" s="102"/>
      <c r="G65" s="103">
        <f>+G66</f>
        <v>245745.22</v>
      </c>
      <c r="H65" s="103">
        <f t="shared" ref="H65:P65" si="31">+H66</f>
        <v>184308.91</v>
      </c>
      <c r="I65" s="103">
        <f t="shared" si="31"/>
        <v>61436.31</v>
      </c>
      <c r="J65" s="103">
        <f t="shared" si="31"/>
        <v>45745.22</v>
      </c>
      <c r="K65" s="103">
        <f t="shared" si="31"/>
        <v>45000</v>
      </c>
      <c r="L65" s="103">
        <f t="shared" si="31"/>
        <v>45000</v>
      </c>
      <c r="M65" s="103">
        <f t="shared" si="31"/>
        <v>60000</v>
      </c>
      <c r="N65" s="103">
        <f t="shared" si="31"/>
        <v>50000</v>
      </c>
      <c r="O65" s="103">
        <f t="shared" si="31"/>
        <v>0</v>
      </c>
      <c r="P65" s="103">
        <f t="shared" si="31"/>
        <v>0</v>
      </c>
    </row>
    <row r="66" spans="1:21" s="93" customFormat="1" ht="36" x14ac:dyDescent="0.2">
      <c r="A66" s="104">
        <v>31</v>
      </c>
      <c r="B66" s="104" t="s">
        <v>362</v>
      </c>
      <c r="C66" s="104" t="s">
        <v>363</v>
      </c>
      <c r="D66" s="104" t="s">
        <v>11</v>
      </c>
      <c r="E66" s="104" t="s">
        <v>788</v>
      </c>
      <c r="F66" s="104" t="s">
        <v>772</v>
      </c>
      <c r="G66" s="105">
        <f>+J66+K66+L66+M66+N66+O66+P66</f>
        <v>245745.22</v>
      </c>
      <c r="H66" s="109">
        <f>+ROUNDDOWN(G66*0.75,2)</f>
        <v>184308.91</v>
      </c>
      <c r="I66" s="105">
        <f>+G66-H66</f>
        <v>61436.31</v>
      </c>
      <c r="J66" s="105">
        <v>45745.22</v>
      </c>
      <c r="K66" s="105">
        <v>45000</v>
      </c>
      <c r="L66" s="105">
        <v>45000</v>
      </c>
      <c r="M66" s="111">
        <v>60000</v>
      </c>
      <c r="N66" s="111">
        <v>50000</v>
      </c>
      <c r="O66" s="111">
        <v>0</v>
      </c>
      <c r="P66" s="111">
        <v>0</v>
      </c>
    </row>
    <row r="67" spans="1:21" ht="60" x14ac:dyDescent="0.2">
      <c r="A67" s="102"/>
      <c r="B67" s="102" t="s">
        <v>364</v>
      </c>
      <c r="C67" s="102" t="s">
        <v>365</v>
      </c>
      <c r="D67" s="102" t="s">
        <v>8</v>
      </c>
      <c r="E67" s="102"/>
      <c r="F67" s="102"/>
      <c r="G67" s="103">
        <f>+G68</f>
        <v>4321353.3499999996</v>
      </c>
      <c r="H67" s="103">
        <f t="shared" ref="H67:P67" si="32">+H68</f>
        <v>3241015.01</v>
      </c>
      <c r="I67" s="103">
        <f t="shared" si="32"/>
        <v>1080338.3399999999</v>
      </c>
      <c r="J67" s="103">
        <f t="shared" si="32"/>
        <v>0</v>
      </c>
      <c r="K67" s="103">
        <f t="shared" si="32"/>
        <v>22576.53</v>
      </c>
      <c r="L67" s="103">
        <f t="shared" si="32"/>
        <v>673815.27</v>
      </c>
      <c r="M67" s="110">
        <f t="shared" si="32"/>
        <v>208784.6</v>
      </c>
      <c r="N67" s="103">
        <f t="shared" si="32"/>
        <v>2856176.95</v>
      </c>
      <c r="O67" s="103">
        <f t="shared" si="32"/>
        <v>560000</v>
      </c>
      <c r="P67" s="103">
        <f t="shared" si="32"/>
        <v>0</v>
      </c>
    </row>
    <row r="68" spans="1:21" s="93" customFormat="1" ht="48" x14ac:dyDescent="0.2">
      <c r="A68" s="104">
        <v>32</v>
      </c>
      <c r="B68" s="104" t="s">
        <v>366</v>
      </c>
      <c r="C68" s="104" t="s">
        <v>367</v>
      </c>
      <c r="D68" s="104" t="s">
        <v>11</v>
      </c>
      <c r="E68" s="104" t="s">
        <v>784</v>
      </c>
      <c r="F68" s="104" t="s">
        <v>772</v>
      </c>
      <c r="G68" s="105">
        <f>+J68+K68+L68+M68+N68+O68+P68</f>
        <v>4321353.3499999996</v>
      </c>
      <c r="H68" s="109">
        <f>+ROUNDDOWN(G68*0.75,2)</f>
        <v>3241015.01</v>
      </c>
      <c r="I68" s="105">
        <f>+G68-H68</f>
        <v>1080338.3399999999</v>
      </c>
      <c r="J68" s="105">
        <v>0</v>
      </c>
      <c r="K68" s="105">
        <v>22576.53</v>
      </c>
      <c r="L68" s="105">
        <v>673815.27</v>
      </c>
      <c r="M68" s="112">
        <v>208784.6</v>
      </c>
      <c r="N68" s="111">
        <v>2856176.95</v>
      </c>
      <c r="O68" s="111">
        <v>560000</v>
      </c>
      <c r="P68" s="111">
        <v>0</v>
      </c>
      <c r="U68" s="127"/>
    </row>
    <row r="69" spans="1:21" ht="60" x14ac:dyDescent="0.2">
      <c r="A69" s="102"/>
      <c r="B69" s="102" t="s">
        <v>368</v>
      </c>
      <c r="C69" s="102" t="s">
        <v>369</v>
      </c>
      <c r="D69" s="102" t="s">
        <v>8</v>
      </c>
      <c r="E69" s="102"/>
      <c r="F69" s="102"/>
      <c r="G69" s="103">
        <f>SUM(G70:G72)</f>
        <v>2307000</v>
      </c>
      <c r="H69" s="103">
        <f>SUM(H70:H72)</f>
        <v>2037000</v>
      </c>
      <c r="I69" s="103">
        <f t="shared" ref="I69:P69" si="33">SUM(I70:I72)</f>
        <v>270000</v>
      </c>
      <c r="J69" s="103">
        <f t="shared" si="33"/>
        <v>0</v>
      </c>
      <c r="K69" s="103">
        <f t="shared" si="33"/>
        <v>0</v>
      </c>
      <c r="L69" s="103">
        <f t="shared" si="33"/>
        <v>0</v>
      </c>
      <c r="M69" s="103">
        <f t="shared" si="33"/>
        <v>0</v>
      </c>
      <c r="N69" s="103">
        <f t="shared" si="33"/>
        <v>514200.82999999996</v>
      </c>
      <c r="O69" s="103">
        <f t="shared" si="33"/>
        <v>565799.17000000004</v>
      </c>
      <c r="P69" s="103">
        <f t="shared" si="33"/>
        <v>1227000</v>
      </c>
    </row>
    <row r="70" spans="1:21" s="93" customFormat="1" ht="36" x14ac:dyDescent="0.2">
      <c r="A70" s="104">
        <v>33</v>
      </c>
      <c r="B70" s="104" t="s">
        <v>370</v>
      </c>
      <c r="C70" s="104" t="s">
        <v>371</v>
      </c>
      <c r="D70" s="104" t="s">
        <v>11</v>
      </c>
      <c r="E70" s="104" t="s">
        <v>785</v>
      </c>
      <c r="F70" s="104" t="s">
        <v>772</v>
      </c>
      <c r="G70" s="105">
        <f>+J70+K70+L70+M70+N70+O70+P70</f>
        <v>30000</v>
      </c>
      <c r="H70" s="109">
        <f>+ROUNDDOWN(G70*0.75,2)</f>
        <v>22500</v>
      </c>
      <c r="I70" s="105">
        <f>+G70-H70</f>
        <v>7500</v>
      </c>
      <c r="J70" s="105">
        <v>0</v>
      </c>
      <c r="K70" s="105">
        <v>0</v>
      </c>
      <c r="L70" s="105">
        <v>0</v>
      </c>
      <c r="M70" s="111">
        <v>0</v>
      </c>
      <c r="N70" s="111">
        <v>0</v>
      </c>
      <c r="O70" s="111">
        <v>30000</v>
      </c>
      <c r="P70" s="111">
        <v>0</v>
      </c>
    </row>
    <row r="71" spans="1:21" s="93" customFormat="1" ht="36" x14ac:dyDescent="0.2">
      <c r="A71" s="104">
        <v>34</v>
      </c>
      <c r="B71" s="104" t="s">
        <v>769</v>
      </c>
      <c r="C71" s="104" t="s">
        <v>768</v>
      </c>
      <c r="D71" s="104" t="s">
        <v>11</v>
      </c>
      <c r="E71" s="104" t="s">
        <v>785</v>
      </c>
      <c r="F71" s="104" t="s">
        <v>772</v>
      </c>
      <c r="G71" s="105">
        <f>+J71+K71+L71+M71+N71+O71+P71</f>
        <v>1050000</v>
      </c>
      <c r="H71" s="109">
        <f>+ROUNDDOWN(G71*0.75,2)</f>
        <v>787500</v>
      </c>
      <c r="I71" s="105">
        <f>+G71-H71</f>
        <v>262500</v>
      </c>
      <c r="J71" s="105">
        <v>0</v>
      </c>
      <c r="K71" s="105">
        <v>0</v>
      </c>
      <c r="L71" s="105">
        <v>0</v>
      </c>
      <c r="M71" s="111">
        <v>0</v>
      </c>
      <c r="N71" s="112">
        <f>1050000-O71</f>
        <v>514200.82999999996</v>
      </c>
      <c r="O71" s="112">
        <v>535799.17000000004</v>
      </c>
      <c r="P71" s="112">
        <v>0</v>
      </c>
      <c r="Q71" s="93">
        <f>360328.5+74668.39</f>
        <v>434996.89</v>
      </c>
    </row>
    <row r="72" spans="1:21" s="126" customFormat="1" ht="24" x14ac:dyDescent="0.2">
      <c r="A72" s="108">
        <v>35</v>
      </c>
      <c r="B72" s="108" t="s">
        <v>800</v>
      </c>
      <c r="C72" s="108" t="s">
        <v>801</v>
      </c>
      <c r="D72" s="108" t="s">
        <v>11</v>
      </c>
      <c r="E72" s="108" t="s">
        <v>785</v>
      </c>
      <c r="F72" s="108" t="s">
        <v>772</v>
      </c>
      <c r="G72" s="109">
        <f>+P72</f>
        <v>1227000</v>
      </c>
      <c r="H72" s="109">
        <f>+G72</f>
        <v>1227000</v>
      </c>
      <c r="I72" s="105">
        <f>+G72-H72</f>
        <v>0</v>
      </c>
      <c r="J72" s="124"/>
      <c r="K72" s="124"/>
      <c r="L72" s="124"/>
      <c r="M72" s="123"/>
      <c r="N72" s="112"/>
      <c r="O72" s="112"/>
      <c r="P72" s="112">
        <v>1227000</v>
      </c>
    </row>
    <row r="73" spans="1:21" s="92" customFormat="1" x14ac:dyDescent="0.2">
      <c r="A73" s="102"/>
      <c r="B73" s="102" t="s">
        <v>789</v>
      </c>
      <c r="C73" s="102" t="s">
        <v>790</v>
      </c>
      <c r="D73" s="102" t="s">
        <v>8</v>
      </c>
      <c r="E73" s="102"/>
      <c r="F73" s="102"/>
      <c r="G73" s="103">
        <f>SUM(G74:G77)</f>
        <v>9876602.0399999991</v>
      </c>
      <c r="H73" s="103">
        <f t="shared" ref="H73:N73" si="34">SUM(H74:H77)</f>
        <v>9010601.5299999993</v>
      </c>
      <c r="I73" s="103">
        <f t="shared" si="34"/>
        <v>866000.51000000024</v>
      </c>
      <c r="J73" s="103">
        <f t="shared" si="34"/>
        <v>0</v>
      </c>
      <c r="K73" s="103">
        <f t="shared" si="34"/>
        <v>0</v>
      </c>
      <c r="L73" s="103">
        <f t="shared" si="34"/>
        <v>0</v>
      </c>
      <c r="M73" s="103">
        <f t="shared" si="34"/>
        <v>0</v>
      </c>
      <c r="N73" s="103">
        <f t="shared" si="34"/>
        <v>14980.99</v>
      </c>
      <c r="O73" s="103">
        <f>SUM(O74:O77)</f>
        <v>2020146</v>
      </c>
      <c r="P73" s="103">
        <f>SUM(P74:P77)</f>
        <v>7841475.0499999998</v>
      </c>
    </row>
    <row r="74" spans="1:21" s="93" customFormat="1" ht="24" x14ac:dyDescent="0.2">
      <c r="A74" s="104">
        <v>36</v>
      </c>
      <c r="B74" s="104" t="s">
        <v>791</v>
      </c>
      <c r="C74" s="104" t="s">
        <v>797</v>
      </c>
      <c r="D74" s="104" t="s">
        <v>11</v>
      </c>
      <c r="E74" s="104" t="s">
        <v>785</v>
      </c>
      <c r="F74" s="104" t="s">
        <v>772</v>
      </c>
      <c r="G74" s="105">
        <f>+J74+K74+L74+M74+N74+O74+P74</f>
        <v>464980.99</v>
      </c>
      <c r="H74" s="105">
        <f>+K74+L74+M74+N74+O74+P74+Q74</f>
        <v>464980.99</v>
      </c>
      <c r="I74" s="105">
        <f>+G74-H74</f>
        <v>0</v>
      </c>
      <c r="J74" s="105">
        <v>0</v>
      </c>
      <c r="K74" s="105">
        <v>0</v>
      </c>
      <c r="L74" s="105">
        <v>0</v>
      </c>
      <c r="M74" s="111">
        <v>0</v>
      </c>
      <c r="N74" s="111">
        <v>14980.99</v>
      </c>
      <c r="O74" s="111">
        <v>450000</v>
      </c>
      <c r="P74" s="111">
        <v>0</v>
      </c>
    </row>
    <row r="75" spans="1:21" s="93" customFormat="1" x14ac:dyDescent="0.2">
      <c r="A75" s="104">
        <v>37</v>
      </c>
      <c r="B75" s="104" t="s">
        <v>792</v>
      </c>
      <c r="C75" s="104" t="s">
        <v>795</v>
      </c>
      <c r="D75" s="104" t="s">
        <v>11</v>
      </c>
      <c r="E75" s="104" t="s">
        <v>785</v>
      </c>
      <c r="F75" s="104" t="s">
        <v>772</v>
      </c>
      <c r="G75" s="105">
        <f>+J75+K75+L75+M75+N75+O75+P75</f>
        <v>5857473.0099999998</v>
      </c>
      <c r="H75" s="105">
        <f>+G75</f>
        <v>5857473.0099999998</v>
      </c>
      <c r="I75" s="105">
        <f>+G75-H75</f>
        <v>0</v>
      </c>
      <c r="J75" s="105">
        <v>0</v>
      </c>
      <c r="K75" s="105">
        <v>0</v>
      </c>
      <c r="L75" s="105">
        <v>0</v>
      </c>
      <c r="M75" s="111">
        <v>0</v>
      </c>
      <c r="N75" s="111"/>
      <c r="O75" s="111">
        <v>930000</v>
      </c>
      <c r="P75" s="127">
        <v>4927473.01</v>
      </c>
      <c r="T75" s="127"/>
    </row>
    <row r="76" spans="1:21" s="93" customFormat="1" x14ac:dyDescent="0.2">
      <c r="A76" s="104">
        <v>38</v>
      </c>
      <c r="B76" s="104" t="s">
        <v>799</v>
      </c>
      <c r="C76" s="104" t="s">
        <v>796</v>
      </c>
      <c r="D76" s="104" t="s">
        <v>11</v>
      </c>
      <c r="E76" s="104" t="s">
        <v>783</v>
      </c>
      <c r="F76" s="104" t="s">
        <v>772</v>
      </c>
      <c r="G76" s="105">
        <f>+J76+K76+L76+M76+N76+O76+P76</f>
        <v>90146</v>
      </c>
      <c r="H76" s="105">
        <v>90146</v>
      </c>
      <c r="I76" s="105">
        <f>+G76-H76</f>
        <v>0</v>
      </c>
      <c r="J76" s="105">
        <v>0</v>
      </c>
      <c r="K76" s="105">
        <v>0</v>
      </c>
      <c r="L76" s="105">
        <v>0</v>
      </c>
      <c r="M76" s="111">
        <v>0</v>
      </c>
      <c r="N76" s="111">
        <v>0</v>
      </c>
      <c r="O76" s="111">
        <v>90146</v>
      </c>
      <c r="P76" s="111">
        <v>0</v>
      </c>
      <c r="Q76" s="127">
        <v>90146</v>
      </c>
    </row>
    <row r="77" spans="1:21" s="126" customFormat="1" ht="24" x14ac:dyDescent="0.2">
      <c r="A77" s="108">
        <v>39</v>
      </c>
      <c r="B77" s="108" t="s">
        <v>804</v>
      </c>
      <c r="C77" s="108" t="s">
        <v>805</v>
      </c>
      <c r="D77" s="108" t="s">
        <v>11</v>
      </c>
      <c r="E77" s="108" t="s">
        <v>785</v>
      </c>
      <c r="F77" s="108" t="s">
        <v>772</v>
      </c>
      <c r="G77" s="109">
        <f>SUM(J77:P77)</f>
        <v>3464002.04</v>
      </c>
      <c r="H77" s="109">
        <f>+ROUNDDOWN(G77*0.75,2)</f>
        <v>2598001.5299999998</v>
      </c>
      <c r="I77" s="109">
        <f>+G77-H77</f>
        <v>866000.51000000024</v>
      </c>
      <c r="J77" s="124"/>
      <c r="K77" s="124"/>
      <c r="L77" s="124"/>
      <c r="M77" s="123"/>
      <c r="N77" s="123"/>
      <c r="O77" s="136">
        <v>550000</v>
      </c>
      <c r="P77" s="112">
        <v>2914002.04</v>
      </c>
      <c r="Q77" s="128">
        <f>+H77+H80+37500</f>
        <v>2703001.53</v>
      </c>
    </row>
    <row r="78" spans="1:21" s="92" customFormat="1" ht="24" x14ac:dyDescent="0.2">
      <c r="A78" s="102"/>
      <c r="B78" s="102" t="s">
        <v>806</v>
      </c>
      <c r="C78" s="102" t="s">
        <v>807</v>
      </c>
      <c r="D78" s="102" t="s">
        <v>8</v>
      </c>
      <c r="E78" s="102"/>
      <c r="F78" s="102"/>
      <c r="G78" s="103">
        <f t="shared" ref="G78:P78" si="35">SUM(G79:G80)</f>
        <v>3306666</v>
      </c>
      <c r="H78" s="103">
        <f t="shared" si="35"/>
        <v>3284166</v>
      </c>
      <c r="I78" s="103">
        <f t="shared" si="35"/>
        <v>22500</v>
      </c>
      <c r="J78" s="103">
        <f t="shared" si="35"/>
        <v>0</v>
      </c>
      <c r="K78" s="103">
        <f t="shared" si="35"/>
        <v>0</v>
      </c>
      <c r="L78" s="103">
        <f t="shared" si="35"/>
        <v>0</v>
      </c>
      <c r="M78" s="103">
        <f t="shared" si="35"/>
        <v>0</v>
      </c>
      <c r="N78" s="103">
        <f t="shared" si="35"/>
        <v>0</v>
      </c>
      <c r="O78" s="103">
        <f t="shared" si="35"/>
        <v>90000</v>
      </c>
      <c r="P78" s="110">
        <f t="shared" si="35"/>
        <v>3216666</v>
      </c>
    </row>
    <row r="79" spans="1:21" s="126" customFormat="1" ht="24" x14ac:dyDescent="0.2">
      <c r="A79" s="108">
        <v>40</v>
      </c>
      <c r="B79" s="108" t="s">
        <v>808</v>
      </c>
      <c r="C79" s="108" t="s">
        <v>802</v>
      </c>
      <c r="D79" s="108" t="s">
        <v>11</v>
      </c>
      <c r="E79" s="108" t="s">
        <v>785</v>
      </c>
      <c r="F79" s="108" t="s">
        <v>772</v>
      </c>
      <c r="G79" s="125">
        <f>+J79+K79+L79+M79+N79+O79+P79</f>
        <v>3216666</v>
      </c>
      <c r="H79" s="109">
        <f>+G79</f>
        <v>3216666</v>
      </c>
      <c r="I79" s="109">
        <v>0</v>
      </c>
      <c r="J79" s="124"/>
      <c r="K79" s="124"/>
      <c r="L79" s="124"/>
      <c r="M79" s="123"/>
      <c r="N79" s="123"/>
      <c r="O79" s="123"/>
      <c r="P79" s="112">
        <v>3216666</v>
      </c>
    </row>
    <row r="80" spans="1:21" s="126" customFormat="1" ht="36" x14ac:dyDescent="0.2">
      <c r="A80" s="108">
        <v>41</v>
      </c>
      <c r="B80" s="108" t="s">
        <v>809</v>
      </c>
      <c r="C80" s="108" t="s">
        <v>810</v>
      </c>
      <c r="D80" s="108" t="s">
        <v>11</v>
      </c>
      <c r="E80" s="108" t="s">
        <v>738</v>
      </c>
      <c r="F80" s="108" t="s">
        <v>772</v>
      </c>
      <c r="G80" s="109">
        <f>SUM(J80:P80)</f>
        <v>90000</v>
      </c>
      <c r="H80" s="109">
        <f>+ROUNDDOWN(G80*0.75,2)</f>
        <v>67500</v>
      </c>
      <c r="I80" s="109">
        <f>+G80-H80</f>
        <v>22500</v>
      </c>
      <c r="J80" s="109"/>
      <c r="K80" s="109"/>
      <c r="L80" s="109"/>
      <c r="M80" s="112"/>
      <c r="N80" s="112"/>
      <c r="O80" s="112">
        <v>90000</v>
      </c>
      <c r="P80" s="123"/>
    </row>
    <row r="81" spans="1:20" ht="24" x14ac:dyDescent="0.2">
      <c r="A81" s="106"/>
      <c r="B81" s="106" t="s">
        <v>372</v>
      </c>
      <c r="C81" s="106" t="s">
        <v>373</v>
      </c>
      <c r="D81" s="106" t="s">
        <v>775</v>
      </c>
      <c r="E81" s="106"/>
      <c r="F81" s="106"/>
      <c r="G81" s="107">
        <f t="shared" ref="G81:O81" si="36">+G82+G85</f>
        <v>14564367.010000002</v>
      </c>
      <c r="H81" s="107">
        <f t="shared" si="36"/>
        <v>14564367.010000002</v>
      </c>
      <c r="I81" s="107">
        <f t="shared" si="36"/>
        <v>0</v>
      </c>
      <c r="J81" s="107">
        <f t="shared" si="36"/>
        <v>556927.32124999992</v>
      </c>
      <c r="K81" s="107">
        <f t="shared" si="36"/>
        <v>1881875.3765</v>
      </c>
      <c r="L81" s="107">
        <f t="shared" si="36"/>
        <v>2466102.7990000001</v>
      </c>
      <c r="M81" s="107">
        <f t="shared" si="36"/>
        <v>2327935.8632499999</v>
      </c>
      <c r="N81" s="107">
        <f t="shared" si="36"/>
        <v>2933453.7399999998</v>
      </c>
      <c r="O81" s="107">
        <f t="shared" si="36"/>
        <v>3308344</v>
      </c>
      <c r="P81" s="107">
        <f>+P82+P85</f>
        <v>1089727.9100000001</v>
      </c>
      <c r="Q81" s="127">
        <f>+H4-H78-H73-H72</f>
        <v>33024371.660000004</v>
      </c>
      <c r="R81" s="127">
        <f>0.4*Q81</f>
        <v>13209748.664000003</v>
      </c>
      <c r="S81" s="122">
        <f>+R81-H81</f>
        <v>-1354618.345999999</v>
      </c>
    </row>
    <row r="82" spans="1:20" ht="24" x14ac:dyDescent="0.2">
      <c r="A82" s="100"/>
      <c r="B82" s="100" t="s">
        <v>374</v>
      </c>
      <c r="C82" s="100" t="s">
        <v>375</v>
      </c>
      <c r="D82" s="100" t="s">
        <v>776</v>
      </c>
      <c r="E82" s="100"/>
      <c r="F82" s="100"/>
      <c r="G82" s="101">
        <f>+G83</f>
        <v>3539151.88</v>
      </c>
      <c r="H82" s="101">
        <f>+H83</f>
        <v>3539151.88</v>
      </c>
      <c r="I82" s="101">
        <v>0</v>
      </c>
      <c r="J82" s="101">
        <f t="shared" ref="J82:P82" si="37">+J83</f>
        <v>0</v>
      </c>
      <c r="K82" s="101">
        <f t="shared" si="37"/>
        <v>419293.46</v>
      </c>
      <c r="L82" s="101">
        <f t="shared" si="37"/>
        <v>499095.73</v>
      </c>
      <c r="M82" s="101">
        <f t="shared" si="37"/>
        <v>577611.28</v>
      </c>
      <c r="N82" s="101">
        <f t="shared" si="37"/>
        <v>672879.5</v>
      </c>
      <c r="O82" s="101">
        <f t="shared" si="37"/>
        <v>710544</v>
      </c>
      <c r="P82" s="101">
        <f t="shared" si="37"/>
        <v>659727.91</v>
      </c>
      <c r="Q82" s="93"/>
      <c r="R82" s="93"/>
    </row>
    <row r="83" spans="1:20" x14ac:dyDescent="0.2">
      <c r="A83" s="102"/>
      <c r="B83" s="102" t="s">
        <v>376</v>
      </c>
      <c r="C83" s="102" t="s">
        <v>779</v>
      </c>
      <c r="D83" s="102" t="s">
        <v>8</v>
      </c>
      <c r="E83" s="102"/>
      <c r="F83" s="102"/>
      <c r="G83" s="103">
        <f>+G84</f>
        <v>3539151.88</v>
      </c>
      <c r="H83" s="103">
        <f t="shared" ref="H83:P83" si="38">+H84</f>
        <v>3539151.88</v>
      </c>
      <c r="I83" s="103">
        <f t="shared" si="38"/>
        <v>0</v>
      </c>
      <c r="J83" s="103">
        <f t="shared" si="38"/>
        <v>0</v>
      </c>
      <c r="K83" s="103">
        <f t="shared" si="38"/>
        <v>419293.46</v>
      </c>
      <c r="L83" s="103">
        <f t="shared" si="38"/>
        <v>499095.73</v>
      </c>
      <c r="M83" s="103">
        <f t="shared" si="38"/>
        <v>577611.28</v>
      </c>
      <c r="N83" s="103">
        <f t="shared" si="38"/>
        <v>672879.5</v>
      </c>
      <c r="O83" s="103">
        <f t="shared" si="38"/>
        <v>710544</v>
      </c>
      <c r="P83" s="103">
        <f t="shared" si="38"/>
        <v>659727.91</v>
      </c>
      <c r="Q83" s="93"/>
      <c r="R83" s="93"/>
    </row>
    <row r="84" spans="1:20" s="93" customFormat="1" x14ac:dyDescent="0.2">
      <c r="A84" s="113">
        <v>42</v>
      </c>
      <c r="B84" s="113" t="s">
        <v>377</v>
      </c>
      <c r="C84" s="113" t="s">
        <v>378</v>
      </c>
      <c r="D84" s="113" t="s">
        <v>11</v>
      </c>
      <c r="E84" s="113" t="s">
        <v>783</v>
      </c>
      <c r="F84" s="113" t="s">
        <v>772</v>
      </c>
      <c r="G84" s="114">
        <f>+J84+K84+L84+M84+N84+O84+P84</f>
        <v>3539151.88</v>
      </c>
      <c r="H84" s="114">
        <f>+G84</f>
        <v>3539151.88</v>
      </c>
      <c r="I84" s="114">
        <v>0</v>
      </c>
      <c r="J84" s="114">
        <v>0</v>
      </c>
      <c r="K84" s="114">
        <v>419293.46</v>
      </c>
      <c r="L84" s="114">
        <v>499095.73</v>
      </c>
      <c r="M84" s="115">
        <v>577611.28</v>
      </c>
      <c r="N84" s="115">
        <v>672879.5</v>
      </c>
      <c r="O84" s="115">
        <v>710544</v>
      </c>
      <c r="P84" s="115">
        <v>659727.91</v>
      </c>
      <c r="Q84" s="127">
        <v>2850747.23</v>
      </c>
      <c r="R84" s="127">
        <f>+G84-Q84</f>
        <v>688404.64999999991</v>
      </c>
      <c r="S84" s="93">
        <f>+R84/3</f>
        <v>229468.21666666665</v>
      </c>
      <c r="T84" s="127"/>
    </row>
    <row r="85" spans="1:20" ht="24" x14ac:dyDescent="0.2">
      <c r="A85" s="100"/>
      <c r="B85" s="100" t="s">
        <v>379</v>
      </c>
      <c r="C85" s="100" t="s">
        <v>380</v>
      </c>
      <c r="D85" s="100" t="s">
        <v>776</v>
      </c>
      <c r="E85" s="100"/>
      <c r="F85" s="100"/>
      <c r="G85" s="101">
        <f t="shared" ref="G85:P85" si="39">+G86+G88+G91+G93+G95+G97+G99</f>
        <v>11025215.130000001</v>
      </c>
      <c r="H85" s="101">
        <f t="shared" si="39"/>
        <v>11025215.130000001</v>
      </c>
      <c r="I85" s="101">
        <f t="shared" si="39"/>
        <v>0</v>
      </c>
      <c r="J85" s="101">
        <f t="shared" si="39"/>
        <v>556927.32124999992</v>
      </c>
      <c r="K85" s="101">
        <f t="shared" si="39"/>
        <v>1462581.9165000001</v>
      </c>
      <c r="L85" s="101">
        <f t="shared" si="39"/>
        <v>1967007.0690000001</v>
      </c>
      <c r="M85" s="101">
        <f t="shared" si="39"/>
        <v>1750324.5832499999</v>
      </c>
      <c r="N85" s="101">
        <f t="shared" si="39"/>
        <v>2260574.2399999998</v>
      </c>
      <c r="O85" s="101">
        <f t="shared" si="39"/>
        <v>2597800</v>
      </c>
      <c r="P85" s="101">
        <f t="shared" si="39"/>
        <v>430000</v>
      </c>
      <c r="Q85" s="93"/>
      <c r="R85" s="93"/>
    </row>
    <row r="86" spans="1:20" x14ac:dyDescent="0.2">
      <c r="A86" s="102"/>
      <c r="B86" s="102" t="s">
        <v>381</v>
      </c>
      <c r="C86" s="102" t="s">
        <v>780</v>
      </c>
      <c r="D86" s="102" t="s">
        <v>8</v>
      </c>
      <c r="E86" s="102"/>
      <c r="F86" s="102"/>
      <c r="G86" s="103">
        <f t="shared" ref="G86:P86" si="40">SUM(G87:G87)</f>
        <v>167000</v>
      </c>
      <c r="H86" s="103">
        <f t="shared" si="40"/>
        <v>167000</v>
      </c>
      <c r="I86" s="103">
        <f t="shared" si="40"/>
        <v>0</v>
      </c>
      <c r="J86" s="103">
        <f t="shared" si="40"/>
        <v>55000</v>
      </c>
      <c r="K86" s="103">
        <f t="shared" si="40"/>
        <v>112000</v>
      </c>
      <c r="L86" s="103">
        <f t="shared" si="40"/>
        <v>0</v>
      </c>
      <c r="M86" s="103">
        <f t="shared" si="40"/>
        <v>0</v>
      </c>
      <c r="N86" s="103">
        <f t="shared" si="40"/>
        <v>0</v>
      </c>
      <c r="O86" s="103">
        <f t="shared" si="40"/>
        <v>0</v>
      </c>
      <c r="P86" s="103">
        <f t="shared" si="40"/>
        <v>0</v>
      </c>
      <c r="Q86" s="93"/>
      <c r="R86" s="93"/>
    </row>
    <row r="87" spans="1:20" s="93" customFormat="1" ht="24" x14ac:dyDescent="0.2">
      <c r="A87" s="104">
        <v>43</v>
      </c>
      <c r="B87" s="104" t="s">
        <v>385</v>
      </c>
      <c r="C87" s="104" t="s">
        <v>386</v>
      </c>
      <c r="D87" s="104" t="s">
        <v>11</v>
      </c>
      <c r="E87" s="104" t="s">
        <v>785</v>
      </c>
      <c r="F87" s="104" t="s">
        <v>772</v>
      </c>
      <c r="G87" s="105">
        <f>+J87+K87+L87+M87+N87+O87+P87</f>
        <v>167000</v>
      </c>
      <c r="H87" s="105">
        <f>+G87</f>
        <v>167000</v>
      </c>
      <c r="I87" s="105">
        <f>+G87-H87</f>
        <v>0</v>
      </c>
      <c r="J87" s="109">
        <v>55000</v>
      </c>
      <c r="K87" s="109">
        <v>112000</v>
      </c>
      <c r="L87" s="109">
        <v>0</v>
      </c>
      <c r="M87" s="111">
        <v>0</v>
      </c>
      <c r="N87" s="111">
        <v>0</v>
      </c>
      <c r="O87" s="111">
        <v>0</v>
      </c>
      <c r="P87" s="111">
        <v>0</v>
      </c>
      <c r="S87" s="93">
        <f>0.75*S3</f>
        <v>-30.000000005587935</v>
      </c>
    </row>
    <row r="88" spans="1:20" ht="60" x14ac:dyDescent="0.2">
      <c r="A88" s="102"/>
      <c r="B88" s="102" t="s">
        <v>391</v>
      </c>
      <c r="C88" s="102" t="s">
        <v>392</v>
      </c>
      <c r="D88" s="102" t="s">
        <v>8</v>
      </c>
      <c r="E88" s="102"/>
      <c r="F88" s="102"/>
      <c r="G88" s="103">
        <f>+G89+G90</f>
        <v>1318533.6495000001</v>
      </c>
      <c r="H88" s="103">
        <f t="shared" ref="H88:O88" si="41">+H89+H90</f>
        <v>1318533.6495000001</v>
      </c>
      <c r="I88" s="103">
        <f t="shared" si="41"/>
        <v>0</v>
      </c>
      <c r="J88" s="103">
        <f t="shared" si="41"/>
        <v>43732.701249999998</v>
      </c>
      <c r="K88" s="103">
        <f t="shared" si="41"/>
        <v>220223.88649999999</v>
      </c>
      <c r="L88" s="103">
        <f t="shared" si="41"/>
        <v>176973.99899999998</v>
      </c>
      <c r="M88" s="103">
        <f t="shared" si="41"/>
        <v>146388.97275000002</v>
      </c>
      <c r="N88" s="103">
        <f t="shared" si="41"/>
        <v>241214.09</v>
      </c>
      <c r="O88" s="110">
        <f t="shared" si="41"/>
        <v>260000</v>
      </c>
      <c r="P88" s="103">
        <f>+P89+P90</f>
        <v>230000</v>
      </c>
    </row>
    <row r="89" spans="1:20" s="93" customFormat="1" ht="36" x14ac:dyDescent="0.2">
      <c r="A89" s="104">
        <v>44</v>
      </c>
      <c r="B89" s="104" t="s">
        <v>393</v>
      </c>
      <c r="C89" s="104" t="s">
        <v>394</v>
      </c>
      <c r="D89" s="104" t="s">
        <v>11</v>
      </c>
      <c r="E89" s="104" t="s">
        <v>785</v>
      </c>
      <c r="F89" s="104" t="s">
        <v>772</v>
      </c>
      <c r="G89" s="105">
        <f>+J89+K89+L89+M89+N89+O89+P89</f>
        <v>1082091.01</v>
      </c>
      <c r="H89" s="105">
        <f>+G89</f>
        <v>1082091.01</v>
      </c>
      <c r="I89" s="105">
        <f>+G89-H89</f>
        <v>0</v>
      </c>
      <c r="J89" s="105">
        <f>34781.86*1.025</f>
        <v>35651.406499999997</v>
      </c>
      <c r="K89" s="105">
        <v>190407.6</v>
      </c>
      <c r="L89" s="105">
        <f>130951.97*1.025</f>
        <v>134225.76924999998</v>
      </c>
      <c r="M89" s="111">
        <f>95632.57*1.025</f>
        <v>98023.384250000003</v>
      </c>
      <c r="N89" s="111">
        <v>193782.85</v>
      </c>
      <c r="O89" s="112">
        <v>200000</v>
      </c>
      <c r="P89" s="111">
        <v>230000</v>
      </c>
      <c r="Q89" s="127"/>
    </row>
    <row r="90" spans="1:20" s="93" customFormat="1" ht="48" x14ac:dyDescent="0.2">
      <c r="A90" s="104">
        <v>45</v>
      </c>
      <c r="B90" s="104" t="s">
        <v>395</v>
      </c>
      <c r="C90" s="104" t="s">
        <v>396</v>
      </c>
      <c r="D90" s="104" t="s">
        <v>11</v>
      </c>
      <c r="E90" s="104" t="s">
        <v>785</v>
      </c>
      <c r="F90" s="104" t="s">
        <v>772</v>
      </c>
      <c r="G90" s="105">
        <f>+J90+K90+L90+M90+N90+O90+P90</f>
        <v>236442.63949999999</v>
      </c>
      <c r="H90" s="105">
        <f>+G90</f>
        <v>236442.63949999999</v>
      </c>
      <c r="I90" s="105">
        <f>+G90-H90</f>
        <v>0</v>
      </c>
      <c r="J90" s="105">
        <f>7884.19*1.025</f>
        <v>8081.2947499999991</v>
      </c>
      <c r="K90" s="105">
        <f>29089.06*1.025</f>
        <v>29816.286499999998</v>
      </c>
      <c r="L90" s="105">
        <f>41705.59*1.025</f>
        <v>42748.229749999991</v>
      </c>
      <c r="M90" s="111">
        <f>47185.94*1.025</f>
        <v>48365.588499999998</v>
      </c>
      <c r="N90" s="111">
        <v>47431.24</v>
      </c>
      <c r="O90" s="112">
        <v>60000</v>
      </c>
      <c r="P90" s="111">
        <v>0</v>
      </c>
    </row>
    <row r="91" spans="1:20" ht="36" x14ac:dyDescent="0.2">
      <c r="A91" s="102"/>
      <c r="B91" s="102" t="s">
        <v>397</v>
      </c>
      <c r="C91" s="102" t="s">
        <v>398</v>
      </c>
      <c r="D91" s="102" t="s">
        <v>8</v>
      </c>
      <c r="E91" s="102"/>
      <c r="F91" s="102"/>
      <c r="G91" s="103">
        <f>+G92</f>
        <v>912755.03625</v>
      </c>
      <c r="H91" s="103">
        <f t="shared" ref="H91:P91" si="42">+H92</f>
        <v>912755.03625</v>
      </c>
      <c r="I91" s="103">
        <f t="shared" si="42"/>
        <v>0</v>
      </c>
      <c r="J91" s="103">
        <f t="shared" si="42"/>
        <v>29592.39</v>
      </c>
      <c r="K91" s="103">
        <f t="shared" si="42"/>
        <v>28230.79</v>
      </c>
      <c r="L91" s="103">
        <f t="shared" si="42"/>
        <v>64433.08</v>
      </c>
      <c r="M91" s="103">
        <f t="shared" si="42"/>
        <v>73106.946249999994</v>
      </c>
      <c r="N91" s="103">
        <f t="shared" si="42"/>
        <v>167391.82999999999</v>
      </c>
      <c r="O91" s="110">
        <f t="shared" si="42"/>
        <v>350000</v>
      </c>
      <c r="P91" s="103">
        <f t="shared" si="42"/>
        <v>200000</v>
      </c>
    </row>
    <row r="92" spans="1:20" s="93" customFormat="1" ht="36" x14ac:dyDescent="0.2">
      <c r="A92" s="104">
        <v>46</v>
      </c>
      <c r="B92" s="104" t="s">
        <v>399</v>
      </c>
      <c r="C92" s="104" t="s">
        <v>398</v>
      </c>
      <c r="D92" s="104" t="s">
        <v>11</v>
      </c>
      <c r="E92" s="104" t="s">
        <v>784</v>
      </c>
      <c r="F92" s="104" t="s">
        <v>772</v>
      </c>
      <c r="G92" s="105">
        <f>+J92+K92+L92+M92+N92+O92+P92</f>
        <v>912755.03625</v>
      </c>
      <c r="H92" s="105">
        <f>+G92</f>
        <v>912755.03625</v>
      </c>
      <c r="I92" s="105">
        <v>0</v>
      </c>
      <c r="J92" s="109">
        <v>29592.39</v>
      </c>
      <c r="K92" s="109">
        <v>28230.79</v>
      </c>
      <c r="L92" s="109">
        <v>64433.08</v>
      </c>
      <c r="M92" s="111">
        <f>71323.85*1.025</f>
        <v>73106.946249999994</v>
      </c>
      <c r="N92" s="111">
        <f>205391.83-38000</f>
        <v>167391.82999999999</v>
      </c>
      <c r="O92" s="112">
        <v>350000</v>
      </c>
      <c r="P92" s="111">
        <v>200000</v>
      </c>
    </row>
    <row r="93" spans="1:20" ht="48" x14ac:dyDescent="0.2">
      <c r="A93" s="102"/>
      <c r="B93" s="102" t="s">
        <v>400</v>
      </c>
      <c r="C93" s="102" t="s">
        <v>401</v>
      </c>
      <c r="D93" s="102" t="s">
        <v>8</v>
      </c>
      <c r="E93" s="102"/>
      <c r="F93" s="102"/>
      <c r="G93" s="103">
        <f>+G94</f>
        <v>6082925.2400000002</v>
      </c>
      <c r="H93" s="103">
        <f>+H94</f>
        <v>6082925.2400000002</v>
      </c>
      <c r="I93" s="103">
        <f t="shared" ref="I93:P93" si="43">+I94</f>
        <v>0</v>
      </c>
      <c r="J93" s="103">
        <f t="shared" si="43"/>
        <v>304349</v>
      </c>
      <c r="K93" s="103">
        <f t="shared" si="43"/>
        <v>642818</v>
      </c>
      <c r="L93" s="103">
        <f>+L94</f>
        <v>1239832.24</v>
      </c>
      <c r="M93" s="103">
        <f>+M94</f>
        <v>995291</v>
      </c>
      <c r="N93" s="103">
        <f t="shared" si="43"/>
        <v>1300635</v>
      </c>
      <c r="O93" s="103">
        <f t="shared" si="43"/>
        <v>1600000</v>
      </c>
      <c r="P93" s="103">
        <f t="shared" si="43"/>
        <v>0</v>
      </c>
    </row>
    <row r="94" spans="1:20" s="93" customFormat="1" ht="48" x14ac:dyDescent="0.2">
      <c r="A94" s="104">
        <v>47</v>
      </c>
      <c r="B94" s="104" t="s">
        <v>402</v>
      </c>
      <c r="C94" s="104" t="s">
        <v>401</v>
      </c>
      <c r="D94" s="104" t="s">
        <v>11</v>
      </c>
      <c r="E94" s="104" t="s">
        <v>787</v>
      </c>
      <c r="F94" s="104" t="s">
        <v>772</v>
      </c>
      <c r="G94" s="105">
        <f>+J94+K94+L94+M94+N94+O94+P94</f>
        <v>6082925.2400000002</v>
      </c>
      <c r="H94" s="105">
        <f>+G94</f>
        <v>6082925.2400000002</v>
      </c>
      <c r="I94" s="105">
        <v>0</v>
      </c>
      <c r="J94" s="105">
        <v>304349</v>
      </c>
      <c r="K94" s="105">
        <v>642818</v>
      </c>
      <c r="L94" s="105">
        <f>1236103.56+3728.68</f>
        <v>1239832.24</v>
      </c>
      <c r="M94" s="109">
        <v>995291</v>
      </c>
      <c r="N94" s="109">
        <v>1300635</v>
      </c>
      <c r="O94" s="109">
        <v>1600000</v>
      </c>
      <c r="P94" s="109">
        <v>0</v>
      </c>
    </row>
    <row r="95" spans="1:20" ht="36" x14ac:dyDescent="0.2">
      <c r="A95" s="102"/>
      <c r="B95" s="102" t="s">
        <v>403</v>
      </c>
      <c r="C95" s="102" t="s">
        <v>404</v>
      </c>
      <c r="D95" s="102" t="s">
        <v>8</v>
      </c>
      <c r="E95" s="102"/>
      <c r="F95" s="102"/>
      <c r="G95" s="103">
        <f>+G96</f>
        <v>2011240.8242500001</v>
      </c>
      <c r="H95" s="103">
        <f t="shared" ref="H95:P95" si="44">+H96</f>
        <v>2011240.8242500001</v>
      </c>
      <c r="I95" s="103">
        <f t="shared" si="44"/>
        <v>0</v>
      </c>
      <c r="J95" s="103">
        <f t="shared" si="44"/>
        <v>89082.4</v>
      </c>
      <c r="K95" s="103">
        <f t="shared" si="44"/>
        <v>343146.79</v>
      </c>
      <c r="L95" s="103">
        <f t="shared" si="44"/>
        <v>386728.15</v>
      </c>
      <c r="M95" s="103">
        <f t="shared" si="44"/>
        <v>441750.16424999997</v>
      </c>
      <c r="N95" s="103">
        <f t="shared" si="44"/>
        <v>457033.32</v>
      </c>
      <c r="O95" s="103">
        <f t="shared" si="44"/>
        <v>293500</v>
      </c>
      <c r="P95" s="103">
        <f t="shared" si="44"/>
        <v>0</v>
      </c>
    </row>
    <row r="96" spans="1:20" s="93" customFormat="1" ht="36" x14ac:dyDescent="0.2">
      <c r="A96" s="104">
        <v>48</v>
      </c>
      <c r="B96" s="104" t="s">
        <v>405</v>
      </c>
      <c r="C96" s="104" t="s">
        <v>404</v>
      </c>
      <c r="D96" s="104" t="s">
        <v>11</v>
      </c>
      <c r="E96" s="104" t="s">
        <v>785</v>
      </c>
      <c r="F96" s="104" t="s">
        <v>772</v>
      </c>
      <c r="G96" s="105">
        <f>+J96+K96+L96+M96+N96+O96+P96</f>
        <v>2011240.8242500001</v>
      </c>
      <c r="H96" s="105">
        <f>+G96</f>
        <v>2011240.8242500001</v>
      </c>
      <c r="I96" s="105">
        <v>0</v>
      </c>
      <c r="J96" s="105">
        <v>89082.4</v>
      </c>
      <c r="K96" s="105">
        <v>343146.79</v>
      </c>
      <c r="L96" s="105">
        <v>386728.15</v>
      </c>
      <c r="M96" s="111">
        <f>(464697.49-33721.72)*1.025</f>
        <v>441750.16424999997</v>
      </c>
      <c r="N96" s="111">
        <v>457033.32</v>
      </c>
      <c r="O96" s="112">
        <f>396000-102500</f>
        <v>293500</v>
      </c>
      <c r="P96" s="112">
        <v>0</v>
      </c>
    </row>
    <row r="97" spans="1:17" ht="36" x14ac:dyDescent="0.2">
      <c r="A97" s="102"/>
      <c r="B97" s="102" t="s">
        <v>781</v>
      </c>
      <c r="C97" s="102" t="s">
        <v>382</v>
      </c>
      <c r="D97" s="102" t="s">
        <v>8</v>
      </c>
      <c r="E97" s="102"/>
      <c r="F97" s="102"/>
      <c r="G97" s="103">
        <f>+G98</f>
        <v>505133.32999999996</v>
      </c>
      <c r="H97" s="103">
        <f t="shared" ref="H97:P97" si="45">+H98</f>
        <v>505133.32999999996</v>
      </c>
      <c r="I97" s="103">
        <f t="shared" si="45"/>
        <v>0</v>
      </c>
      <c r="J97" s="103">
        <f t="shared" si="45"/>
        <v>35170.83</v>
      </c>
      <c r="K97" s="103">
        <f t="shared" si="45"/>
        <v>93787.499999999985</v>
      </c>
      <c r="L97" s="103">
        <f t="shared" si="45"/>
        <v>93787.499999999985</v>
      </c>
      <c r="M97" s="103">
        <f t="shared" si="45"/>
        <v>93787.499999999985</v>
      </c>
      <c r="N97" s="103">
        <f t="shared" si="45"/>
        <v>94300</v>
      </c>
      <c r="O97" s="110">
        <f t="shared" si="45"/>
        <v>94300</v>
      </c>
      <c r="P97" s="110">
        <f t="shared" si="45"/>
        <v>0</v>
      </c>
    </row>
    <row r="98" spans="1:17" s="93" customFormat="1" ht="36" x14ac:dyDescent="0.2">
      <c r="A98" s="104">
        <v>49</v>
      </c>
      <c r="B98" s="104" t="s">
        <v>383</v>
      </c>
      <c r="C98" s="104" t="s">
        <v>384</v>
      </c>
      <c r="D98" s="104" t="s">
        <v>11</v>
      </c>
      <c r="E98" s="104" t="s">
        <v>785</v>
      </c>
      <c r="F98" s="104" t="s">
        <v>772</v>
      </c>
      <c r="G98" s="105">
        <f>+J98+K98+L98+M98+N98+O98+P98</f>
        <v>505133.32999999996</v>
      </c>
      <c r="H98" s="105">
        <f>+G98</f>
        <v>505133.32999999996</v>
      </c>
      <c r="I98" s="105">
        <v>0</v>
      </c>
      <c r="J98" s="105">
        <v>35170.83</v>
      </c>
      <c r="K98" s="105">
        <v>93787.499999999985</v>
      </c>
      <c r="L98" s="105">
        <v>93787.499999999985</v>
      </c>
      <c r="M98" s="111">
        <f>91500*1.025</f>
        <v>93787.499999999985</v>
      </c>
      <c r="N98" s="111">
        <v>94300</v>
      </c>
      <c r="O98" s="112">
        <v>94300</v>
      </c>
      <c r="P98" s="112">
        <v>0</v>
      </c>
    </row>
    <row r="99" spans="1:17" ht="36" x14ac:dyDescent="0.2">
      <c r="A99" s="102"/>
      <c r="B99" s="102" t="s">
        <v>387</v>
      </c>
      <c r="C99" s="102" t="s">
        <v>388</v>
      </c>
      <c r="D99" s="102" t="s">
        <v>8</v>
      </c>
      <c r="E99" s="102"/>
      <c r="F99" s="102"/>
      <c r="G99" s="103">
        <f>+G100</f>
        <v>27627.050000000003</v>
      </c>
      <c r="H99" s="103">
        <f>+H100</f>
        <v>27627.050000000003</v>
      </c>
      <c r="I99" s="103">
        <f t="shared" ref="I99:P99" si="46">+I100</f>
        <v>0</v>
      </c>
      <c r="J99" s="103">
        <f t="shared" si="46"/>
        <v>0</v>
      </c>
      <c r="K99" s="103">
        <f>+K100</f>
        <v>22374.95</v>
      </c>
      <c r="L99" s="103">
        <f>+L100</f>
        <v>5252.1</v>
      </c>
      <c r="M99" s="103">
        <f t="shared" si="46"/>
        <v>0</v>
      </c>
      <c r="N99" s="103">
        <f t="shared" si="46"/>
        <v>0</v>
      </c>
      <c r="O99" s="103">
        <f t="shared" si="46"/>
        <v>0</v>
      </c>
      <c r="P99" s="103">
        <f t="shared" si="46"/>
        <v>0</v>
      </c>
    </row>
    <row r="100" spans="1:17" s="93" customFormat="1" ht="36" x14ac:dyDescent="0.2">
      <c r="A100" s="104">
        <v>50</v>
      </c>
      <c r="B100" s="104" t="s">
        <v>389</v>
      </c>
      <c r="C100" s="104" t="s">
        <v>390</v>
      </c>
      <c r="D100" s="104" t="s">
        <v>11</v>
      </c>
      <c r="E100" s="104" t="s">
        <v>785</v>
      </c>
      <c r="F100" s="104" t="s">
        <v>772</v>
      </c>
      <c r="G100" s="105">
        <f>+J100+K100+L100+M100+N100+O100+P100</f>
        <v>27627.050000000003</v>
      </c>
      <c r="H100" s="105">
        <f>+G100</f>
        <v>27627.050000000003</v>
      </c>
      <c r="I100" s="105">
        <v>0</v>
      </c>
      <c r="J100" s="105">
        <v>0</v>
      </c>
      <c r="K100" s="109">
        <v>22374.95</v>
      </c>
      <c r="L100" s="109">
        <v>5252.1</v>
      </c>
      <c r="M100" s="111">
        <v>0</v>
      </c>
      <c r="N100" s="111">
        <v>0</v>
      </c>
      <c r="O100" s="111">
        <v>0</v>
      </c>
      <c r="P100" s="111">
        <v>0</v>
      </c>
    </row>
    <row r="101" spans="1:17" ht="24" x14ac:dyDescent="0.2">
      <c r="A101" s="116"/>
      <c r="B101" s="106" t="s">
        <v>762</v>
      </c>
      <c r="C101" s="106" t="s">
        <v>763</v>
      </c>
      <c r="D101" s="106" t="s">
        <v>775</v>
      </c>
      <c r="E101" s="106"/>
      <c r="F101" s="106"/>
      <c r="G101" s="107">
        <f>+G102</f>
        <v>1727930.04</v>
      </c>
      <c r="H101" s="107">
        <f t="shared" ref="H101:P103" si="47">+H102</f>
        <v>1727930.04</v>
      </c>
      <c r="I101" s="107">
        <f t="shared" si="47"/>
        <v>0</v>
      </c>
      <c r="J101" s="107">
        <f t="shared" si="47"/>
        <v>0</v>
      </c>
      <c r="K101" s="107">
        <f t="shared" si="47"/>
        <v>200000</v>
      </c>
      <c r="L101" s="107">
        <f t="shared" si="47"/>
        <v>200000</v>
      </c>
      <c r="M101" s="107">
        <f t="shared" si="47"/>
        <v>300000</v>
      </c>
      <c r="N101" s="107">
        <f t="shared" si="47"/>
        <v>300000</v>
      </c>
      <c r="O101" s="107">
        <f t="shared" si="47"/>
        <v>350000</v>
      </c>
      <c r="P101" s="107">
        <f t="shared" si="47"/>
        <v>377930.04</v>
      </c>
    </row>
    <row r="102" spans="1:17" ht="24" x14ac:dyDescent="0.2">
      <c r="A102" s="117"/>
      <c r="B102" s="118" t="s">
        <v>764</v>
      </c>
      <c r="C102" s="118" t="s">
        <v>763</v>
      </c>
      <c r="D102" s="118" t="s">
        <v>776</v>
      </c>
      <c r="E102" s="118"/>
      <c r="F102" s="118"/>
      <c r="G102" s="119">
        <f>+G103</f>
        <v>1727930.04</v>
      </c>
      <c r="H102" s="119">
        <f t="shared" si="47"/>
        <v>1727930.04</v>
      </c>
      <c r="I102" s="119">
        <f t="shared" si="47"/>
        <v>0</v>
      </c>
      <c r="J102" s="119">
        <f t="shared" si="47"/>
        <v>0</v>
      </c>
      <c r="K102" s="119">
        <f t="shared" si="47"/>
        <v>200000</v>
      </c>
      <c r="L102" s="119">
        <f t="shared" si="47"/>
        <v>200000</v>
      </c>
      <c r="M102" s="119">
        <f t="shared" si="47"/>
        <v>300000</v>
      </c>
      <c r="N102" s="119">
        <f t="shared" si="47"/>
        <v>300000</v>
      </c>
      <c r="O102" s="119">
        <f t="shared" si="47"/>
        <v>350000</v>
      </c>
      <c r="P102" s="119">
        <f t="shared" si="47"/>
        <v>377930.04</v>
      </c>
    </row>
    <row r="103" spans="1:17" ht="24" x14ac:dyDescent="0.2">
      <c r="A103" s="120"/>
      <c r="B103" s="102" t="s">
        <v>765</v>
      </c>
      <c r="C103" s="102" t="s">
        <v>763</v>
      </c>
      <c r="D103" s="102" t="s">
        <v>8</v>
      </c>
      <c r="E103" s="102"/>
      <c r="F103" s="102"/>
      <c r="G103" s="103">
        <f>+G104</f>
        <v>1727930.04</v>
      </c>
      <c r="H103" s="103">
        <f t="shared" si="47"/>
        <v>1727930.04</v>
      </c>
      <c r="I103" s="103">
        <f t="shared" si="47"/>
        <v>0</v>
      </c>
      <c r="J103" s="103">
        <f t="shared" si="47"/>
        <v>0</v>
      </c>
      <c r="K103" s="103">
        <f t="shared" si="47"/>
        <v>200000</v>
      </c>
      <c r="L103" s="103">
        <f t="shared" si="47"/>
        <v>200000</v>
      </c>
      <c r="M103" s="103">
        <f t="shared" si="47"/>
        <v>300000</v>
      </c>
      <c r="N103" s="103">
        <f t="shared" si="47"/>
        <v>300000</v>
      </c>
      <c r="O103" s="103">
        <f t="shared" si="47"/>
        <v>350000</v>
      </c>
      <c r="P103" s="103">
        <f t="shared" si="47"/>
        <v>377930.04</v>
      </c>
    </row>
    <row r="104" spans="1:17" s="93" customFormat="1" ht="36" x14ac:dyDescent="0.2">
      <c r="A104" s="121">
        <v>51</v>
      </c>
      <c r="B104" s="104" t="s">
        <v>766</v>
      </c>
      <c r="C104" s="104" t="s">
        <v>767</v>
      </c>
      <c r="D104" s="104" t="s">
        <v>11</v>
      </c>
      <c r="E104" s="104" t="s">
        <v>65</v>
      </c>
      <c r="F104" s="104" t="s">
        <v>772</v>
      </c>
      <c r="G104" s="105">
        <f>+J104+K104+L104+M104+N104+O104+P104</f>
        <v>1727930.04</v>
      </c>
      <c r="H104" s="105">
        <f>+G104</f>
        <v>1727930.04</v>
      </c>
      <c r="I104" s="105">
        <v>0</v>
      </c>
      <c r="J104" s="105">
        <v>0</v>
      </c>
      <c r="K104" s="105">
        <v>200000</v>
      </c>
      <c r="L104" s="105">
        <v>200000</v>
      </c>
      <c r="M104" s="105">
        <v>300000</v>
      </c>
      <c r="N104" s="109">
        <v>300000</v>
      </c>
      <c r="O104" s="109">
        <v>350000</v>
      </c>
      <c r="P104" s="109">
        <f>377890.04+40</f>
        <v>377930.04</v>
      </c>
    </row>
    <row r="105" spans="1:17" x14ac:dyDescent="0.2">
      <c r="Q105" s="127"/>
    </row>
    <row r="106" spans="1:17" x14ac:dyDescent="0.2">
      <c r="O106" s="133"/>
      <c r="P106" s="134"/>
    </row>
    <row r="108" spans="1:17" x14ac:dyDescent="0.2">
      <c r="P108" s="132"/>
    </row>
    <row r="113" spans="16:16" x14ac:dyDescent="0.2">
      <c r="P113" s="132"/>
    </row>
  </sheetData>
  <sheetProtection selectLockedCells="1"/>
  <autoFilter ref="A3:P104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056"/>
  <sheetViews>
    <sheetView topLeftCell="A102" zoomScale="70" zoomScaleNormal="70" workbookViewId="0">
      <selection activeCell="R40" sqref="R40"/>
    </sheetView>
  </sheetViews>
  <sheetFormatPr defaultColWidth="9.140625" defaultRowHeight="12.75" x14ac:dyDescent="0.2"/>
  <cols>
    <col min="1" max="1" width="0.7109375" customWidth="1"/>
    <col min="2" max="2" width="7.5703125" customWidth="1"/>
    <col min="3" max="3" width="8.140625" hidden="1" customWidth="1"/>
    <col min="4" max="4" width="17.42578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0" hidden="1" customWidth="1"/>
    <col min="11" max="11" width="14.5703125" bestFit="1" customWidth="1"/>
    <col min="12" max="12" width="12.7109375" bestFit="1" customWidth="1"/>
    <col min="13" max="13" width="13" bestFit="1" customWidth="1"/>
    <col min="14" max="14" width="11.7109375" bestFit="1" customWidth="1"/>
    <col min="15" max="17" width="12.42578125" bestFit="1" customWidth="1"/>
    <col min="18" max="19" width="11.7109375" bestFit="1" customWidth="1"/>
    <col min="20" max="28" width="9.140625" hidden="1" customWidth="1"/>
    <col min="29" max="29" width="11.7109375" bestFit="1" customWidth="1"/>
    <col min="30" max="30" width="14.140625" style="17" customWidth="1"/>
    <col min="31" max="31" width="13.7109375" style="17" bestFit="1" customWidth="1"/>
    <col min="32" max="32" width="12.42578125" style="17" bestFit="1" customWidth="1"/>
    <col min="33" max="16384" width="9.140625" style="17"/>
  </cols>
  <sheetData>
    <row r="1" spans="1:32" ht="50.25" customHeight="1" x14ac:dyDescent="0.2">
      <c r="A1" s="7" t="s">
        <v>736</v>
      </c>
      <c r="B1" s="8" t="s">
        <v>709</v>
      </c>
      <c r="C1" s="8" t="s">
        <v>710</v>
      </c>
      <c r="D1" s="8" t="s">
        <v>711</v>
      </c>
      <c r="E1" s="9" t="s">
        <v>712</v>
      </c>
      <c r="F1" s="9" t="s">
        <v>713</v>
      </c>
      <c r="G1" s="9" t="s">
        <v>714</v>
      </c>
      <c r="H1" s="9" t="s">
        <v>715</v>
      </c>
      <c r="I1" s="9" t="s">
        <v>716</v>
      </c>
      <c r="J1" s="9" t="s">
        <v>717</v>
      </c>
      <c r="K1" s="9" t="s">
        <v>718</v>
      </c>
      <c r="L1" s="9" t="s">
        <v>719</v>
      </c>
      <c r="M1" s="9" t="s">
        <v>720</v>
      </c>
      <c r="N1" s="9" t="s">
        <v>721</v>
      </c>
      <c r="O1" s="9" t="s">
        <v>722</v>
      </c>
      <c r="P1" s="9" t="s">
        <v>723</v>
      </c>
      <c r="Q1" s="9" t="s">
        <v>724</v>
      </c>
      <c r="R1" s="9" t="s">
        <v>725</v>
      </c>
      <c r="S1" s="9" t="s">
        <v>726</v>
      </c>
      <c r="T1" s="5" t="s">
        <v>727</v>
      </c>
      <c r="U1" s="5" t="s">
        <v>728</v>
      </c>
      <c r="V1" s="5" t="s">
        <v>729</v>
      </c>
      <c r="W1" s="5" t="s">
        <v>730</v>
      </c>
      <c r="X1" s="5" t="s">
        <v>731</v>
      </c>
      <c r="Y1" s="5" t="s">
        <v>732</v>
      </c>
      <c r="Z1" s="5" t="s">
        <v>733</v>
      </c>
      <c r="AA1" s="5" t="s">
        <v>734</v>
      </c>
      <c r="AB1" s="5" t="s">
        <v>735</v>
      </c>
      <c r="AC1" s="9" t="s">
        <v>748</v>
      </c>
      <c r="AE1" s="9" t="s">
        <v>718</v>
      </c>
      <c r="AF1" s="9" t="s">
        <v>719</v>
      </c>
    </row>
    <row r="2" spans="1:32" ht="25.5" x14ac:dyDescent="0.2">
      <c r="A2" s="27"/>
      <c r="B2" s="28"/>
      <c r="C2" s="28"/>
      <c r="D2" s="28" t="s">
        <v>406</v>
      </c>
      <c r="E2" s="28" t="s">
        <v>407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7">
        <v>311</v>
      </c>
      <c r="B3" s="19"/>
      <c r="C3" s="19"/>
      <c r="D3" s="19" t="s">
        <v>406</v>
      </c>
      <c r="E3" s="19" t="s">
        <v>407</v>
      </c>
      <c r="F3" s="19" t="s">
        <v>2</v>
      </c>
      <c r="G3" s="19"/>
      <c r="H3" s="19"/>
      <c r="I3" s="19"/>
      <c r="J3" s="19">
        <v>75</v>
      </c>
      <c r="K3" s="20">
        <f>+K5+K48+K76+K109</f>
        <v>8919213.6115000006</v>
      </c>
      <c r="L3" s="20">
        <f t="shared" ref="L3:S3" si="0">+L5+L48+L76+L109</f>
        <v>6689410.2086250009</v>
      </c>
      <c r="M3" s="20">
        <f t="shared" si="0"/>
        <v>2229803.4028750001</v>
      </c>
      <c r="N3" s="20">
        <f t="shared" si="0"/>
        <v>141107.16125</v>
      </c>
      <c r="O3" s="20">
        <f t="shared" si="0"/>
        <v>1625306.6495000001</v>
      </c>
      <c r="P3" s="20">
        <f t="shared" si="0"/>
        <v>3701491.2894999995</v>
      </c>
      <c r="Q3" s="20">
        <f t="shared" si="0"/>
        <v>1635526.3512500001</v>
      </c>
      <c r="R3" s="20">
        <f t="shared" si="0"/>
        <v>933730.54999999993</v>
      </c>
      <c r="S3" s="20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20"/>
      <c r="AD3" s="54" t="s">
        <v>750</v>
      </c>
      <c r="AE3" s="55">
        <f>+K2-K3</f>
        <v>3898031.5851666667</v>
      </c>
      <c r="AF3" s="55">
        <f>+L2-L3</f>
        <v>2883655.7913749991</v>
      </c>
    </row>
    <row r="4" spans="1:32" ht="32.25" customHeight="1" x14ac:dyDescent="0.2">
      <c r="A4" s="7">
        <v>312</v>
      </c>
      <c r="B4" s="25"/>
      <c r="C4" s="25"/>
      <c r="D4" s="25" t="s">
        <v>408</v>
      </c>
      <c r="E4" s="25" t="s">
        <v>409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7">
        <v>312</v>
      </c>
      <c r="B5" s="19"/>
      <c r="C5" s="19"/>
      <c r="D5" s="19" t="s">
        <v>408</v>
      </c>
      <c r="E5" s="19" t="s">
        <v>409</v>
      </c>
      <c r="F5" s="19" t="s">
        <v>5</v>
      </c>
      <c r="G5" s="19"/>
      <c r="H5" s="19"/>
      <c r="I5" s="19"/>
      <c r="J5" s="19">
        <v>75</v>
      </c>
      <c r="K5" s="20">
        <f>+K6+K19+K31+K36+K39+K42</f>
        <v>4710376.398</v>
      </c>
      <c r="L5" s="20">
        <f t="shared" ref="L5:S5" si="1">+L6+L19+L31+L36+L39+L42</f>
        <v>3532782.2985</v>
      </c>
      <c r="M5" s="20">
        <f t="shared" si="1"/>
        <v>1177594.0995</v>
      </c>
      <c r="N5" s="20">
        <f t="shared" si="1"/>
        <v>39063.440750000009</v>
      </c>
      <c r="O5" s="20">
        <f t="shared" si="1"/>
        <v>933665.82775000005</v>
      </c>
      <c r="P5" s="20">
        <f t="shared" si="1"/>
        <v>2181452.6392499995</v>
      </c>
      <c r="Q5" s="20">
        <f t="shared" si="1"/>
        <v>970527.01025000005</v>
      </c>
      <c r="R5" s="20">
        <f t="shared" si="1"/>
        <v>318673.21000000002</v>
      </c>
      <c r="S5" s="20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20"/>
      <c r="AD5" s="54" t="s">
        <v>751</v>
      </c>
      <c r="AE5" s="56">
        <f>+K4-K5</f>
        <v>-317060.53799999971</v>
      </c>
      <c r="AF5" s="56">
        <f>+L4-L5</f>
        <v>-277663.29850000003</v>
      </c>
    </row>
    <row r="6" spans="1:32" ht="51" x14ac:dyDescent="0.2">
      <c r="A6" s="7">
        <v>313</v>
      </c>
      <c r="B6" s="19"/>
      <c r="C6" s="19"/>
      <c r="D6" s="19" t="s">
        <v>410</v>
      </c>
      <c r="E6" s="19" t="s">
        <v>411</v>
      </c>
      <c r="F6" s="19" t="s">
        <v>8</v>
      </c>
      <c r="G6" s="19"/>
      <c r="H6" s="19"/>
      <c r="I6" s="19"/>
      <c r="J6" s="19">
        <v>75</v>
      </c>
      <c r="K6" s="20">
        <f>+K7+K9+K11+K13+K14+K16+K18</f>
        <v>1561337.7400000002</v>
      </c>
      <c r="L6" s="20">
        <f t="shared" ref="L6:AB6" si="2">+L7+L9+L11+L13+L14+L16+L18</f>
        <v>1171003.3049999999</v>
      </c>
      <c r="M6" s="20">
        <f t="shared" si="2"/>
        <v>390334.43500000006</v>
      </c>
      <c r="N6" s="20">
        <f t="shared" si="2"/>
        <v>4526.8407500000003</v>
      </c>
      <c r="O6" s="20">
        <f t="shared" si="2"/>
        <v>461014.50175</v>
      </c>
      <c r="P6" s="20">
        <f t="shared" si="2"/>
        <v>652973.52924999991</v>
      </c>
      <c r="Q6" s="20">
        <f t="shared" si="2"/>
        <v>293582.70825000003</v>
      </c>
      <c r="R6" s="20">
        <f t="shared" si="2"/>
        <v>74620.08</v>
      </c>
      <c r="S6" s="20">
        <f t="shared" si="2"/>
        <v>74620.08</v>
      </c>
      <c r="T6" s="20">
        <f t="shared" si="2"/>
        <v>0</v>
      </c>
      <c r="U6" s="20">
        <f t="shared" si="2"/>
        <v>0</v>
      </c>
      <c r="V6" s="20">
        <f t="shared" si="2"/>
        <v>0</v>
      </c>
      <c r="W6" s="20">
        <f t="shared" si="2"/>
        <v>0</v>
      </c>
      <c r="X6" s="20">
        <f t="shared" si="2"/>
        <v>0</v>
      </c>
      <c r="Y6" s="20">
        <f t="shared" si="2"/>
        <v>0</v>
      </c>
      <c r="Z6" s="20">
        <f t="shared" si="2"/>
        <v>0</v>
      </c>
      <c r="AA6" s="20">
        <f t="shared" si="2"/>
        <v>0</v>
      </c>
      <c r="AB6" s="20">
        <f t="shared" si="2"/>
        <v>0</v>
      </c>
      <c r="AC6" s="20"/>
    </row>
    <row r="7" spans="1:32" ht="38.25" x14ac:dyDescent="0.2">
      <c r="A7" s="7">
        <v>314</v>
      </c>
      <c r="B7" s="10">
        <v>103</v>
      </c>
      <c r="C7" s="10">
        <v>77</v>
      </c>
      <c r="D7" s="10" t="s">
        <v>412</v>
      </c>
      <c r="E7" s="10" t="s">
        <v>413</v>
      </c>
      <c r="F7" s="10" t="s">
        <v>11</v>
      </c>
      <c r="G7" s="10" t="s">
        <v>36</v>
      </c>
      <c r="H7" s="10" t="s">
        <v>414</v>
      </c>
      <c r="I7" s="10" t="s">
        <v>18</v>
      </c>
      <c r="J7" s="10">
        <v>75</v>
      </c>
      <c r="K7" s="11">
        <v>327600.64000000001</v>
      </c>
      <c r="L7" s="11">
        <f>0.75*K7</f>
        <v>245700.48000000001</v>
      </c>
      <c r="M7" s="11">
        <f>+K7-L7</f>
        <v>81900.160000000003</v>
      </c>
      <c r="N7" s="11"/>
      <c r="O7" s="11">
        <v>56042.15174999999</v>
      </c>
      <c r="P7" s="11">
        <v>65520.07</v>
      </c>
      <c r="Q7" s="77">
        <v>74998.278250000003</v>
      </c>
      <c r="R7" s="77">
        <v>65520.07</v>
      </c>
      <c r="S7" s="77">
        <v>65520.07</v>
      </c>
      <c r="T7" s="78"/>
      <c r="U7" s="78"/>
      <c r="V7" s="78"/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9">
        <v>0</v>
      </c>
      <c r="AC7" s="77"/>
    </row>
    <row r="8" spans="1:32" ht="76.5" x14ac:dyDescent="0.2">
      <c r="A8" s="7">
        <v>315</v>
      </c>
      <c r="B8" s="15"/>
      <c r="C8" s="15">
        <v>77</v>
      </c>
      <c r="D8" s="15" t="s">
        <v>415</v>
      </c>
      <c r="E8" s="15" t="s">
        <v>416</v>
      </c>
      <c r="F8" s="15" t="s">
        <v>15</v>
      </c>
      <c r="G8" s="15"/>
      <c r="H8" s="15"/>
      <c r="I8" s="15"/>
      <c r="J8" s="15">
        <v>75</v>
      </c>
      <c r="K8" s="16">
        <v>196560.5</v>
      </c>
      <c r="L8" s="16">
        <v>147420.37</v>
      </c>
      <c r="M8" s="16">
        <v>49140.13</v>
      </c>
      <c r="N8" s="16"/>
      <c r="O8" s="16">
        <f>54675.27*1.025</f>
        <v>56042.15174999999</v>
      </c>
      <c r="P8" s="16">
        <v>65520.07</v>
      </c>
      <c r="Q8" s="16">
        <f>+K8-O8-P8</f>
        <v>74998.278250000003</v>
      </c>
      <c r="R8" s="16"/>
      <c r="S8" s="16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8">
        <v>43465</v>
      </c>
      <c r="AD8" s="38"/>
    </row>
    <row r="9" spans="1:32" ht="38.25" x14ac:dyDescent="0.2">
      <c r="A9" s="7">
        <v>316</v>
      </c>
      <c r="B9" s="10">
        <v>104</v>
      </c>
      <c r="C9" s="10">
        <v>78</v>
      </c>
      <c r="D9" s="10" t="s">
        <v>417</v>
      </c>
      <c r="E9" s="10" t="s">
        <v>418</v>
      </c>
      <c r="F9" s="10" t="s">
        <v>11</v>
      </c>
      <c r="G9" s="10" t="s">
        <v>36</v>
      </c>
      <c r="H9" s="10" t="s">
        <v>313</v>
      </c>
      <c r="I9" s="10" t="s">
        <v>18</v>
      </c>
      <c r="J9" s="10">
        <v>75</v>
      </c>
      <c r="K9" s="11">
        <v>630867</v>
      </c>
      <c r="L9" s="11">
        <f>0.75*K9</f>
        <v>473150.25</v>
      </c>
      <c r="M9" s="11">
        <f>+K9-L9</f>
        <v>157716.75</v>
      </c>
      <c r="N9" s="11"/>
      <c r="O9" s="11">
        <v>200597.58</v>
      </c>
      <c r="P9" s="11">
        <v>220785</v>
      </c>
      <c r="Q9" s="77">
        <v>209484.42000000004</v>
      </c>
      <c r="R9" s="77"/>
      <c r="S9" s="77"/>
      <c r="T9" s="78"/>
      <c r="U9" s="78"/>
      <c r="V9" s="78"/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9">
        <v>0</v>
      </c>
      <c r="AC9" s="77"/>
    </row>
    <row r="10" spans="1:32" ht="38.25" x14ac:dyDescent="0.2">
      <c r="A10" s="7">
        <v>317</v>
      </c>
      <c r="B10" s="15"/>
      <c r="C10" s="15">
        <v>78</v>
      </c>
      <c r="D10" s="15" t="s">
        <v>419</v>
      </c>
      <c r="E10" s="15" t="s">
        <v>418</v>
      </c>
      <c r="F10" s="15" t="s">
        <v>15</v>
      </c>
      <c r="G10" s="15"/>
      <c r="H10" s="15"/>
      <c r="I10" s="15"/>
      <c r="J10" s="15">
        <v>75</v>
      </c>
      <c r="K10" s="16">
        <v>630867</v>
      </c>
      <c r="L10" s="16">
        <v>473150.25</v>
      </c>
      <c r="M10" s="16">
        <v>157716.75</v>
      </c>
      <c r="N10" s="16"/>
      <c r="O10" s="16">
        <v>200597.58</v>
      </c>
      <c r="P10" s="16">
        <v>220785</v>
      </c>
      <c r="Q10" s="16">
        <f>+K10-O10-P10</f>
        <v>209484.42000000004</v>
      </c>
      <c r="R10" s="16"/>
      <c r="S10" s="16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8">
        <v>43465</v>
      </c>
      <c r="AD10" s="38"/>
    </row>
    <row r="11" spans="1:32" ht="51" x14ac:dyDescent="0.2">
      <c r="A11" s="7">
        <v>318</v>
      </c>
      <c r="B11" s="10">
        <v>105</v>
      </c>
      <c r="C11" s="10">
        <v>79</v>
      </c>
      <c r="D11" s="10" t="s">
        <v>420</v>
      </c>
      <c r="E11" s="10" t="s">
        <v>421</v>
      </c>
      <c r="F11" s="10" t="s">
        <v>11</v>
      </c>
      <c r="G11" s="10" t="s">
        <v>23</v>
      </c>
      <c r="H11" s="10" t="s">
        <v>414</v>
      </c>
      <c r="I11" s="10" t="s">
        <v>18</v>
      </c>
      <c r="J11" s="10">
        <v>75</v>
      </c>
      <c r="K11" s="11">
        <v>165000</v>
      </c>
      <c r="L11" s="11">
        <f>0.75*K11</f>
        <v>123750</v>
      </c>
      <c r="M11" s="11">
        <f>+K11-L11</f>
        <v>41250</v>
      </c>
      <c r="N11" s="11"/>
      <c r="O11" s="11">
        <v>125000</v>
      </c>
      <c r="P11" s="37">
        <v>40000</v>
      </c>
      <c r="Q11" s="77"/>
      <c r="R11" s="77"/>
      <c r="S11" s="77"/>
      <c r="T11" s="78"/>
      <c r="U11" s="78"/>
      <c r="V11" s="78"/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9">
        <v>0</v>
      </c>
      <c r="AC11" s="77"/>
    </row>
    <row r="12" spans="1:32" ht="51" x14ac:dyDescent="0.2">
      <c r="A12" s="7">
        <v>319</v>
      </c>
      <c r="B12" s="15"/>
      <c r="C12" s="15">
        <v>79</v>
      </c>
      <c r="D12" s="15" t="s">
        <v>422</v>
      </c>
      <c r="E12" s="15" t="s">
        <v>423</v>
      </c>
      <c r="F12" s="15" t="s">
        <v>15</v>
      </c>
      <c r="G12" s="15"/>
      <c r="H12" s="15"/>
      <c r="I12" s="15"/>
      <c r="J12" s="15">
        <v>75</v>
      </c>
      <c r="K12" s="16">
        <v>141960.14000000001</v>
      </c>
      <c r="L12" s="16">
        <v>106470.1</v>
      </c>
      <c r="M12" s="16">
        <v>35490.04</v>
      </c>
      <c r="N12" s="16"/>
      <c r="O12" s="16">
        <v>112984.88</v>
      </c>
      <c r="P12" s="16">
        <f>+K12-O12</f>
        <v>28975.260000000009</v>
      </c>
      <c r="Q12" s="16"/>
      <c r="R12" s="16"/>
      <c r="S12" s="16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8">
        <v>43465</v>
      </c>
      <c r="AD12" s="38"/>
    </row>
    <row r="13" spans="1:32" ht="25.5" x14ac:dyDescent="0.2">
      <c r="A13" s="7">
        <v>320</v>
      </c>
      <c r="B13" s="10">
        <v>106</v>
      </c>
      <c r="C13" s="10">
        <v>80</v>
      </c>
      <c r="D13" s="10" t="s">
        <v>424</v>
      </c>
      <c r="E13" s="10" t="s">
        <v>425</v>
      </c>
      <c r="F13" s="10" t="s">
        <v>11</v>
      </c>
      <c r="G13" s="10" t="s">
        <v>23</v>
      </c>
      <c r="H13" s="10" t="s">
        <v>426</v>
      </c>
      <c r="I13" s="10" t="s">
        <v>18</v>
      </c>
      <c r="J13" s="10">
        <v>75</v>
      </c>
      <c r="K13" s="11">
        <f>+P13</f>
        <v>256249.99999999997</v>
      </c>
      <c r="L13" s="11">
        <f>0.75*K13</f>
        <v>192187.49999999997</v>
      </c>
      <c r="M13" s="11">
        <f>+K13-L13</f>
        <v>64062.5</v>
      </c>
      <c r="N13" s="11"/>
      <c r="O13" s="11"/>
      <c r="P13" s="37">
        <f>250000*1.025</f>
        <v>256249.99999999997</v>
      </c>
      <c r="Q13" s="77"/>
      <c r="R13" s="77"/>
      <c r="S13" s="77"/>
      <c r="T13" s="78"/>
      <c r="U13" s="78"/>
      <c r="V13" s="78"/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9">
        <v>0</v>
      </c>
      <c r="AC13" s="77"/>
    </row>
    <row r="14" spans="1:32" ht="38.25" x14ac:dyDescent="0.2">
      <c r="A14" s="7">
        <v>321</v>
      </c>
      <c r="B14" s="10">
        <v>107</v>
      </c>
      <c r="C14" s="10">
        <v>80</v>
      </c>
      <c r="D14" s="10" t="s">
        <v>427</v>
      </c>
      <c r="E14" s="10" t="s">
        <v>428</v>
      </c>
      <c r="F14" s="10" t="s">
        <v>11</v>
      </c>
      <c r="G14" s="10" t="s">
        <v>23</v>
      </c>
      <c r="H14" s="10" t="s">
        <v>426</v>
      </c>
      <c r="I14" s="10" t="s">
        <v>18</v>
      </c>
      <c r="J14" s="10">
        <v>75</v>
      </c>
      <c r="K14" s="11">
        <v>65520.07</v>
      </c>
      <c r="L14" s="11">
        <f>0.75*K14</f>
        <v>49140.052499999998</v>
      </c>
      <c r="M14" s="11">
        <f>+K14-L14</f>
        <v>16380.017500000002</v>
      </c>
      <c r="N14" s="11"/>
      <c r="O14" s="11">
        <v>65520.07</v>
      </c>
      <c r="P14" s="11"/>
      <c r="Q14" s="77"/>
      <c r="R14" s="77"/>
      <c r="S14" s="77"/>
      <c r="T14" s="80"/>
      <c r="U14" s="80"/>
      <c r="V14" s="80"/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1">
        <v>0</v>
      </c>
      <c r="AC14" s="77"/>
    </row>
    <row r="15" spans="1:32" ht="38.25" x14ac:dyDescent="0.2">
      <c r="A15" s="7">
        <v>322</v>
      </c>
      <c r="B15" s="9"/>
      <c r="C15" s="9">
        <v>80</v>
      </c>
      <c r="D15" s="9" t="s">
        <v>429</v>
      </c>
      <c r="E15" s="9" t="s">
        <v>428</v>
      </c>
      <c r="F15" s="9" t="s">
        <v>15</v>
      </c>
      <c r="G15" s="9"/>
      <c r="H15" s="9"/>
      <c r="I15" s="9"/>
      <c r="J15" s="9">
        <v>75</v>
      </c>
      <c r="K15" s="13">
        <v>65520.07</v>
      </c>
      <c r="L15" s="13">
        <v>49140.05</v>
      </c>
      <c r="M15" s="13">
        <v>16380.02</v>
      </c>
      <c r="N15" s="13"/>
      <c r="O15" s="13">
        <v>65520.07</v>
      </c>
      <c r="P15" s="13"/>
      <c r="Q15" s="13"/>
      <c r="R15" s="13"/>
      <c r="S15" s="13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8">
        <v>42735</v>
      </c>
      <c r="AD15" s="38"/>
    </row>
    <row r="16" spans="1:32" ht="38.25" x14ac:dyDescent="0.2">
      <c r="A16" s="7">
        <v>323</v>
      </c>
      <c r="B16" s="10">
        <v>108</v>
      </c>
      <c r="C16" s="10">
        <v>81</v>
      </c>
      <c r="D16" s="10" t="s">
        <v>430</v>
      </c>
      <c r="E16" s="10" t="s">
        <v>431</v>
      </c>
      <c r="F16" s="10" t="s">
        <v>11</v>
      </c>
      <c r="G16" s="10" t="s">
        <v>23</v>
      </c>
      <c r="H16" s="10" t="s">
        <v>414</v>
      </c>
      <c r="I16" s="10" t="s">
        <v>18</v>
      </c>
      <c r="J16" s="10">
        <v>75</v>
      </c>
      <c r="K16" s="11">
        <v>54600.03</v>
      </c>
      <c r="L16" s="11">
        <f>0.75*K16</f>
        <v>40950.022499999999</v>
      </c>
      <c r="M16" s="11">
        <f>+K16-L16</f>
        <v>13650.0075</v>
      </c>
      <c r="N16" s="11">
        <v>4526.8407500000003</v>
      </c>
      <c r="O16" s="11">
        <v>13854.7</v>
      </c>
      <c r="P16" s="11">
        <v>8918.4592499999999</v>
      </c>
      <c r="Q16" s="77">
        <v>9100.01</v>
      </c>
      <c r="R16" s="77">
        <v>9100.01</v>
      </c>
      <c r="S16" s="77">
        <v>9100.01</v>
      </c>
      <c r="T16" s="80"/>
      <c r="U16" s="80"/>
      <c r="V16" s="80"/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77"/>
    </row>
    <row r="17" spans="1:30" ht="25.5" x14ac:dyDescent="0.2">
      <c r="A17" s="7">
        <v>324</v>
      </c>
      <c r="B17" s="9"/>
      <c r="C17" s="9">
        <v>81</v>
      </c>
      <c r="D17" s="9" t="s">
        <v>432</v>
      </c>
      <c r="E17" s="9" t="s">
        <v>431</v>
      </c>
      <c r="F17" s="9" t="s">
        <v>15</v>
      </c>
      <c r="G17" s="9"/>
      <c r="H17" s="9"/>
      <c r="I17" s="9"/>
      <c r="J17" s="9">
        <v>75</v>
      </c>
      <c r="K17" s="13">
        <v>27300</v>
      </c>
      <c r="L17" s="13">
        <v>20475</v>
      </c>
      <c r="M17" s="13">
        <v>6825</v>
      </c>
      <c r="N17" s="13">
        <f>4416.43*1.025</f>
        <v>4526.8407500000003</v>
      </c>
      <c r="O17" s="13">
        <v>13854.7</v>
      </c>
      <c r="P17" s="13">
        <f>+K17-N17-O17</f>
        <v>8918.4592499999999</v>
      </c>
      <c r="Q17" s="13"/>
      <c r="R17" s="13"/>
      <c r="S17" s="13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8">
        <v>43100</v>
      </c>
      <c r="AD17" s="38"/>
    </row>
    <row r="18" spans="1:30" ht="51" x14ac:dyDescent="0.2">
      <c r="A18" s="7"/>
      <c r="B18" s="10" t="s">
        <v>745</v>
      </c>
      <c r="C18" s="10"/>
      <c r="D18" s="10" t="s">
        <v>746</v>
      </c>
      <c r="E18" s="10" t="s">
        <v>747</v>
      </c>
      <c r="F18" s="10" t="s">
        <v>11</v>
      </c>
      <c r="G18" s="10" t="s">
        <v>23</v>
      </c>
      <c r="H18" s="10" t="s">
        <v>426</v>
      </c>
      <c r="I18" s="10" t="s">
        <v>18</v>
      </c>
      <c r="J18" s="10">
        <v>75</v>
      </c>
      <c r="K18" s="11">
        <v>61500</v>
      </c>
      <c r="L18" s="11">
        <f>0.75*K18</f>
        <v>46125</v>
      </c>
      <c r="M18" s="11">
        <f>+K18-L18</f>
        <v>15375</v>
      </c>
      <c r="N18" s="11"/>
      <c r="O18" s="11"/>
      <c r="P18" s="37">
        <f>60000*1.025</f>
        <v>61499.999999999993</v>
      </c>
      <c r="Q18" s="77"/>
      <c r="R18" s="77"/>
      <c r="S18" s="77"/>
      <c r="T18" s="80"/>
      <c r="U18" s="80"/>
      <c r="V18" s="80"/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77"/>
    </row>
    <row r="19" spans="1:30" ht="38.25" x14ac:dyDescent="0.2">
      <c r="A19" s="7">
        <v>325</v>
      </c>
      <c r="B19" s="19"/>
      <c r="C19" s="19"/>
      <c r="D19" s="19" t="s">
        <v>433</v>
      </c>
      <c r="E19" s="19" t="s">
        <v>434</v>
      </c>
      <c r="F19" s="19" t="s">
        <v>8</v>
      </c>
      <c r="G19" s="19"/>
      <c r="H19" s="19"/>
      <c r="I19" s="19"/>
      <c r="J19" s="19">
        <v>75</v>
      </c>
      <c r="K19" s="20">
        <f>+K20+K22+K24+K26+K27+K29</f>
        <v>2294919.4885</v>
      </c>
      <c r="L19" s="20">
        <f t="shared" ref="L19:S19" si="3">+L20+L22+L24+L26+L27+L29</f>
        <v>1721189.616375</v>
      </c>
      <c r="M19" s="20">
        <f t="shared" si="3"/>
        <v>573729.87212499999</v>
      </c>
      <c r="N19" s="20">
        <f t="shared" si="3"/>
        <v>33661.660000000003</v>
      </c>
      <c r="O19" s="20">
        <f t="shared" si="3"/>
        <v>257303.66924999998</v>
      </c>
      <c r="P19" s="20">
        <f t="shared" si="3"/>
        <v>1258357.0499999998</v>
      </c>
      <c r="Q19" s="20">
        <f t="shared" si="3"/>
        <v>331555.78925000003</v>
      </c>
      <c r="R19" s="20">
        <f t="shared" si="3"/>
        <v>232860.13</v>
      </c>
      <c r="S19" s="20">
        <f t="shared" si="3"/>
        <v>181181.18999999997</v>
      </c>
      <c r="T19" s="20">
        <f t="shared" ref="T19:AB19" si="4">+T20+T22+T24+T26+T27+T29</f>
        <v>0</v>
      </c>
      <c r="U19" s="20">
        <f t="shared" si="4"/>
        <v>0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/>
    </row>
    <row r="20" spans="1:30" ht="38.25" x14ac:dyDescent="0.2">
      <c r="A20" s="7">
        <v>326</v>
      </c>
      <c r="B20" s="10">
        <v>109</v>
      </c>
      <c r="C20" s="10">
        <v>82</v>
      </c>
      <c r="D20" s="10" t="s">
        <v>435</v>
      </c>
      <c r="E20" s="10" t="s">
        <v>436</v>
      </c>
      <c r="F20" s="10" t="s">
        <v>11</v>
      </c>
      <c r="G20" s="10" t="s">
        <v>23</v>
      </c>
      <c r="H20" s="10" t="s">
        <v>414</v>
      </c>
      <c r="I20" s="10" t="s">
        <v>18</v>
      </c>
      <c r="J20" s="10">
        <v>75</v>
      </c>
      <c r="K20" s="11">
        <v>604571.05000000005</v>
      </c>
      <c r="L20" s="11">
        <f>0.75*K20</f>
        <v>453428.28750000003</v>
      </c>
      <c r="M20" s="11">
        <f>+K20-L20</f>
        <v>151142.76250000001</v>
      </c>
      <c r="N20" s="11">
        <v>0</v>
      </c>
      <c r="O20" s="11">
        <v>0</v>
      </c>
      <c r="P20" s="37">
        <f>250000*1.025</f>
        <v>256249.99999999997</v>
      </c>
      <c r="Q20" s="77">
        <v>200000</v>
      </c>
      <c r="R20" s="77">
        <v>100000</v>
      </c>
      <c r="S20" s="77">
        <v>48321.05</v>
      </c>
      <c r="T20" s="78"/>
      <c r="U20" s="78"/>
      <c r="V20" s="78"/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9">
        <v>0</v>
      </c>
      <c r="AC20" s="77"/>
    </row>
    <row r="21" spans="1:30" ht="25.5" x14ac:dyDescent="0.2">
      <c r="A21" s="7">
        <v>327</v>
      </c>
      <c r="B21" s="23"/>
      <c r="C21" s="23">
        <v>82</v>
      </c>
      <c r="D21" s="23" t="s">
        <v>437</v>
      </c>
      <c r="E21" s="23" t="s">
        <v>438</v>
      </c>
      <c r="F21" s="23" t="s">
        <v>15</v>
      </c>
      <c r="G21" s="23"/>
      <c r="H21" s="23"/>
      <c r="I21" s="23"/>
      <c r="J21" s="23">
        <v>75</v>
      </c>
      <c r="K21" s="24">
        <v>256250</v>
      </c>
      <c r="L21" s="24">
        <f>0.75*K21</f>
        <v>192187.5</v>
      </c>
      <c r="M21" s="24">
        <f>+K21-L21</f>
        <v>64062.5</v>
      </c>
      <c r="N21" s="24">
        <v>0</v>
      </c>
      <c r="O21" s="24">
        <v>0</v>
      </c>
      <c r="P21" s="24">
        <f>+P20</f>
        <v>256249.99999999997</v>
      </c>
      <c r="Q21" s="24"/>
      <c r="R21" s="24"/>
      <c r="S21" s="24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8">
        <v>43100</v>
      </c>
      <c r="AD21" s="17" t="s">
        <v>749</v>
      </c>
    </row>
    <row r="22" spans="1:30" ht="38.25" x14ac:dyDescent="0.2">
      <c r="A22" s="7">
        <v>328</v>
      </c>
      <c r="B22" s="10">
        <v>110</v>
      </c>
      <c r="C22" s="10">
        <v>83</v>
      </c>
      <c r="D22" s="10" t="s">
        <v>439</v>
      </c>
      <c r="E22" s="10" t="s">
        <v>440</v>
      </c>
      <c r="F22" s="10" t="s">
        <v>11</v>
      </c>
      <c r="G22" s="10" t="s">
        <v>23</v>
      </c>
      <c r="H22" s="10" t="s">
        <v>414</v>
      </c>
      <c r="I22" s="10" t="s">
        <v>18</v>
      </c>
      <c r="J22" s="10">
        <v>75</v>
      </c>
      <c r="K22" s="11">
        <v>176040.12</v>
      </c>
      <c r="L22" s="11">
        <f>0.75*K22</f>
        <v>132030.09</v>
      </c>
      <c r="M22" s="11">
        <f>+K22-L22</f>
        <v>44010.03</v>
      </c>
      <c r="N22" s="11"/>
      <c r="O22" s="11">
        <v>44064.370749999995</v>
      </c>
      <c r="P22" s="11">
        <v>35000</v>
      </c>
      <c r="Q22" s="77">
        <v>31455.689249999996</v>
      </c>
      <c r="R22" s="77">
        <v>32760.03</v>
      </c>
      <c r="S22" s="77">
        <v>32760.03</v>
      </c>
      <c r="T22" s="78"/>
      <c r="U22" s="78"/>
      <c r="V22" s="78"/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9">
        <v>0</v>
      </c>
      <c r="AC22" s="77"/>
    </row>
    <row r="23" spans="1:30" ht="25.5" x14ac:dyDescent="0.2">
      <c r="A23" s="7">
        <v>329</v>
      </c>
      <c r="B23" s="15"/>
      <c r="C23" s="15">
        <v>83</v>
      </c>
      <c r="D23" s="15" t="s">
        <v>441</v>
      </c>
      <c r="E23" s="15" t="s">
        <v>442</v>
      </c>
      <c r="F23" s="15" t="s">
        <v>15</v>
      </c>
      <c r="G23" s="15"/>
      <c r="H23" s="15"/>
      <c r="I23" s="15"/>
      <c r="J23" s="15">
        <v>75</v>
      </c>
      <c r="K23" s="16">
        <v>110520.06</v>
      </c>
      <c r="L23" s="16">
        <v>82890.039999999994</v>
      </c>
      <c r="M23" s="16">
        <v>27630.02</v>
      </c>
      <c r="N23" s="16"/>
      <c r="O23" s="16">
        <f>42989.63*1.025</f>
        <v>44064.370749999995</v>
      </c>
      <c r="P23" s="16">
        <v>35000</v>
      </c>
      <c r="Q23" s="16">
        <f>+K23-O23-P23</f>
        <v>31455.689249999996</v>
      </c>
      <c r="R23" s="16"/>
      <c r="S23" s="16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9">
        <v>43465</v>
      </c>
    </row>
    <row r="24" spans="1:30" ht="38.25" x14ac:dyDescent="0.2">
      <c r="A24" s="7">
        <v>330</v>
      </c>
      <c r="B24" s="10">
        <v>111</v>
      </c>
      <c r="C24" s="10">
        <v>84</v>
      </c>
      <c r="D24" s="10" t="s">
        <v>443</v>
      </c>
      <c r="E24" s="10" t="s">
        <v>444</v>
      </c>
      <c r="F24" s="10" t="s">
        <v>11</v>
      </c>
      <c r="G24" s="10" t="s">
        <v>23</v>
      </c>
      <c r="H24" s="10" t="s">
        <v>414</v>
      </c>
      <c r="I24" s="10" t="s">
        <v>18</v>
      </c>
      <c r="J24" s="10">
        <v>75</v>
      </c>
      <c r="K24" s="11">
        <f>+N24+O24+P24+Q24+R24+S24</f>
        <v>636358.22849999985</v>
      </c>
      <c r="L24" s="11">
        <f>0.75*K24</f>
        <v>477268.67137499992</v>
      </c>
      <c r="M24" s="11">
        <f>+K24-L24</f>
        <v>159089.55712499993</v>
      </c>
      <c r="N24" s="11">
        <v>29181.66</v>
      </c>
      <c r="O24" s="11">
        <v>199176.29849999998</v>
      </c>
      <c r="P24" s="11">
        <v>135000</v>
      </c>
      <c r="Q24" s="77">
        <v>91000.09</v>
      </c>
      <c r="R24" s="77">
        <v>91000.09</v>
      </c>
      <c r="S24" s="77">
        <v>91000.09</v>
      </c>
      <c r="T24" s="78"/>
      <c r="U24" s="78"/>
      <c r="V24" s="78"/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9">
        <v>0</v>
      </c>
      <c r="AC24" s="82"/>
    </row>
    <row r="25" spans="1:30" ht="25.5" x14ac:dyDescent="0.2">
      <c r="A25" s="7">
        <v>331</v>
      </c>
      <c r="B25" s="23"/>
      <c r="C25" s="23">
        <v>84</v>
      </c>
      <c r="D25" s="23" t="s">
        <v>445</v>
      </c>
      <c r="E25" s="23" t="s">
        <v>444</v>
      </c>
      <c r="F25" s="23" t="s">
        <v>15</v>
      </c>
      <c r="G25" s="23"/>
      <c r="H25" s="23"/>
      <c r="I25" s="23"/>
      <c r="J25" s="23">
        <v>75</v>
      </c>
      <c r="K25" s="24">
        <v>305000.19</v>
      </c>
      <c r="L25" s="24">
        <v>228750.14</v>
      </c>
      <c r="M25" s="24">
        <v>76250.05</v>
      </c>
      <c r="N25" s="24">
        <v>29181.66</v>
      </c>
      <c r="O25" s="24">
        <f>194318.34*1.025</f>
        <v>199176.29849999998</v>
      </c>
      <c r="P25" s="24">
        <f>+K25-N25-O25</f>
        <v>76642.231500000053</v>
      </c>
      <c r="Q25" s="24"/>
      <c r="R25" s="24"/>
      <c r="S25" s="24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7">
        <v>332</v>
      </c>
      <c r="B26" s="10">
        <v>112</v>
      </c>
      <c r="C26" s="10">
        <v>0</v>
      </c>
      <c r="D26" s="10" t="s">
        <v>446</v>
      </c>
      <c r="E26" s="10" t="s">
        <v>447</v>
      </c>
      <c r="F26" s="10" t="s">
        <v>11</v>
      </c>
      <c r="G26" s="10"/>
      <c r="H26" s="10" t="s">
        <v>414</v>
      </c>
      <c r="I26" s="10" t="s">
        <v>18</v>
      </c>
      <c r="J26" s="10">
        <v>75</v>
      </c>
      <c r="K26" s="11">
        <v>54600.05</v>
      </c>
      <c r="L26" s="11">
        <f>0.75*K26</f>
        <v>40950.037500000006</v>
      </c>
      <c r="M26" s="11">
        <f>+K26-L26</f>
        <v>13650.012499999997</v>
      </c>
      <c r="N26" s="11"/>
      <c r="O26" s="11"/>
      <c r="P26" s="11">
        <v>54600.05</v>
      </c>
      <c r="Q26" s="77"/>
      <c r="R26" s="77"/>
      <c r="S26" s="77"/>
      <c r="T26" s="78"/>
      <c r="U26" s="78"/>
      <c r="V26" s="78"/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9">
        <v>0</v>
      </c>
      <c r="AC26" s="82"/>
    </row>
    <row r="27" spans="1:30" ht="38.25" x14ac:dyDescent="0.2">
      <c r="A27" s="7">
        <v>333</v>
      </c>
      <c r="B27" s="10">
        <v>113</v>
      </c>
      <c r="C27" s="10"/>
      <c r="D27" s="10" t="s">
        <v>448</v>
      </c>
      <c r="E27" s="10" t="s">
        <v>449</v>
      </c>
      <c r="F27" s="10" t="s">
        <v>11</v>
      </c>
      <c r="G27" s="10"/>
      <c r="H27" s="10" t="s">
        <v>414</v>
      </c>
      <c r="I27" s="10" t="s">
        <v>18</v>
      </c>
      <c r="J27" s="10">
        <v>75</v>
      </c>
      <c r="K27" s="11">
        <v>54600.04</v>
      </c>
      <c r="L27" s="11">
        <f>0.75*K27</f>
        <v>40950.03</v>
      </c>
      <c r="M27" s="11">
        <f>+K27-L27</f>
        <v>13650.010000000002</v>
      </c>
      <c r="N27" s="11">
        <v>4480</v>
      </c>
      <c r="O27" s="11">
        <v>14062.999999999998</v>
      </c>
      <c r="P27" s="11">
        <v>8757.0000000000018</v>
      </c>
      <c r="Q27" s="77">
        <v>9100.01</v>
      </c>
      <c r="R27" s="77">
        <v>9100.01</v>
      </c>
      <c r="S27" s="77">
        <v>9100.02</v>
      </c>
      <c r="T27" s="80"/>
      <c r="U27" s="80"/>
      <c r="V27" s="80"/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/>
    </row>
    <row r="28" spans="1:30" ht="25.5" x14ac:dyDescent="0.2">
      <c r="A28" s="7">
        <v>334</v>
      </c>
      <c r="B28" s="9"/>
      <c r="C28" s="9">
        <v>85</v>
      </c>
      <c r="D28" s="9" t="s">
        <v>450</v>
      </c>
      <c r="E28" s="9" t="s">
        <v>449</v>
      </c>
      <c r="F28" s="9" t="s">
        <v>15</v>
      </c>
      <c r="G28" s="9"/>
      <c r="H28" s="9"/>
      <c r="I28" s="9"/>
      <c r="J28" s="9">
        <v>75</v>
      </c>
      <c r="K28" s="13">
        <v>27300</v>
      </c>
      <c r="L28" s="13">
        <v>20475</v>
      </c>
      <c r="M28" s="13">
        <v>6825</v>
      </c>
      <c r="N28" s="13">
        <v>4480</v>
      </c>
      <c r="O28" s="13">
        <f>13720*1.025</f>
        <v>14062.999999999998</v>
      </c>
      <c r="P28" s="13">
        <f>+K28-N28-O28</f>
        <v>8757.0000000000018</v>
      </c>
      <c r="Q28" s="13"/>
      <c r="R28" s="13"/>
      <c r="S28" s="13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7">
        <v>335</v>
      </c>
      <c r="B29" s="10">
        <v>114</v>
      </c>
      <c r="C29" s="10"/>
      <c r="D29" s="10" t="s">
        <v>451</v>
      </c>
      <c r="E29" s="10" t="s">
        <v>452</v>
      </c>
      <c r="F29" s="10" t="s">
        <v>11</v>
      </c>
      <c r="G29" s="10"/>
      <c r="H29" s="10" t="s">
        <v>414</v>
      </c>
      <c r="I29" s="10" t="s">
        <v>18</v>
      </c>
      <c r="J29" s="10">
        <v>75</v>
      </c>
      <c r="K29" s="11">
        <v>768750</v>
      </c>
      <c r="L29" s="11">
        <f>0.75*K29</f>
        <v>576562.5</v>
      </c>
      <c r="M29" s="11">
        <f>+K29-L29</f>
        <v>192187.5</v>
      </c>
      <c r="N29" s="11"/>
      <c r="O29" s="11"/>
      <c r="P29" s="37">
        <f>750000*1.025</f>
        <v>768749.99999999988</v>
      </c>
      <c r="Q29" s="77"/>
      <c r="R29" s="77"/>
      <c r="S29" s="77"/>
      <c r="T29" s="80"/>
      <c r="U29" s="80"/>
      <c r="V29" s="80"/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/>
    </row>
    <row r="30" spans="1:30" ht="38.25" x14ac:dyDescent="0.2">
      <c r="A30" s="7">
        <v>336</v>
      </c>
      <c r="B30" s="9"/>
      <c r="C30" s="9">
        <v>86</v>
      </c>
      <c r="D30" s="9" t="s">
        <v>453</v>
      </c>
      <c r="E30" s="9" t="s">
        <v>452</v>
      </c>
      <c r="F30" s="9" t="s">
        <v>15</v>
      </c>
      <c r="G30" s="9"/>
      <c r="H30" s="9"/>
      <c r="I30" s="9"/>
      <c r="J30" s="9">
        <v>75</v>
      </c>
      <c r="K30" s="13">
        <v>768750</v>
      </c>
      <c r="L30" s="13">
        <v>576562.5</v>
      </c>
      <c r="M30" s="13">
        <v>192187.5</v>
      </c>
      <c r="N30" s="13"/>
      <c r="O30" s="13"/>
      <c r="P30" s="13">
        <f>+P29</f>
        <v>768749.99999999988</v>
      </c>
      <c r="Q30" s="13"/>
      <c r="R30" s="13"/>
      <c r="S30" s="13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7">
        <v>337</v>
      </c>
      <c r="B31" s="19"/>
      <c r="C31" s="19"/>
      <c r="D31" s="19" t="s">
        <v>454</v>
      </c>
      <c r="E31" s="19" t="s">
        <v>455</v>
      </c>
      <c r="F31" s="19" t="s">
        <v>8</v>
      </c>
      <c r="G31" s="19"/>
      <c r="H31" s="19"/>
      <c r="I31" s="19"/>
      <c r="J31" s="19">
        <v>75</v>
      </c>
      <c r="K31" s="20">
        <f>+K32+K34</f>
        <v>467600.33</v>
      </c>
      <c r="L31" s="20">
        <f t="shared" ref="L31:S31" si="5">+L32+L34</f>
        <v>350700.24750000006</v>
      </c>
      <c r="M31" s="20">
        <f t="shared" si="5"/>
        <v>116900.08249999999</v>
      </c>
      <c r="N31" s="20">
        <f t="shared" si="5"/>
        <v>0</v>
      </c>
      <c r="O31" s="20">
        <f t="shared" si="5"/>
        <v>97014.856</v>
      </c>
      <c r="P31" s="20">
        <f t="shared" si="5"/>
        <v>196400.04</v>
      </c>
      <c r="Q31" s="20">
        <f t="shared" si="5"/>
        <v>174185.43400000004</v>
      </c>
      <c r="R31" s="20">
        <f t="shared" si="5"/>
        <v>0</v>
      </c>
      <c r="S31" s="20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7">
        <v>338</v>
      </c>
      <c r="B32" s="10">
        <v>115</v>
      </c>
      <c r="C32" s="10">
        <v>87</v>
      </c>
      <c r="D32" s="10" t="s">
        <v>456</v>
      </c>
      <c r="E32" s="10" t="s">
        <v>457</v>
      </c>
      <c r="F32" s="10" t="s">
        <v>11</v>
      </c>
      <c r="G32" s="10" t="s">
        <v>23</v>
      </c>
      <c r="H32" s="10" t="s">
        <v>414</v>
      </c>
      <c r="I32" s="10" t="s">
        <v>18</v>
      </c>
      <c r="J32" s="10">
        <v>75</v>
      </c>
      <c r="K32" s="11">
        <v>109200.11</v>
      </c>
      <c r="L32" s="11">
        <f>0.75*K32</f>
        <v>81900.082500000004</v>
      </c>
      <c r="M32" s="11">
        <f>+K32-L32</f>
        <v>27300.027499999997</v>
      </c>
      <c r="N32" s="11"/>
      <c r="O32" s="11">
        <v>33526.489249999999</v>
      </c>
      <c r="P32" s="11">
        <v>46400.04</v>
      </c>
      <c r="Q32" s="77">
        <v>29273.580750000001</v>
      </c>
      <c r="R32" s="77"/>
      <c r="S32" s="77"/>
      <c r="T32" s="78"/>
      <c r="U32" s="78"/>
      <c r="V32" s="78"/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9">
        <v>0</v>
      </c>
      <c r="AC32" s="82"/>
    </row>
    <row r="33" spans="1:32" ht="25.5" x14ac:dyDescent="0.2">
      <c r="A33" s="7">
        <v>339</v>
      </c>
      <c r="B33" s="23"/>
      <c r="C33" s="23">
        <v>87</v>
      </c>
      <c r="D33" s="23" t="s">
        <v>458</v>
      </c>
      <c r="E33" s="23" t="s">
        <v>457</v>
      </c>
      <c r="F33" s="23" t="s">
        <v>15</v>
      </c>
      <c r="G33" s="23"/>
      <c r="H33" s="23"/>
      <c r="I33" s="23"/>
      <c r="J33" s="23">
        <v>75</v>
      </c>
      <c r="K33" s="24">
        <v>109200.11</v>
      </c>
      <c r="L33" s="24">
        <v>81900.08</v>
      </c>
      <c r="M33" s="24">
        <v>27300.03</v>
      </c>
      <c r="N33" s="24"/>
      <c r="O33" s="24">
        <f>32708.77*1.025</f>
        <v>33526.489249999999</v>
      </c>
      <c r="P33" s="24">
        <v>46400.04</v>
      </c>
      <c r="Q33" s="24">
        <f>+K33-O33-P33</f>
        <v>29273.580750000001</v>
      </c>
      <c r="R33" s="24"/>
      <c r="S33" s="24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7">
        <v>340</v>
      </c>
      <c r="B34" s="10">
        <v>116</v>
      </c>
      <c r="C34" s="10">
        <v>88</v>
      </c>
      <c r="D34" s="10" t="s">
        <v>459</v>
      </c>
      <c r="E34" s="10" t="s">
        <v>460</v>
      </c>
      <c r="F34" s="10" t="s">
        <v>11</v>
      </c>
      <c r="G34" s="10" t="s">
        <v>28</v>
      </c>
      <c r="H34" s="10" t="s">
        <v>313</v>
      </c>
      <c r="I34" s="10" t="s">
        <v>18</v>
      </c>
      <c r="J34" s="10">
        <v>75</v>
      </c>
      <c r="K34" s="11">
        <f>+O34+P34+Q34</f>
        <v>358400.22000000003</v>
      </c>
      <c r="L34" s="11">
        <f>0.75*K34</f>
        <v>268800.16500000004</v>
      </c>
      <c r="M34" s="11">
        <f>+K34-L34</f>
        <v>89600.054999999993</v>
      </c>
      <c r="N34" s="11"/>
      <c r="O34" s="11">
        <v>63488.366749999994</v>
      </c>
      <c r="P34" s="11">
        <v>150000</v>
      </c>
      <c r="Q34" s="77">
        <v>144911.85325000004</v>
      </c>
      <c r="R34" s="77"/>
      <c r="S34" s="77"/>
      <c r="T34" s="78"/>
      <c r="U34" s="78"/>
      <c r="V34" s="78"/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9">
        <v>0</v>
      </c>
      <c r="AC34" s="82"/>
    </row>
    <row r="35" spans="1:32" ht="51" x14ac:dyDescent="0.2">
      <c r="A35" s="7">
        <v>341</v>
      </c>
      <c r="B35" s="15"/>
      <c r="C35" s="15">
        <v>88</v>
      </c>
      <c r="D35" s="15" t="s">
        <v>461</v>
      </c>
      <c r="E35" s="15" t="s">
        <v>462</v>
      </c>
      <c r="F35" s="15" t="s">
        <v>15</v>
      </c>
      <c r="G35" s="15"/>
      <c r="H35" s="15"/>
      <c r="I35" s="15"/>
      <c r="J35" s="15">
        <v>75</v>
      </c>
      <c r="K35" s="16">
        <v>358400.22000000003</v>
      </c>
      <c r="L35" s="16">
        <v>268800.16500000004</v>
      </c>
      <c r="M35" s="16">
        <v>89600.054999999993</v>
      </c>
      <c r="N35" s="16"/>
      <c r="O35" s="16">
        <v>63488.366749999994</v>
      </c>
      <c r="P35" s="16">
        <v>150000</v>
      </c>
      <c r="Q35" s="66">
        <v>144911.85325000004</v>
      </c>
      <c r="R35" s="66"/>
      <c r="S35" s="66"/>
      <c r="T35" s="83"/>
      <c r="U35" s="83"/>
      <c r="V35" s="83"/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4">
        <v>0</v>
      </c>
      <c r="AC35" s="85">
        <v>43465</v>
      </c>
    </row>
    <row r="36" spans="1:32" ht="51" x14ac:dyDescent="0.2">
      <c r="A36" s="7">
        <v>342</v>
      </c>
      <c r="B36" s="19"/>
      <c r="C36" s="19"/>
      <c r="D36" s="19" t="s">
        <v>463</v>
      </c>
      <c r="E36" s="19" t="s">
        <v>464</v>
      </c>
      <c r="F36" s="19" t="s">
        <v>8</v>
      </c>
      <c r="G36" s="19"/>
      <c r="H36" s="19"/>
      <c r="I36" s="19"/>
      <c r="J36" s="19">
        <v>75</v>
      </c>
      <c r="K36" s="20">
        <f>+K37</f>
        <v>54600.06</v>
      </c>
      <c r="L36" s="20">
        <f t="shared" ref="L36:Q36" si="6">+L37</f>
        <v>40950.044999999998</v>
      </c>
      <c r="M36" s="20">
        <f t="shared" si="6"/>
        <v>13650.014999999999</v>
      </c>
      <c r="N36" s="20">
        <f t="shared" si="6"/>
        <v>0</v>
      </c>
      <c r="O36" s="20">
        <f t="shared" si="6"/>
        <v>7563.2289999999994</v>
      </c>
      <c r="P36" s="20">
        <f t="shared" si="6"/>
        <v>18200.02</v>
      </c>
      <c r="Q36" s="20">
        <f t="shared" si="6"/>
        <v>28836.810999999998</v>
      </c>
      <c r="R36" s="20">
        <v>0</v>
      </c>
      <c r="S36" s="20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7">
        <v>343</v>
      </c>
      <c r="B37" s="10">
        <v>117</v>
      </c>
      <c r="C37" s="10">
        <v>89</v>
      </c>
      <c r="D37" s="10" t="s">
        <v>465</v>
      </c>
      <c r="E37" s="10" t="s">
        <v>466</v>
      </c>
      <c r="F37" s="10" t="s">
        <v>11</v>
      </c>
      <c r="G37" s="10" t="s">
        <v>28</v>
      </c>
      <c r="H37" s="10" t="s">
        <v>414</v>
      </c>
      <c r="I37" s="10" t="s">
        <v>18</v>
      </c>
      <c r="J37" s="10">
        <v>75</v>
      </c>
      <c r="K37" s="11">
        <v>54600.06</v>
      </c>
      <c r="L37" s="11">
        <f>0.75*K37</f>
        <v>40950.044999999998</v>
      </c>
      <c r="M37" s="11">
        <f>+K37-L37</f>
        <v>13650.014999999999</v>
      </c>
      <c r="N37" s="11"/>
      <c r="O37" s="11">
        <v>7563.2289999999994</v>
      </c>
      <c r="P37" s="11">
        <v>18200.02</v>
      </c>
      <c r="Q37" s="77">
        <v>28836.810999999998</v>
      </c>
      <c r="R37" s="77"/>
      <c r="S37" s="77"/>
      <c r="T37" s="80"/>
      <c r="U37" s="80"/>
      <c r="V37" s="80"/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/>
    </row>
    <row r="38" spans="1:32" ht="89.25" x14ac:dyDescent="0.2">
      <c r="A38" s="7">
        <v>344</v>
      </c>
      <c r="B38" s="9"/>
      <c r="C38" s="9">
        <v>89</v>
      </c>
      <c r="D38" s="9" t="s">
        <v>467</v>
      </c>
      <c r="E38" s="9" t="s">
        <v>468</v>
      </c>
      <c r="F38" s="9" t="s">
        <v>15</v>
      </c>
      <c r="G38" s="9"/>
      <c r="H38" s="9"/>
      <c r="I38" s="9"/>
      <c r="J38" s="9">
        <v>75</v>
      </c>
      <c r="K38" s="13">
        <v>54600.06</v>
      </c>
      <c r="L38" s="13">
        <v>40950.04</v>
      </c>
      <c r="M38" s="13">
        <v>13650.02</v>
      </c>
      <c r="N38" s="13"/>
      <c r="O38" s="13">
        <f>7378.76*1.025</f>
        <v>7563.2289999999994</v>
      </c>
      <c r="P38" s="13">
        <v>18200.02</v>
      </c>
      <c r="Q38" s="13">
        <f>+K38-O38-P38</f>
        <v>28836.810999999998</v>
      </c>
      <c r="R38" s="13"/>
      <c r="S38" s="13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7">
        <v>345</v>
      </c>
      <c r="B39" s="19"/>
      <c r="C39" s="19"/>
      <c r="D39" s="19" t="s">
        <v>469</v>
      </c>
      <c r="E39" s="19" t="s">
        <v>470</v>
      </c>
      <c r="F39" s="19" t="s">
        <v>8</v>
      </c>
      <c r="G39" s="19"/>
      <c r="H39" s="19"/>
      <c r="I39" s="19"/>
      <c r="J39" s="19">
        <v>75</v>
      </c>
      <c r="K39" s="20">
        <f t="shared" ref="K39:P39" si="7">+K40</f>
        <v>52093.559499999996</v>
      </c>
      <c r="L39" s="20">
        <f t="shared" si="7"/>
        <v>39070.169624999995</v>
      </c>
      <c r="M39" s="20">
        <f t="shared" si="7"/>
        <v>13023.389875000001</v>
      </c>
      <c r="N39" s="20">
        <f t="shared" si="7"/>
        <v>874.93999999999994</v>
      </c>
      <c r="O39" s="20">
        <f t="shared" si="7"/>
        <v>6889.6194999999989</v>
      </c>
      <c r="P39" s="20">
        <f t="shared" si="7"/>
        <v>44329</v>
      </c>
      <c r="Q39" s="20">
        <v>0</v>
      </c>
      <c r="R39" s="20">
        <v>0</v>
      </c>
      <c r="S39" s="20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7">
        <v>346</v>
      </c>
      <c r="B40" s="10">
        <v>118</v>
      </c>
      <c r="C40" s="10">
        <v>90</v>
      </c>
      <c r="D40" s="10" t="s">
        <v>471</v>
      </c>
      <c r="E40" s="10" t="s">
        <v>472</v>
      </c>
      <c r="F40" s="10" t="s">
        <v>11</v>
      </c>
      <c r="G40" s="10" t="s">
        <v>28</v>
      </c>
      <c r="H40" s="10" t="s">
        <v>414</v>
      </c>
      <c r="I40" s="10" t="s">
        <v>18</v>
      </c>
      <c r="J40" s="10">
        <v>75</v>
      </c>
      <c r="K40" s="11">
        <v>52093.559499999996</v>
      </c>
      <c r="L40" s="11">
        <f>0.75*K40</f>
        <v>39070.169624999995</v>
      </c>
      <c r="M40" s="11">
        <f>+K40-L40</f>
        <v>13023.389875000001</v>
      </c>
      <c r="N40" s="11">
        <v>874.93999999999994</v>
      </c>
      <c r="O40" s="11">
        <v>6889.6194999999989</v>
      </c>
      <c r="P40" s="11">
        <v>44329</v>
      </c>
      <c r="Q40" s="77"/>
      <c r="R40" s="77"/>
      <c r="S40" s="77"/>
      <c r="T40" s="78"/>
      <c r="U40" s="78"/>
      <c r="V40" s="78"/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9">
        <v>0</v>
      </c>
      <c r="AC40" s="82"/>
    </row>
    <row r="41" spans="1:32" ht="51" x14ac:dyDescent="0.2">
      <c r="A41" s="7">
        <v>347</v>
      </c>
      <c r="B41" s="23"/>
      <c r="C41" s="23">
        <v>90</v>
      </c>
      <c r="D41" s="23" t="s">
        <v>473</v>
      </c>
      <c r="E41" s="23" t="s">
        <v>474</v>
      </c>
      <c r="F41" s="23" t="s">
        <v>15</v>
      </c>
      <c r="G41" s="23"/>
      <c r="H41" s="23"/>
      <c r="I41" s="23"/>
      <c r="J41" s="23">
        <v>75</v>
      </c>
      <c r="K41" s="24">
        <f>+N41+O41+P41</f>
        <v>52093.559499999996</v>
      </c>
      <c r="L41" s="24">
        <f>0.75*K41</f>
        <v>39070.169624999995</v>
      </c>
      <c r="M41" s="24">
        <f>+K41-L41</f>
        <v>13023.389875000001</v>
      </c>
      <c r="N41" s="24">
        <f>853.6*1.025</f>
        <v>874.93999999999994</v>
      </c>
      <c r="O41" s="24">
        <f>6721.58*1.025</f>
        <v>6889.6194999999989</v>
      </c>
      <c r="P41" s="24">
        <v>44329</v>
      </c>
      <c r="Q41" s="24"/>
      <c r="R41" s="24"/>
      <c r="S41" s="24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7" t="s">
        <v>749</v>
      </c>
    </row>
    <row r="42" spans="1:32" ht="51" x14ac:dyDescent="0.2">
      <c r="A42" s="7">
        <v>348</v>
      </c>
      <c r="B42" s="19"/>
      <c r="C42" s="19"/>
      <c r="D42" s="19" t="s">
        <v>475</v>
      </c>
      <c r="E42" s="19" t="s">
        <v>476</v>
      </c>
      <c r="F42" s="19" t="s">
        <v>8</v>
      </c>
      <c r="G42" s="19"/>
      <c r="H42" s="19"/>
      <c r="I42" s="19"/>
      <c r="J42" s="19">
        <v>75</v>
      </c>
      <c r="K42" s="20">
        <f>+K43+K45</f>
        <v>279825.21999999997</v>
      </c>
      <c r="L42" s="20">
        <f t="shared" ref="L42:S42" si="8">+L43+L45</f>
        <v>209868.91500000001</v>
      </c>
      <c r="M42" s="20">
        <f t="shared" si="8"/>
        <v>69956.304999999993</v>
      </c>
      <c r="N42" s="20">
        <f t="shared" si="8"/>
        <v>0</v>
      </c>
      <c r="O42" s="20">
        <f t="shared" si="8"/>
        <v>103879.95225</v>
      </c>
      <c r="P42" s="20">
        <f t="shared" si="8"/>
        <v>11193</v>
      </c>
      <c r="Q42" s="20">
        <f t="shared" si="8"/>
        <v>142366.26775</v>
      </c>
      <c r="R42" s="20">
        <f t="shared" si="8"/>
        <v>11193</v>
      </c>
      <c r="S42" s="20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7">
        <v>349</v>
      </c>
      <c r="B43" s="10">
        <v>119</v>
      </c>
      <c r="C43" s="10">
        <v>91</v>
      </c>
      <c r="D43" s="10" t="s">
        <v>477</v>
      </c>
      <c r="E43" s="10" t="s">
        <v>478</v>
      </c>
      <c r="F43" s="10" t="s">
        <v>11</v>
      </c>
      <c r="G43" s="10" t="s">
        <v>28</v>
      </c>
      <c r="H43" s="10" t="s">
        <v>479</v>
      </c>
      <c r="I43" s="10" t="s">
        <v>18</v>
      </c>
      <c r="J43" s="10">
        <v>75</v>
      </c>
      <c r="K43" s="11">
        <v>223860.22</v>
      </c>
      <c r="L43" s="11">
        <f>0.75*K43</f>
        <v>167895.16500000001</v>
      </c>
      <c r="M43" s="11">
        <f>+K43-L43</f>
        <v>55965.054999999993</v>
      </c>
      <c r="N43" s="11"/>
      <c r="O43" s="11">
        <v>93680.7</v>
      </c>
      <c r="P43" s="11"/>
      <c r="Q43" s="77">
        <v>130179.52</v>
      </c>
      <c r="R43" s="77"/>
      <c r="S43" s="77"/>
      <c r="T43" s="80"/>
      <c r="U43" s="80"/>
      <c r="V43" s="80"/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/>
    </row>
    <row r="44" spans="1:32" ht="25.5" x14ac:dyDescent="0.2">
      <c r="A44" s="7">
        <v>350</v>
      </c>
      <c r="B44" s="9"/>
      <c r="C44" s="9">
        <v>91</v>
      </c>
      <c r="D44" s="9" t="s">
        <v>480</v>
      </c>
      <c r="E44" s="9" t="s">
        <v>478</v>
      </c>
      <c r="F44" s="9" t="s">
        <v>15</v>
      </c>
      <c r="G44" s="9"/>
      <c r="H44" s="9"/>
      <c r="I44" s="9"/>
      <c r="J44" s="9">
        <v>75</v>
      </c>
      <c r="K44" s="13">
        <v>223860.22</v>
      </c>
      <c r="L44" s="13">
        <v>167895.16</v>
      </c>
      <c r="M44" s="13">
        <v>55965.06</v>
      </c>
      <c r="N44" s="13"/>
      <c r="O44" s="13">
        <v>93680.7</v>
      </c>
      <c r="P44" s="13"/>
      <c r="Q44" s="13">
        <f>+K44-O44</f>
        <v>130179.52</v>
      </c>
      <c r="R44" s="13"/>
      <c r="S44" s="13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7">
        <v>351</v>
      </c>
      <c r="B45" s="10">
        <v>120</v>
      </c>
      <c r="C45" s="10">
        <v>92</v>
      </c>
      <c r="D45" s="10" t="s">
        <v>481</v>
      </c>
      <c r="E45" s="10" t="s">
        <v>482</v>
      </c>
      <c r="F45" s="10" t="s">
        <v>11</v>
      </c>
      <c r="G45" s="10" t="s">
        <v>483</v>
      </c>
      <c r="H45" s="10" t="s">
        <v>479</v>
      </c>
      <c r="I45" s="10" t="s">
        <v>18</v>
      </c>
      <c r="J45" s="10">
        <v>75</v>
      </c>
      <c r="K45" s="11">
        <v>55965</v>
      </c>
      <c r="L45" s="11">
        <f>0.75*K45</f>
        <v>41973.75</v>
      </c>
      <c r="M45" s="11">
        <f>+K45-L45</f>
        <v>13991.25</v>
      </c>
      <c r="N45" s="11"/>
      <c r="O45" s="11">
        <v>10199.25225</v>
      </c>
      <c r="P45" s="11">
        <v>11193</v>
      </c>
      <c r="Q45" s="77">
        <v>12186.747750000002</v>
      </c>
      <c r="R45" s="77">
        <v>11193</v>
      </c>
      <c r="S45" s="77">
        <v>11193</v>
      </c>
      <c r="T45" s="80"/>
      <c r="U45" s="80"/>
      <c r="V45" s="80"/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/>
    </row>
    <row r="46" spans="1:32" ht="51" x14ac:dyDescent="0.2">
      <c r="A46" s="7">
        <v>352</v>
      </c>
      <c r="B46" s="9"/>
      <c r="C46" s="9">
        <v>92</v>
      </c>
      <c r="D46" s="9" t="s">
        <v>484</v>
      </c>
      <c r="E46" s="9" t="s">
        <v>485</v>
      </c>
      <c r="F46" s="9" t="s">
        <v>15</v>
      </c>
      <c r="G46" s="9"/>
      <c r="H46" s="9"/>
      <c r="I46" s="9"/>
      <c r="J46" s="9">
        <v>75</v>
      </c>
      <c r="K46" s="13">
        <v>33579</v>
      </c>
      <c r="L46" s="13">
        <v>25184.25</v>
      </c>
      <c r="M46" s="13">
        <v>8394.75</v>
      </c>
      <c r="N46" s="13"/>
      <c r="O46" s="13">
        <f>9950.49*1.025</f>
        <v>10199.25225</v>
      </c>
      <c r="P46" s="13">
        <v>11193</v>
      </c>
      <c r="Q46" s="13">
        <f>+K46-O46-P46</f>
        <v>12186.747750000002</v>
      </c>
      <c r="R46" s="13"/>
      <c r="S46" s="13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7">
        <v>353</v>
      </c>
      <c r="B47" s="25"/>
      <c r="C47" s="25"/>
      <c r="D47" s="25" t="s">
        <v>486</v>
      </c>
      <c r="E47" s="25" t="s">
        <v>487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4" t="s">
        <v>752</v>
      </c>
      <c r="AE47" s="57">
        <f>+K47-K48</f>
        <v>3837258.5338333328</v>
      </c>
      <c r="AF47" s="57">
        <f>+L47-L48</f>
        <v>2877943.9003750002</v>
      </c>
    </row>
    <row r="48" spans="1:32" x14ac:dyDescent="0.2">
      <c r="A48" s="7">
        <v>353</v>
      </c>
      <c r="B48" s="19"/>
      <c r="C48" s="19"/>
      <c r="D48" s="19" t="s">
        <v>486</v>
      </c>
      <c r="E48" s="19" t="s">
        <v>487</v>
      </c>
      <c r="F48" s="19" t="s">
        <v>5</v>
      </c>
      <c r="G48" s="19"/>
      <c r="H48" s="19"/>
      <c r="I48" s="19"/>
      <c r="J48" s="19">
        <v>75</v>
      </c>
      <c r="K48" s="20">
        <f>+K49+K56+K59+K62+K69+K72</f>
        <v>2889570.7995000002</v>
      </c>
      <c r="L48" s="20">
        <f t="shared" ref="L48:S48" si="9">+L49+L56+L59+L62+L69+L72</f>
        <v>2167178.0996249998</v>
      </c>
      <c r="M48" s="20">
        <f t="shared" si="9"/>
        <v>722392.69987500005</v>
      </c>
      <c r="N48" s="20">
        <f t="shared" si="9"/>
        <v>77489.179999999993</v>
      </c>
      <c r="O48" s="20">
        <f t="shared" si="9"/>
        <v>417724.97699999996</v>
      </c>
      <c r="P48" s="20">
        <f t="shared" si="9"/>
        <v>1211561.5525</v>
      </c>
      <c r="Q48" s="20">
        <f t="shared" si="9"/>
        <v>394265.03</v>
      </c>
      <c r="R48" s="20">
        <f t="shared" si="9"/>
        <v>394265.03</v>
      </c>
      <c r="S48" s="20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7">
        <v>354</v>
      </c>
      <c r="B49" s="19"/>
      <c r="C49" s="19"/>
      <c r="D49" s="19" t="s">
        <v>488</v>
      </c>
      <c r="E49" s="19" t="s">
        <v>489</v>
      </c>
      <c r="F49" s="19" t="s">
        <v>8</v>
      </c>
      <c r="G49" s="19"/>
      <c r="H49" s="19"/>
      <c r="I49" s="19"/>
      <c r="J49" s="19">
        <v>75</v>
      </c>
      <c r="K49" s="20">
        <f>+K50+K52+K54</f>
        <v>1231481.0180000002</v>
      </c>
      <c r="L49" s="20">
        <f t="shared" ref="L49:S49" si="10">+L50+L52+L54</f>
        <v>923610.7635</v>
      </c>
      <c r="M49" s="20">
        <f t="shared" si="10"/>
        <v>307870.25450000004</v>
      </c>
      <c r="N49" s="20">
        <f t="shared" si="10"/>
        <v>60346.68</v>
      </c>
      <c r="O49" s="20">
        <f t="shared" si="10"/>
        <v>196339.91800000001</v>
      </c>
      <c r="P49" s="20">
        <f t="shared" si="10"/>
        <v>237994.42</v>
      </c>
      <c r="Q49" s="20">
        <f t="shared" si="10"/>
        <v>245600</v>
      </c>
      <c r="R49" s="20">
        <f t="shared" si="10"/>
        <v>245600</v>
      </c>
      <c r="S49" s="20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7" t="s">
        <v>754</v>
      </c>
      <c r="AE49" s="35">
        <f>1044928/0.75</f>
        <v>1393237.3333333333</v>
      </c>
      <c r="AF49" s="17" t="s">
        <v>756</v>
      </c>
    </row>
    <row r="50" spans="1:32" ht="38.25" x14ac:dyDescent="0.2">
      <c r="A50" s="7">
        <v>355</v>
      </c>
      <c r="B50" s="10">
        <v>121</v>
      </c>
      <c r="C50" s="10">
        <v>93</v>
      </c>
      <c r="D50" s="10" t="s">
        <v>490</v>
      </c>
      <c r="E50" s="10" t="s">
        <v>491</v>
      </c>
      <c r="F50" s="10" t="s">
        <v>11</v>
      </c>
      <c r="G50" s="10" t="s">
        <v>483</v>
      </c>
      <c r="H50" s="10" t="s">
        <v>414</v>
      </c>
      <c r="I50" s="10" t="s">
        <v>18</v>
      </c>
      <c r="J50" s="10">
        <v>75</v>
      </c>
      <c r="K50" s="11">
        <f>+N50+O50+P50+Q50+R50+S50</f>
        <v>1029307.56</v>
      </c>
      <c r="L50" s="11">
        <f t="shared" ref="L50:L55" si="11">0.75*K50</f>
        <v>771980.67</v>
      </c>
      <c r="M50" s="11">
        <f t="shared" ref="M50:M55" si="12">+K50-L50</f>
        <v>257326.89</v>
      </c>
      <c r="N50" s="11">
        <v>58959.01</v>
      </c>
      <c r="O50" s="11">
        <v>177764.13</v>
      </c>
      <c r="P50" s="11">
        <v>192584.42</v>
      </c>
      <c r="Q50" s="77">
        <v>200000</v>
      </c>
      <c r="R50" s="77">
        <v>200000</v>
      </c>
      <c r="S50" s="77">
        <v>200000</v>
      </c>
      <c r="T50" s="80">
        <v>251842.75</v>
      </c>
      <c r="U50" s="80">
        <v>251842.75</v>
      </c>
      <c r="V50" s="80"/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/>
      <c r="AD50" s="17" t="s">
        <v>755</v>
      </c>
      <c r="AE50" s="35">
        <f>328406/0.75</f>
        <v>437874.66666666669</v>
      </c>
      <c r="AF50" s="17" t="s">
        <v>756</v>
      </c>
    </row>
    <row r="51" spans="1:32" ht="63.75" x14ac:dyDescent="0.2">
      <c r="A51" s="7">
        <v>356</v>
      </c>
      <c r="B51" s="9"/>
      <c r="C51" s="9">
        <v>93</v>
      </c>
      <c r="D51" s="9" t="s">
        <v>492</v>
      </c>
      <c r="E51" s="9" t="s">
        <v>493</v>
      </c>
      <c r="F51" s="9" t="s">
        <v>15</v>
      </c>
      <c r="G51" s="9"/>
      <c r="H51" s="9"/>
      <c r="I51" s="9"/>
      <c r="J51" s="9">
        <v>75</v>
      </c>
      <c r="K51" s="13">
        <f>+N51+O51+P51</f>
        <v>396248.52575000003</v>
      </c>
      <c r="L51" s="13">
        <f t="shared" si="11"/>
        <v>297186.39431250002</v>
      </c>
      <c r="M51" s="13">
        <f t="shared" si="12"/>
        <v>99062.131437500007</v>
      </c>
      <c r="N51" s="13">
        <v>8335.77</v>
      </c>
      <c r="O51" s="13">
        <f>190564.23*1.025</f>
        <v>195328.33575</v>
      </c>
      <c r="P51" s="13">
        <v>192584.42</v>
      </c>
      <c r="Q51" s="13"/>
      <c r="R51" s="13"/>
      <c r="S51" s="13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7" t="s">
        <v>749</v>
      </c>
    </row>
    <row r="52" spans="1:32" ht="51" x14ac:dyDescent="0.2">
      <c r="A52" s="7">
        <v>357</v>
      </c>
      <c r="B52" s="10">
        <v>122</v>
      </c>
      <c r="C52" s="10">
        <v>94</v>
      </c>
      <c r="D52" s="10" t="s">
        <v>494</v>
      </c>
      <c r="E52" s="10" t="s">
        <v>495</v>
      </c>
      <c r="F52" s="10" t="s">
        <v>11</v>
      </c>
      <c r="G52" s="10" t="s">
        <v>483</v>
      </c>
      <c r="H52" s="10" t="s">
        <v>414</v>
      </c>
      <c r="I52" s="10" t="s">
        <v>18</v>
      </c>
      <c r="J52" s="10">
        <v>75</v>
      </c>
      <c r="K52" s="11">
        <f>+N52+O52+P52+Q52+R52+S52</f>
        <v>139773.45799999998</v>
      </c>
      <c r="L52" s="11">
        <f t="shared" si="11"/>
        <v>104830.09349999999</v>
      </c>
      <c r="M52" s="11">
        <f t="shared" si="12"/>
        <v>34943.364499999996</v>
      </c>
      <c r="N52" s="11">
        <v>1387.67</v>
      </c>
      <c r="O52" s="11">
        <v>18575.788</v>
      </c>
      <c r="P52" s="37">
        <v>29810</v>
      </c>
      <c r="Q52" s="77">
        <v>30000</v>
      </c>
      <c r="R52" s="77">
        <v>30000</v>
      </c>
      <c r="S52" s="77">
        <v>30000</v>
      </c>
      <c r="T52" s="80">
        <v>102820.09</v>
      </c>
      <c r="U52" s="80">
        <v>92820.09</v>
      </c>
      <c r="V52" s="80"/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/>
    </row>
    <row r="53" spans="1:32" ht="153" x14ac:dyDescent="0.2">
      <c r="A53" s="7">
        <v>358</v>
      </c>
      <c r="B53" s="9"/>
      <c r="C53" s="9">
        <v>94</v>
      </c>
      <c r="D53" s="9" t="s">
        <v>496</v>
      </c>
      <c r="E53" s="9" t="s">
        <v>497</v>
      </c>
      <c r="F53" s="9" t="s">
        <v>15</v>
      </c>
      <c r="G53" s="9"/>
      <c r="H53" s="9"/>
      <c r="I53" s="9"/>
      <c r="J53" s="9">
        <v>75</v>
      </c>
      <c r="K53" s="13">
        <f>+N53+O53+P53</f>
        <v>49773.457999999999</v>
      </c>
      <c r="L53" s="13">
        <f t="shared" si="11"/>
        <v>37330.093500000003</v>
      </c>
      <c r="M53" s="13">
        <f t="shared" si="12"/>
        <v>12443.364499999996</v>
      </c>
      <c r="N53" s="13">
        <v>1387.67</v>
      </c>
      <c r="O53" s="13">
        <f>18122.72*1.025</f>
        <v>18575.788</v>
      </c>
      <c r="P53" s="44">
        <v>29810</v>
      </c>
      <c r="Q53" s="13"/>
      <c r="R53" s="13"/>
      <c r="S53" s="13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7" t="s">
        <v>749</v>
      </c>
    </row>
    <row r="54" spans="1:32" ht="51" x14ac:dyDescent="0.2">
      <c r="A54" s="7">
        <v>359</v>
      </c>
      <c r="B54" s="45">
        <v>123</v>
      </c>
      <c r="C54" s="45">
        <v>95</v>
      </c>
      <c r="D54" s="45" t="s">
        <v>498</v>
      </c>
      <c r="E54" s="45" t="s">
        <v>499</v>
      </c>
      <c r="F54" s="45" t="s">
        <v>11</v>
      </c>
      <c r="G54" s="45" t="s">
        <v>483</v>
      </c>
      <c r="H54" s="45" t="s">
        <v>414</v>
      </c>
      <c r="I54" s="48" t="s">
        <v>18</v>
      </c>
      <c r="J54" s="45">
        <v>75</v>
      </c>
      <c r="K54" s="37">
        <f>+P54+Q54+R54+S54</f>
        <v>62400</v>
      </c>
      <c r="L54" s="11">
        <f t="shared" si="11"/>
        <v>46800</v>
      </c>
      <c r="M54" s="11">
        <f t="shared" si="12"/>
        <v>15600</v>
      </c>
      <c r="N54" s="37"/>
      <c r="O54" s="37"/>
      <c r="P54" s="37">
        <v>15600</v>
      </c>
      <c r="Q54" s="86">
        <v>15600</v>
      </c>
      <c r="R54" s="86">
        <v>15600</v>
      </c>
      <c r="S54" s="86">
        <v>15600</v>
      </c>
      <c r="T54" s="87">
        <v>15600.02</v>
      </c>
      <c r="U54" s="87">
        <v>15600.02</v>
      </c>
      <c r="V54" s="87"/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8">
        <v>0</v>
      </c>
      <c r="AC54" s="89"/>
    </row>
    <row r="55" spans="1:32" ht="51" x14ac:dyDescent="0.2">
      <c r="A55" s="7">
        <v>360</v>
      </c>
      <c r="B55" s="46"/>
      <c r="C55" s="46">
        <v>95</v>
      </c>
      <c r="D55" s="46" t="s">
        <v>500</v>
      </c>
      <c r="E55" s="46" t="s">
        <v>501</v>
      </c>
      <c r="F55" s="46" t="s">
        <v>15</v>
      </c>
      <c r="G55" s="46"/>
      <c r="H55" s="46"/>
      <c r="I55" s="49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6"/>
      <c r="S55" s="36"/>
      <c r="T55" s="50"/>
      <c r="U55" s="50"/>
      <c r="V55" s="50"/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1">
        <v>0</v>
      </c>
      <c r="AC55" s="47">
        <v>43465</v>
      </c>
      <c r="AD55" s="17" t="s">
        <v>749</v>
      </c>
    </row>
    <row r="56" spans="1:32" ht="25.5" x14ac:dyDescent="0.2">
      <c r="A56" s="7">
        <v>362</v>
      </c>
      <c r="B56" s="19"/>
      <c r="C56" s="19"/>
      <c r="D56" s="19" t="s">
        <v>502</v>
      </c>
      <c r="E56" s="19" t="s">
        <v>503</v>
      </c>
      <c r="F56" s="19" t="s">
        <v>8</v>
      </c>
      <c r="G56" s="19"/>
      <c r="H56" s="19"/>
      <c r="I56" s="19"/>
      <c r="J56" s="19">
        <v>75</v>
      </c>
      <c r="K56" s="20">
        <f>+K57</f>
        <v>600000</v>
      </c>
      <c r="L56" s="20">
        <f t="shared" ref="L56:S56" si="13">+L57</f>
        <v>450000</v>
      </c>
      <c r="M56" s="20">
        <f t="shared" si="13"/>
        <v>150000</v>
      </c>
      <c r="N56" s="20">
        <f t="shared" si="13"/>
        <v>0</v>
      </c>
      <c r="O56" s="20">
        <f t="shared" si="13"/>
        <v>120000</v>
      </c>
      <c r="P56" s="20">
        <f t="shared" si="13"/>
        <v>120000</v>
      </c>
      <c r="Q56" s="20">
        <f t="shared" si="13"/>
        <v>120000</v>
      </c>
      <c r="R56" s="20">
        <f t="shared" si="13"/>
        <v>120000</v>
      </c>
      <c r="S56" s="20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7">
        <v>363</v>
      </c>
      <c r="B57" s="10">
        <v>124</v>
      </c>
      <c r="C57" s="10">
        <v>96</v>
      </c>
      <c r="D57" s="10" t="s">
        <v>504</v>
      </c>
      <c r="E57" s="10" t="s">
        <v>505</v>
      </c>
      <c r="F57" s="10" t="s">
        <v>11</v>
      </c>
      <c r="G57" s="10" t="s">
        <v>36</v>
      </c>
      <c r="H57" s="10" t="s">
        <v>414</v>
      </c>
      <c r="I57" s="10" t="s">
        <v>18</v>
      </c>
      <c r="J57" s="10">
        <v>75</v>
      </c>
      <c r="K57" s="11">
        <v>600000</v>
      </c>
      <c r="L57" s="11">
        <f>0.75*K57</f>
        <v>450000</v>
      </c>
      <c r="M57" s="11">
        <f>+K57-L57</f>
        <v>150000</v>
      </c>
      <c r="N57" s="11"/>
      <c r="O57" s="11">
        <v>120000</v>
      </c>
      <c r="P57" s="11">
        <v>120000</v>
      </c>
      <c r="Q57" s="77">
        <v>120000</v>
      </c>
      <c r="R57" s="77">
        <v>120000</v>
      </c>
      <c r="S57" s="77">
        <v>120000</v>
      </c>
      <c r="T57" s="80"/>
      <c r="U57" s="80"/>
      <c r="V57" s="80"/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/>
    </row>
    <row r="58" spans="1:32" ht="25.5" x14ac:dyDescent="0.2">
      <c r="A58" s="7">
        <v>364</v>
      </c>
      <c r="B58" s="9"/>
      <c r="C58" s="9">
        <v>96</v>
      </c>
      <c r="D58" s="9" t="s">
        <v>506</v>
      </c>
      <c r="E58" s="9" t="s">
        <v>505</v>
      </c>
      <c r="F58" s="9" t="s">
        <v>15</v>
      </c>
      <c r="G58" s="9"/>
      <c r="H58" s="9"/>
      <c r="I58" s="9"/>
      <c r="J58" s="9">
        <v>75</v>
      </c>
      <c r="K58" s="13">
        <v>360000</v>
      </c>
      <c r="L58" s="13">
        <v>270000</v>
      </c>
      <c r="M58" s="13">
        <v>90000</v>
      </c>
      <c r="N58" s="13"/>
      <c r="O58" s="44">
        <v>120000</v>
      </c>
      <c r="P58" s="13">
        <v>120000</v>
      </c>
      <c r="Q58" s="13">
        <v>120000</v>
      </c>
      <c r="R58" s="13"/>
      <c r="S58" s="13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7">
        <v>365</v>
      </c>
      <c r="B59" s="19"/>
      <c r="C59" s="19"/>
      <c r="D59" s="19" t="s">
        <v>507</v>
      </c>
      <c r="E59" s="19" t="s">
        <v>508</v>
      </c>
      <c r="F59" s="19" t="s">
        <v>8</v>
      </c>
      <c r="G59" s="19"/>
      <c r="H59" s="19"/>
      <c r="I59" s="19"/>
      <c r="J59" s="19">
        <v>75</v>
      </c>
      <c r="K59" s="20">
        <f>+K60</f>
        <v>54600</v>
      </c>
      <c r="L59" s="20">
        <f t="shared" ref="L59:S59" si="14">+L60</f>
        <v>40950</v>
      </c>
      <c r="M59" s="20">
        <f t="shared" si="14"/>
        <v>13650</v>
      </c>
      <c r="N59" s="20">
        <f t="shared" si="14"/>
        <v>6222.49</v>
      </c>
      <c r="O59" s="20">
        <f t="shared" si="14"/>
        <v>23826.9</v>
      </c>
      <c r="P59" s="20">
        <f t="shared" si="14"/>
        <v>24550.61</v>
      </c>
      <c r="Q59" s="20">
        <f t="shared" si="14"/>
        <v>0</v>
      </c>
      <c r="R59" s="20">
        <f t="shared" si="14"/>
        <v>0</v>
      </c>
      <c r="S59" s="20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7">
        <v>366</v>
      </c>
      <c r="B60" s="10">
        <v>125</v>
      </c>
      <c r="C60" s="10">
        <v>97</v>
      </c>
      <c r="D60" s="10" t="s">
        <v>509</v>
      </c>
      <c r="E60" s="10" t="s">
        <v>510</v>
      </c>
      <c r="F60" s="10" t="s">
        <v>11</v>
      </c>
      <c r="G60" s="10" t="s">
        <v>36</v>
      </c>
      <c r="H60" s="10" t="s">
        <v>313</v>
      </c>
      <c r="I60" s="10" t="s">
        <v>18</v>
      </c>
      <c r="J60" s="10">
        <v>75</v>
      </c>
      <c r="K60" s="11">
        <v>54600</v>
      </c>
      <c r="L60" s="11">
        <f>0.75*K60</f>
        <v>40950</v>
      </c>
      <c r="M60" s="11">
        <f>+K60-L60</f>
        <v>13650</v>
      </c>
      <c r="N60" s="11">
        <v>6222.49</v>
      </c>
      <c r="O60" s="11">
        <v>23826.9</v>
      </c>
      <c r="P60" s="37">
        <v>24550.61</v>
      </c>
      <c r="Q60" s="77"/>
      <c r="R60" s="77"/>
      <c r="S60" s="77"/>
      <c r="T60" s="78"/>
      <c r="U60" s="78"/>
      <c r="V60" s="78"/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9">
        <v>0</v>
      </c>
      <c r="AC60" s="82"/>
    </row>
    <row r="61" spans="1:32" ht="51" x14ac:dyDescent="0.2">
      <c r="A61" s="7">
        <v>367</v>
      </c>
      <c r="B61" s="15"/>
      <c r="C61" s="15">
        <v>97</v>
      </c>
      <c r="D61" s="15" t="s">
        <v>511</v>
      </c>
      <c r="E61" s="15" t="s">
        <v>512</v>
      </c>
      <c r="F61" s="15" t="s">
        <v>15</v>
      </c>
      <c r="G61" s="15"/>
      <c r="H61" s="15"/>
      <c r="I61" s="15"/>
      <c r="J61" s="15">
        <v>75</v>
      </c>
      <c r="K61" s="16">
        <v>54600</v>
      </c>
      <c r="L61" s="16">
        <v>40950</v>
      </c>
      <c r="M61" s="16">
        <v>13650</v>
      </c>
      <c r="N61" s="16">
        <v>6222.49</v>
      </c>
      <c r="O61" s="16">
        <v>23826.9</v>
      </c>
      <c r="P61" s="53">
        <f>+K61-N61-O61</f>
        <v>24550.61</v>
      </c>
      <c r="Q61" s="16"/>
      <c r="R61" s="16"/>
      <c r="S61" s="16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9">
        <v>43100</v>
      </c>
    </row>
    <row r="62" spans="1:32" ht="51" x14ac:dyDescent="0.2">
      <c r="A62" s="7">
        <v>368</v>
      </c>
      <c r="B62" s="19"/>
      <c r="C62" s="19"/>
      <c r="D62" s="19" t="s">
        <v>513</v>
      </c>
      <c r="E62" s="19" t="s">
        <v>514</v>
      </c>
      <c r="F62" s="19" t="s">
        <v>8</v>
      </c>
      <c r="G62" s="19"/>
      <c r="H62" s="19"/>
      <c r="I62" s="19"/>
      <c r="J62" s="19">
        <v>75</v>
      </c>
      <c r="K62" s="20">
        <f>+K63+K65+K67</f>
        <v>840906.19149999996</v>
      </c>
      <c r="L62" s="20">
        <f t="shared" ref="L62:S62" si="15">+L63+L65+L67</f>
        <v>630679.64362500003</v>
      </c>
      <c r="M62" s="20">
        <f t="shared" si="15"/>
        <v>210226.54787499999</v>
      </c>
      <c r="N62" s="20">
        <f t="shared" si="15"/>
        <v>0</v>
      </c>
      <c r="O62" s="20">
        <f t="shared" si="15"/>
        <v>40554.698999999993</v>
      </c>
      <c r="P62" s="20">
        <f t="shared" si="15"/>
        <v>800351.49249999993</v>
      </c>
      <c r="Q62" s="20">
        <f t="shared" si="15"/>
        <v>0</v>
      </c>
      <c r="R62" s="20">
        <f t="shared" si="15"/>
        <v>0</v>
      </c>
      <c r="S62" s="20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7">
        <v>369</v>
      </c>
      <c r="B63" s="10">
        <v>126</v>
      </c>
      <c r="C63" s="10">
        <v>98</v>
      </c>
      <c r="D63" s="10" t="s">
        <v>515</v>
      </c>
      <c r="E63" s="10" t="s">
        <v>516</v>
      </c>
      <c r="F63" s="10" t="s">
        <v>11</v>
      </c>
      <c r="G63" s="10" t="s">
        <v>36</v>
      </c>
      <c r="H63" s="10" t="s">
        <v>313</v>
      </c>
      <c r="I63" s="10" t="s">
        <v>18</v>
      </c>
      <c r="J63" s="10">
        <v>75</v>
      </c>
      <c r="K63" s="11">
        <v>99754.698999999993</v>
      </c>
      <c r="L63" s="11">
        <f>0.75*K63</f>
        <v>74816.024249999988</v>
      </c>
      <c r="M63" s="11">
        <f>+K63-L63</f>
        <v>24938.674750000006</v>
      </c>
      <c r="N63" s="11"/>
      <c r="O63" s="11">
        <v>40554.698999999993</v>
      </c>
      <c r="P63" s="37">
        <v>59200</v>
      </c>
      <c r="Q63" s="77"/>
      <c r="R63" s="77"/>
      <c r="S63" s="77"/>
      <c r="T63" s="80"/>
      <c r="U63" s="80"/>
      <c r="V63" s="80"/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1">
        <v>0</v>
      </c>
      <c r="AC63" s="82"/>
    </row>
    <row r="64" spans="1:32" x14ac:dyDescent="0.2">
      <c r="A64" s="7">
        <v>370</v>
      </c>
      <c r="B64" s="9"/>
      <c r="C64" s="9">
        <v>98</v>
      </c>
      <c r="D64" s="9" t="s">
        <v>517</v>
      </c>
      <c r="E64" s="9" t="s">
        <v>518</v>
      </c>
      <c r="F64" s="9" t="s">
        <v>15</v>
      </c>
      <c r="G64" s="9"/>
      <c r="H64" s="9"/>
      <c r="I64" s="9"/>
      <c r="J64" s="9">
        <v>75</v>
      </c>
      <c r="K64" s="13">
        <f>+O64+P64</f>
        <v>99754.698999999993</v>
      </c>
      <c r="L64" s="13">
        <f>0.75*K64</f>
        <v>74816.024249999988</v>
      </c>
      <c r="M64" s="13">
        <f>+K64-L64</f>
        <v>24938.674750000006</v>
      </c>
      <c r="N64" s="13"/>
      <c r="O64" s="13">
        <f>39565.56*1.025</f>
        <v>40554.698999999993</v>
      </c>
      <c r="P64" s="44">
        <v>59200</v>
      </c>
      <c r="Q64" s="13"/>
      <c r="R64" s="13"/>
      <c r="S64" s="13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2">
        <v>42735</v>
      </c>
      <c r="AD64" s="17" t="s">
        <v>749</v>
      </c>
    </row>
    <row r="65" spans="1:32" ht="38.25" x14ac:dyDescent="0.2">
      <c r="A65" s="7">
        <v>371</v>
      </c>
      <c r="B65" s="10">
        <v>127</v>
      </c>
      <c r="C65" s="10">
        <v>99</v>
      </c>
      <c r="D65" s="10" t="s">
        <v>519</v>
      </c>
      <c r="E65" s="10" t="s">
        <v>520</v>
      </c>
      <c r="F65" s="10" t="s">
        <v>11</v>
      </c>
      <c r="G65" s="10" t="s">
        <v>36</v>
      </c>
      <c r="H65" s="10" t="s">
        <v>313</v>
      </c>
      <c r="I65" s="10" t="s">
        <v>18</v>
      </c>
      <c r="J65" s="10">
        <v>75</v>
      </c>
      <c r="K65" s="11">
        <v>468151.22249999997</v>
      </c>
      <c r="L65" s="11">
        <f>0.75*K65</f>
        <v>351113.416875</v>
      </c>
      <c r="M65" s="11">
        <f>+K65-L65</f>
        <v>117037.80562499998</v>
      </c>
      <c r="N65" s="11"/>
      <c r="O65" s="11"/>
      <c r="P65" s="37">
        <v>468151.22249999997</v>
      </c>
      <c r="Q65" s="77"/>
      <c r="R65" s="77"/>
      <c r="S65" s="77"/>
      <c r="T65" s="80"/>
      <c r="U65" s="80"/>
      <c r="V65" s="80"/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/>
    </row>
    <row r="66" spans="1:32" ht="38.25" x14ac:dyDescent="0.2">
      <c r="A66" s="7">
        <v>372</v>
      </c>
      <c r="B66" s="9"/>
      <c r="C66" s="9">
        <v>99</v>
      </c>
      <c r="D66" s="9" t="s">
        <v>521</v>
      </c>
      <c r="E66" s="9" t="s">
        <v>520</v>
      </c>
      <c r="F66" s="9" t="s">
        <v>15</v>
      </c>
      <c r="G66" s="9"/>
      <c r="H66" s="9"/>
      <c r="I66" s="9"/>
      <c r="J66" s="9">
        <v>75</v>
      </c>
      <c r="K66" s="13">
        <f>+P66</f>
        <v>468151.22249999997</v>
      </c>
      <c r="L66" s="13">
        <f>0.75*K66</f>
        <v>351113.416875</v>
      </c>
      <c r="M66" s="13">
        <f>+K66-L66</f>
        <v>117037.80562499998</v>
      </c>
      <c r="N66" s="13"/>
      <c r="O66" s="13"/>
      <c r="P66" s="44">
        <f>456732.9*1.025</f>
        <v>468151.22249999997</v>
      </c>
      <c r="Q66" s="13"/>
      <c r="R66" s="13"/>
      <c r="S66" s="13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7">
        <v>373</v>
      </c>
      <c r="B67" s="10">
        <v>128</v>
      </c>
      <c r="C67" s="10">
        <v>100</v>
      </c>
      <c r="D67" s="10" t="s">
        <v>522</v>
      </c>
      <c r="E67" s="10" t="s">
        <v>523</v>
      </c>
      <c r="F67" s="10" t="s">
        <v>11</v>
      </c>
      <c r="G67" s="10" t="s">
        <v>36</v>
      </c>
      <c r="H67" s="10" t="s">
        <v>313</v>
      </c>
      <c r="I67" s="10" t="s">
        <v>18</v>
      </c>
      <c r="J67" s="10">
        <v>75</v>
      </c>
      <c r="K67" s="11">
        <v>273000.27</v>
      </c>
      <c r="L67" s="11">
        <f>0.75*K67</f>
        <v>204750.20250000001</v>
      </c>
      <c r="M67" s="11">
        <f>+K67-L67</f>
        <v>68250.067500000005</v>
      </c>
      <c r="N67" s="11"/>
      <c r="O67" s="11"/>
      <c r="P67" s="37">
        <v>273000.27</v>
      </c>
      <c r="Q67" s="77"/>
      <c r="R67" s="77"/>
      <c r="S67" s="77"/>
      <c r="T67" s="80"/>
      <c r="U67" s="80"/>
      <c r="V67" s="80"/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/>
    </row>
    <row r="68" spans="1:32" ht="25.5" x14ac:dyDescent="0.2">
      <c r="A68" s="7">
        <v>374</v>
      </c>
      <c r="B68" s="9"/>
      <c r="C68" s="9">
        <v>100</v>
      </c>
      <c r="D68" s="9" t="s">
        <v>524</v>
      </c>
      <c r="E68" s="9" t="s">
        <v>525</v>
      </c>
      <c r="F68" s="9" t="s">
        <v>15</v>
      </c>
      <c r="G68" s="9"/>
      <c r="H68" s="9"/>
      <c r="I68" s="9"/>
      <c r="J68" s="9">
        <v>75</v>
      </c>
      <c r="K68" s="13">
        <v>273000.27</v>
      </c>
      <c r="L68" s="13">
        <v>204750.2</v>
      </c>
      <c r="M68" s="13">
        <v>68250.070000000007</v>
      </c>
      <c r="N68" s="13"/>
      <c r="O68" s="13"/>
      <c r="P68" s="13">
        <v>273000.27</v>
      </c>
      <c r="Q68" s="13"/>
      <c r="R68" s="13"/>
      <c r="S68" s="13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7">
        <v>375</v>
      </c>
      <c r="B69" s="19"/>
      <c r="C69" s="19"/>
      <c r="D69" s="19" t="s">
        <v>526</v>
      </c>
      <c r="E69" s="19" t="s">
        <v>527</v>
      </c>
      <c r="F69" s="19" t="s">
        <v>8</v>
      </c>
      <c r="G69" s="19"/>
      <c r="H69" s="19"/>
      <c r="I69" s="19"/>
      <c r="J69" s="19">
        <v>75</v>
      </c>
      <c r="K69" s="20">
        <f>+K70</f>
        <v>31543.47</v>
      </c>
      <c r="L69" s="20">
        <f t="shared" ref="L69:S69" si="16">+L70</f>
        <v>23657.602500000001</v>
      </c>
      <c r="M69" s="20">
        <f t="shared" si="16"/>
        <v>7885.8675000000003</v>
      </c>
      <c r="N69" s="20">
        <f t="shared" si="16"/>
        <v>0</v>
      </c>
      <c r="O69" s="20">
        <f t="shared" si="16"/>
        <v>4243.43</v>
      </c>
      <c r="P69" s="20">
        <f t="shared" si="16"/>
        <v>6825.01</v>
      </c>
      <c r="Q69" s="20">
        <f t="shared" si="16"/>
        <v>6825.01</v>
      </c>
      <c r="R69" s="20">
        <f t="shared" si="16"/>
        <v>6825.01</v>
      </c>
      <c r="S69" s="20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7">
        <v>376</v>
      </c>
      <c r="B70" s="10">
        <v>129</v>
      </c>
      <c r="C70" s="10">
        <v>101</v>
      </c>
      <c r="D70" s="10" t="s">
        <v>528</v>
      </c>
      <c r="E70" s="10" t="s">
        <v>529</v>
      </c>
      <c r="F70" s="10" t="s">
        <v>11</v>
      </c>
      <c r="G70" s="10" t="s">
        <v>191</v>
      </c>
      <c r="H70" s="10" t="s">
        <v>414</v>
      </c>
      <c r="I70" s="10" t="s">
        <v>18</v>
      </c>
      <c r="J70" s="10">
        <v>75</v>
      </c>
      <c r="K70" s="11">
        <f>+O70+P70+Q70+R70+S70</f>
        <v>31543.47</v>
      </c>
      <c r="L70" s="11">
        <f>0.75*K70</f>
        <v>23657.602500000001</v>
      </c>
      <c r="M70" s="11">
        <f>+K70-L70</f>
        <v>7885.8675000000003</v>
      </c>
      <c r="N70" s="11"/>
      <c r="O70" s="11">
        <f>+O71</f>
        <v>4243.43</v>
      </c>
      <c r="P70" s="11">
        <f>+P71</f>
        <v>6825.01</v>
      </c>
      <c r="Q70" s="77">
        <v>6825.01</v>
      </c>
      <c r="R70" s="77">
        <v>6825.01</v>
      </c>
      <c r="S70" s="77">
        <v>6825.01</v>
      </c>
      <c r="T70" s="78">
        <v>6825.01</v>
      </c>
      <c r="U70" s="78">
        <v>6825.01</v>
      </c>
      <c r="V70" s="78"/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9">
        <v>0</v>
      </c>
      <c r="AC70" s="82"/>
    </row>
    <row r="71" spans="1:32" ht="51" x14ac:dyDescent="0.2">
      <c r="A71" s="7">
        <v>377</v>
      </c>
      <c r="B71" s="15"/>
      <c r="C71" s="15">
        <v>101</v>
      </c>
      <c r="D71" s="15" t="s">
        <v>530</v>
      </c>
      <c r="E71" s="15" t="s">
        <v>531</v>
      </c>
      <c r="F71" s="15" t="s">
        <v>15</v>
      </c>
      <c r="G71" s="15"/>
      <c r="H71" s="15"/>
      <c r="I71" s="15"/>
      <c r="J71" s="15">
        <v>75</v>
      </c>
      <c r="K71" s="16">
        <f>+O71+P71</f>
        <v>11068.44</v>
      </c>
      <c r="L71" s="16">
        <f>0.75*K71</f>
        <v>8301.33</v>
      </c>
      <c r="M71" s="16">
        <f>+K71-L71</f>
        <v>2767.1100000000006</v>
      </c>
      <c r="N71" s="16"/>
      <c r="O71" s="16">
        <v>4243.43</v>
      </c>
      <c r="P71" s="16">
        <v>6825.01</v>
      </c>
      <c r="Q71" s="16"/>
      <c r="R71" s="16"/>
      <c r="S71" s="16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9">
        <v>43100</v>
      </c>
      <c r="AD71" s="17" t="s">
        <v>749</v>
      </c>
    </row>
    <row r="72" spans="1:32" ht="38.25" x14ac:dyDescent="0.2">
      <c r="A72" s="7">
        <v>378</v>
      </c>
      <c r="B72" s="19"/>
      <c r="C72" s="19"/>
      <c r="D72" s="19" t="s">
        <v>532</v>
      </c>
      <c r="E72" s="19" t="s">
        <v>533</v>
      </c>
      <c r="F72" s="19" t="s">
        <v>8</v>
      </c>
      <c r="G72" s="19"/>
      <c r="H72" s="19"/>
      <c r="I72" s="19"/>
      <c r="J72" s="19">
        <v>75</v>
      </c>
      <c r="K72" s="20">
        <v>131040.12</v>
      </c>
      <c r="L72" s="20">
        <v>98280.09</v>
      </c>
      <c r="M72" s="20">
        <v>32760.03</v>
      </c>
      <c r="N72" s="20">
        <v>10920.01</v>
      </c>
      <c r="O72" s="20">
        <v>32760.03</v>
      </c>
      <c r="P72" s="20">
        <v>21840.02</v>
      </c>
      <c r="Q72" s="20">
        <v>21840.02</v>
      </c>
      <c r="R72" s="20">
        <v>21840.02</v>
      </c>
      <c r="S72" s="20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20"/>
    </row>
    <row r="73" spans="1:32" ht="25.5" x14ac:dyDescent="0.2">
      <c r="A73" s="7">
        <v>379</v>
      </c>
      <c r="B73" s="10">
        <v>130</v>
      </c>
      <c r="C73" s="10">
        <v>102</v>
      </c>
      <c r="D73" s="10" t="s">
        <v>534</v>
      </c>
      <c r="E73" s="10" t="s">
        <v>535</v>
      </c>
      <c r="F73" s="10" t="s">
        <v>11</v>
      </c>
      <c r="G73" s="10" t="s">
        <v>191</v>
      </c>
      <c r="H73" s="10" t="s">
        <v>479</v>
      </c>
      <c r="I73" s="10" t="s">
        <v>18</v>
      </c>
      <c r="J73" s="10">
        <v>75</v>
      </c>
      <c r="K73" s="11">
        <v>131040.12</v>
      </c>
      <c r="L73" s="11">
        <f>0.75*K73</f>
        <v>98280.09</v>
      </c>
      <c r="M73" s="11">
        <f>+K73-L73</f>
        <v>32760.03</v>
      </c>
      <c r="N73" s="11">
        <v>6670.7614999999996</v>
      </c>
      <c r="O73" s="11">
        <v>14571.789499999997</v>
      </c>
      <c r="P73" s="11">
        <v>21840.02</v>
      </c>
      <c r="Q73" s="77">
        <v>21840.02</v>
      </c>
      <c r="R73" s="77">
        <v>21840.02</v>
      </c>
      <c r="S73" s="77">
        <v>21840.02</v>
      </c>
      <c r="T73" s="80"/>
      <c r="U73" s="80"/>
      <c r="V73" s="80"/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77"/>
    </row>
    <row r="74" spans="1:32" ht="63.75" x14ac:dyDescent="0.2">
      <c r="A74" s="7">
        <v>380</v>
      </c>
      <c r="B74" s="9"/>
      <c r="C74" s="9">
        <v>102</v>
      </c>
      <c r="D74" s="9" t="s">
        <v>536</v>
      </c>
      <c r="E74" s="9" t="s">
        <v>537</v>
      </c>
      <c r="F74" s="9" t="s">
        <v>15</v>
      </c>
      <c r="G74" s="9"/>
      <c r="H74" s="9"/>
      <c r="I74" s="9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6"/>
      <c r="Q74" s="36"/>
      <c r="R74" s="36"/>
      <c r="S74" s="36"/>
      <c r="T74" s="50"/>
      <c r="U74" s="50"/>
      <c r="V74" s="50"/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1">
        <v>0</v>
      </c>
      <c r="AC74" s="47">
        <v>42735</v>
      </c>
      <c r="AD74" s="17" t="s">
        <v>749</v>
      </c>
    </row>
    <row r="75" spans="1:32" ht="23.25" customHeight="1" x14ac:dyDescent="0.2">
      <c r="A75" s="7">
        <v>381</v>
      </c>
      <c r="B75" s="25"/>
      <c r="C75" s="25"/>
      <c r="D75" s="25" t="s">
        <v>538</v>
      </c>
      <c r="E75" s="25" t="s">
        <v>539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4" t="s">
        <v>753</v>
      </c>
      <c r="AE75" s="57">
        <f>+K75-K76</f>
        <v>377833.58933333331</v>
      </c>
      <c r="AF75" s="57">
        <f>+L75-L76</f>
        <v>283375.19200000004</v>
      </c>
    </row>
    <row r="76" spans="1:32" x14ac:dyDescent="0.2">
      <c r="A76" s="7">
        <v>381</v>
      </c>
      <c r="B76" s="19"/>
      <c r="C76" s="19"/>
      <c r="D76" s="19" t="s">
        <v>538</v>
      </c>
      <c r="E76" s="19" t="s">
        <v>539</v>
      </c>
      <c r="F76" s="19" t="s">
        <v>5</v>
      </c>
      <c r="G76" s="19"/>
      <c r="H76" s="19"/>
      <c r="I76" s="19"/>
      <c r="J76" s="19">
        <v>75</v>
      </c>
      <c r="K76" s="20">
        <f>+K77+K90+K97+K100+K105</f>
        <v>1209935.7439999999</v>
      </c>
      <c r="L76" s="20">
        <f t="shared" ref="L76:S76" si="17">+L77+L90+L97+L100+L105</f>
        <v>907451.80799999996</v>
      </c>
      <c r="M76" s="20">
        <f t="shared" si="17"/>
        <v>302483.93599999999</v>
      </c>
      <c r="N76" s="20">
        <f t="shared" si="17"/>
        <v>24554.540499999999</v>
      </c>
      <c r="O76" s="20">
        <f t="shared" si="17"/>
        <v>269927.43350000004</v>
      </c>
      <c r="P76" s="20">
        <f t="shared" si="17"/>
        <v>297530.97774999996</v>
      </c>
      <c r="Q76" s="20">
        <f t="shared" si="17"/>
        <v>234630.45224999997</v>
      </c>
      <c r="R76" s="20">
        <f t="shared" si="17"/>
        <v>191646.16999999998</v>
      </c>
      <c r="S76" s="20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20"/>
    </row>
    <row r="77" spans="1:32" ht="51" x14ac:dyDescent="0.2">
      <c r="A77" s="7">
        <v>382</v>
      </c>
      <c r="B77" s="19"/>
      <c r="C77" s="19"/>
      <c r="D77" s="19" t="s">
        <v>540</v>
      </c>
      <c r="E77" s="19" t="s">
        <v>541</v>
      </c>
      <c r="F77" s="19" t="s">
        <v>8</v>
      </c>
      <c r="G77" s="19"/>
      <c r="H77" s="19"/>
      <c r="I77" s="19"/>
      <c r="J77" s="19">
        <v>75</v>
      </c>
      <c r="K77" s="20">
        <f>+K78+K80+K82+K84+K86+K88</f>
        <v>457088.473</v>
      </c>
      <c r="L77" s="20">
        <f t="shared" ref="L77:S77" si="18">+L78+L80+L82+L84+L86+L88</f>
        <v>342816.35475</v>
      </c>
      <c r="M77" s="20">
        <f t="shared" si="18"/>
        <v>114272.11825</v>
      </c>
      <c r="N77" s="20">
        <f t="shared" si="18"/>
        <v>14398.795</v>
      </c>
      <c r="O77" s="20">
        <f t="shared" si="18"/>
        <v>132594.36275</v>
      </c>
      <c r="P77" s="20">
        <f t="shared" si="18"/>
        <v>123535.18524999999</v>
      </c>
      <c r="Q77" s="20">
        <f t="shared" si="18"/>
        <v>62186.709999999992</v>
      </c>
      <c r="R77" s="20">
        <f t="shared" si="18"/>
        <v>62186.709999999992</v>
      </c>
      <c r="S77" s="20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20"/>
    </row>
    <row r="78" spans="1:32" ht="38.25" x14ac:dyDescent="0.2">
      <c r="A78" s="7">
        <v>383</v>
      </c>
      <c r="B78" s="10">
        <v>131</v>
      </c>
      <c r="C78" s="10">
        <v>103</v>
      </c>
      <c r="D78" s="10" t="s">
        <v>542</v>
      </c>
      <c r="E78" s="10" t="s">
        <v>543</v>
      </c>
      <c r="F78" s="10" t="s">
        <v>11</v>
      </c>
      <c r="G78" s="10" t="s">
        <v>191</v>
      </c>
      <c r="H78" s="10" t="s">
        <v>414</v>
      </c>
      <c r="I78" s="10" t="s">
        <v>18</v>
      </c>
      <c r="J78" s="10">
        <v>75</v>
      </c>
      <c r="K78" s="11">
        <f>+N78+O78+P78+Q78+R78+S78</f>
        <v>80493.535000000003</v>
      </c>
      <c r="L78" s="11">
        <f t="shared" ref="L78:L84" si="19">0.75*K78</f>
        <v>60370.151250000003</v>
      </c>
      <c r="M78" s="11">
        <f t="shared" ref="M78:M84" si="20">+K78-L78</f>
        <v>20123.383750000001</v>
      </c>
      <c r="N78" s="11">
        <v>2061</v>
      </c>
      <c r="O78" s="11">
        <v>18387.474999999999</v>
      </c>
      <c r="P78" s="11">
        <v>30000</v>
      </c>
      <c r="Q78" s="77">
        <v>10015.02</v>
      </c>
      <c r="R78" s="77">
        <v>10015.02</v>
      </c>
      <c r="S78" s="77">
        <v>10015.02</v>
      </c>
      <c r="T78" s="80">
        <v>10015.02</v>
      </c>
      <c r="U78" s="80">
        <v>10015.02</v>
      </c>
      <c r="V78" s="80"/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1">
        <v>0</v>
      </c>
      <c r="AC78" s="77"/>
    </row>
    <row r="79" spans="1:32" ht="51" x14ac:dyDescent="0.2">
      <c r="A79" s="7">
        <v>384</v>
      </c>
      <c r="B79" s="9"/>
      <c r="C79" s="9">
        <v>103</v>
      </c>
      <c r="D79" s="9" t="s">
        <v>544</v>
      </c>
      <c r="E79" s="9" t="s">
        <v>545</v>
      </c>
      <c r="F79" s="9" t="s">
        <v>15</v>
      </c>
      <c r="G79" s="9"/>
      <c r="H79" s="9"/>
      <c r="I79" s="9"/>
      <c r="J79" s="9">
        <v>75</v>
      </c>
      <c r="K79" s="13">
        <f>+N79+O79+P79</f>
        <v>50448.474999999999</v>
      </c>
      <c r="L79" s="13">
        <f t="shared" si="19"/>
        <v>37836.356249999997</v>
      </c>
      <c r="M79" s="13">
        <f t="shared" si="20"/>
        <v>12612.118750000001</v>
      </c>
      <c r="N79" s="13">
        <v>2061</v>
      </c>
      <c r="O79" s="13">
        <f>17939*1.025</f>
        <v>18387.474999999999</v>
      </c>
      <c r="P79" s="13">
        <v>30000</v>
      </c>
      <c r="Q79" s="13"/>
      <c r="R79" s="13"/>
      <c r="S79" s="13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7" t="s">
        <v>749</v>
      </c>
    </row>
    <row r="80" spans="1:32" ht="51" x14ac:dyDescent="0.2">
      <c r="A80" s="7">
        <v>385</v>
      </c>
      <c r="B80" s="10">
        <v>132</v>
      </c>
      <c r="C80" s="10">
        <v>104</v>
      </c>
      <c r="D80" s="10" t="s">
        <v>546</v>
      </c>
      <c r="E80" s="10" t="s">
        <v>547</v>
      </c>
      <c r="F80" s="10" t="s">
        <v>11</v>
      </c>
      <c r="G80" s="10" t="s">
        <v>302</v>
      </c>
      <c r="H80" s="10" t="s">
        <v>414</v>
      </c>
      <c r="I80" s="10" t="s">
        <v>18</v>
      </c>
      <c r="J80" s="10">
        <v>75</v>
      </c>
      <c r="K80" s="11">
        <f>+N80+O80+P80+Q80+R80+S80</f>
        <v>54652.522500000006</v>
      </c>
      <c r="L80" s="11">
        <f t="shared" si="19"/>
        <v>40989.391875000001</v>
      </c>
      <c r="M80" s="11">
        <f t="shared" si="20"/>
        <v>13663.130625000005</v>
      </c>
      <c r="N80" s="11">
        <v>1708.675</v>
      </c>
      <c r="O80" s="11">
        <v>8983.8174999999992</v>
      </c>
      <c r="P80" s="11">
        <v>11200</v>
      </c>
      <c r="Q80" s="77">
        <v>10920.01</v>
      </c>
      <c r="R80" s="77">
        <v>10920.01</v>
      </c>
      <c r="S80" s="77">
        <v>10920.01</v>
      </c>
      <c r="T80" s="80">
        <v>10920.01</v>
      </c>
      <c r="U80" s="80">
        <v>10920.01</v>
      </c>
      <c r="V80" s="80"/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/>
    </row>
    <row r="81" spans="1:30" ht="63.75" x14ac:dyDescent="0.2">
      <c r="A81" s="7">
        <v>386</v>
      </c>
      <c r="B81" s="9"/>
      <c r="C81" s="9">
        <v>104</v>
      </c>
      <c r="D81" s="9" t="s">
        <v>548</v>
      </c>
      <c r="E81" s="9" t="s">
        <v>549</v>
      </c>
      <c r="F81" s="9" t="s">
        <v>15</v>
      </c>
      <c r="G81" s="9"/>
      <c r="H81" s="9"/>
      <c r="I81" s="9"/>
      <c r="J81" s="9">
        <v>75</v>
      </c>
      <c r="K81" s="13">
        <f>+N81+O81+P81</f>
        <v>21892.4925</v>
      </c>
      <c r="L81" s="13">
        <f t="shared" si="19"/>
        <v>16419.369375000002</v>
      </c>
      <c r="M81" s="13">
        <f t="shared" si="20"/>
        <v>5473.1231249999983</v>
      </c>
      <c r="N81" s="13">
        <f>1667*1.025</f>
        <v>1708.675</v>
      </c>
      <c r="O81" s="13">
        <f>8764.7*1.025</f>
        <v>8983.8174999999992</v>
      </c>
      <c r="P81" s="13">
        <v>11200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7" t="s">
        <v>749</v>
      </c>
    </row>
    <row r="82" spans="1:30" ht="38.25" x14ac:dyDescent="0.2">
      <c r="A82" s="7">
        <v>387</v>
      </c>
      <c r="B82" s="10">
        <v>133</v>
      </c>
      <c r="C82" s="10">
        <v>105</v>
      </c>
      <c r="D82" s="10" t="s">
        <v>550</v>
      </c>
      <c r="E82" s="10" t="s">
        <v>551</v>
      </c>
      <c r="F82" s="10" t="s">
        <v>11</v>
      </c>
      <c r="G82" s="10" t="s">
        <v>302</v>
      </c>
      <c r="H82" s="10" t="s">
        <v>414</v>
      </c>
      <c r="I82" s="10" t="s">
        <v>18</v>
      </c>
      <c r="J82" s="10">
        <v>75</v>
      </c>
      <c r="K82" s="11">
        <f>+N82+O82+P82+Q82+R82+S82</f>
        <v>48349.785499999991</v>
      </c>
      <c r="L82" s="11">
        <f t="shared" si="19"/>
        <v>36262.339124999991</v>
      </c>
      <c r="M82" s="11">
        <f t="shared" si="20"/>
        <v>12087.446375</v>
      </c>
      <c r="N82" s="11">
        <v>3950.74</v>
      </c>
      <c r="O82" s="11">
        <v>10734.025499999998</v>
      </c>
      <c r="P82" s="11">
        <v>8190.01</v>
      </c>
      <c r="Q82" s="77">
        <v>8491.67</v>
      </c>
      <c r="R82" s="77">
        <v>8491.67</v>
      </c>
      <c r="S82" s="77">
        <v>8491.67</v>
      </c>
      <c r="T82" s="80">
        <v>8491.67</v>
      </c>
      <c r="U82" s="80">
        <v>8491.67</v>
      </c>
      <c r="V82" s="80"/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/>
    </row>
    <row r="83" spans="1:30" ht="38.25" x14ac:dyDescent="0.2">
      <c r="A83" s="7">
        <v>388</v>
      </c>
      <c r="B83" s="9"/>
      <c r="C83" s="9">
        <v>105</v>
      </c>
      <c r="D83" s="9" t="s">
        <v>552</v>
      </c>
      <c r="E83" s="9" t="s">
        <v>551</v>
      </c>
      <c r="F83" s="9" t="s">
        <v>15</v>
      </c>
      <c r="G83" s="9"/>
      <c r="H83" s="9"/>
      <c r="I83" s="9"/>
      <c r="J83" s="9">
        <v>75</v>
      </c>
      <c r="K83" s="13">
        <f>+N83+O83+P83</f>
        <v>22874.775499999996</v>
      </c>
      <c r="L83" s="13">
        <f t="shared" si="19"/>
        <v>17156.081624999999</v>
      </c>
      <c r="M83" s="13">
        <f t="shared" si="20"/>
        <v>5718.6938749999972</v>
      </c>
      <c r="N83" s="13">
        <v>3950.74</v>
      </c>
      <c r="O83" s="13">
        <f>10472.22*1.025</f>
        <v>10734.025499999998</v>
      </c>
      <c r="P83" s="13">
        <v>8190.01</v>
      </c>
      <c r="Q83" s="13"/>
      <c r="R83" s="13"/>
      <c r="S83" s="13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7" t="s">
        <v>749</v>
      </c>
    </row>
    <row r="84" spans="1:30" ht="38.25" x14ac:dyDescent="0.2">
      <c r="A84" s="7">
        <v>389</v>
      </c>
      <c r="B84" s="10">
        <v>134</v>
      </c>
      <c r="C84" s="10">
        <v>106</v>
      </c>
      <c r="D84" s="10" t="s">
        <v>553</v>
      </c>
      <c r="E84" s="10" t="s">
        <v>554</v>
      </c>
      <c r="F84" s="10" t="s">
        <v>11</v>
      </c>
      <c r="G84" s="10" t="s">
        <v>302</v>
      </c>
      <c r="H84" s="10" t="s">
        <v>414</v>
      </c>
      <c r="I84" s="10" t="s">
        <v>18</v>
      </c>
      <c r="J84" s="10">
        <v>75</v>
      </c>
      <c r="K84" s="11">
        <f>+N84+O84+P84+Q84+R84+S84</f>
        <v>49140.05</v>
      </c>
      <c r="L84" s="11">
        <f t="shared" si="19"/>
        <v>36855.037500000006</v>
      </c>
      <c r="M84" s="11">
        <f t="shared" si="20"/>
        <v>12285.012499999997</v>
      </c>
      <c r="N84" s="11">
        <v>3675.81</v>
      </c>
      <c r="O84" s="11">
        <v>13011.544749999999</v>
      </c>
      <c r="P84" s="11">
        <v>7882.66525</v>
      </c>
      <c r="Q84" s="77">
        <v>8190.01</v>
      </c>
      <c r="R84" s="77">
        <v>8190.01</v>
      </c>
      <c r="S84" s="77">
        <v>8190.01</v>
      </c>
      <c r="T84" s="80">
        <v>8190.01</v>
      </c>
      <c r="U84" s="80">
        <v>8190.01</v>
      </c>
      <c r="V84" s="80"/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/>
    </row>
    <row r="85" spans="1:30" ht="38.25" x14ac:dyDescent="0.2">
      <c r="A85" s="7">
        <v>390</v>
      </c>
      <c r="B85" s="9"/>
      <c r="C85" s="9">
        <v>106</v>
      </c>
      <c r="D85" s="9" t="s">
        <v>555</v>
      </c>
      <c r="E85" s="9" t="s">
        <v>554</v>
      </c>
      <c r="F85" s="9" t="s">
        <v>15</v>
      </c>
      <c r="G85" s="9"/>
      <c r="H85" s="9"/>
      <c r="I85" s="9"/>
      <c r="J85" s="9">
        <v>75</v>
      </c>
      <c r="K85" s="13">
        <v>24570.02</v>
      </c>
      <c r="L85" s="13">
        <v>18427.509999999998</v>
      </c>
      <c r="M85" s="13">
        <v>6142.51</v>
      </c>
      <c r="N85" s="13">
        <v>3675.81</v>
      </c>
      <c r="O85" s="13">
        <f>12694.19*1.025</f>
        <v>13011.544749999999</v>
      </c>
      <c r="P85" s="13">
        <f>+K85-N85-O85</f>
        <v>7882.66525</v>
      </c>
      <c r="Q85" s="13"/>
      <c r="R85" s="13"/>
      <c r="S85" s="13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7">
        <v>391</v>
      </c>
      <c r="B86" s="10">
        <v>135</v>
      </c>
      <c r="C86" s="10">
        <v>107</v>
      </c>
      <c r="D86" s="10" t="s">
        <v>556</v>
      </c>
      <c r="E86" s="10" t="s">
        <v>557</v>
      </c>
      <c r="F86" s="10" t="s">
        <v>11</v>
      </c>
      <c r="G86" s="10" t="s">
        <v>302</v>
      </c>
      <c r="H86" s="10" t="s">
        <v>414</v>
      </c>
      <c r="I86" s="10" t="s">
        <v>18</v>
      </c>
      <c r="J86" s="10">
        <v>75</v>
      </c>
      <c r="K86" s="11">
        <f>+N86+O86+P86+Q86+R86+S86</f>
        <v>172330.06999999998</v>
      </c>
      <c r="L86" s="11">
        <f>0.75*K86</f>
        <v>129247.55249999999</v>
      </c>
      <c r="M86" s="11">
        <f>+K86-L86</f>
        <v>43082.517499999987</v>
      </c>
      <c r="N86" s="11"/>
      <c r="O86" s="11">
        <v>74927.5</v>
      </c>
      <c r="P86" s="11">
        <v>48262.509999999995</v>
      </c>
      <c r="Q86" s="77">
        <v>16380.02</v>
      </c>
      <c r="R86" s="77">
        <v>16380.02</v>
      </c>
      <c r="S86" s="77">
        <v>16380.02</v>
      </c>
      <c r="T86" s="80">
        <v>16380.02</v>
      </c>
      <c r="U86" s="80">
        <v>16380.02</v>
      </c>
      <c r="V86" s="80"/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1">
        <v>0</v>
      </c>
      <c r="AC86" s="82"/>
    </row>
    <row r="87" spans="1:30" ht="63.75" x14ac:dyDescent="0.2">
      <c r="A87" s="7">
        <v>392</v>
      </c>
      <c r="B87" s="9"/>
      <c r="C87" s="9">
        <v>107</v>
      </c>
      <c r="D87" s="9" t="s">
        <v>558</v>
      </c>
      <c r="E87" s="9" t="s">
        <v>559</v>
      </c>
      <c r="F87" s="9" t="s">
        <v>15</v>
      </c>
      <c r="G87" s="9"/>
      <c r="H87" s="9"/>
      <c r="I87" s="9"/>
      <c r="J87" s="9">
        <v>75</v>
      </c>
      <c r="K87" s="13">
        <v>123190.01</v>
      </c>
      <c r="L87" s="13">
        <v>92392.5</v>
      </c>
      <c r="M87" s="13">
        <v>30797.51</v>
      </c>
      <c r="N87" s="13"/>
      <c r="O87" s="13">
        <f>73100*1.025</f>
        <v>74927.5</v>
      </c>
      <c r="P87" s="13">
        <f>+K87-O87</f>
        <v>48262.509999999995</v>
      </c>
      <c r="Q87" s="13"/>
      <c r="R87" s="13"/>
      <c r="S87" s="13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7">
        <v>393</v>
      </c>
      <c r="B88" s="10">
        <v>136</v>
      </c>
      <c r="C88" s="10">
        <v>108</v>
      </c>
      <c r="D88" s="10" t="s">
        <v>560</v>
      </c>
      <c r="E88" s="10" t="s">
        <v>561</v>
      </c>
      <c r="F88" s="10" t="s">
        <v>11</v>
      </c>
      <c r="G88" s="10" t="s">
        <v>302</v>
      </c>
      <c r="H88" s="10" t="s">
        <v>414</v>
      </c>
      <c r="I88" s="10" t="s">
        <v>18</v>
      </c>
      <c r="J88" s="10">
        <v>75</v>
      </c>
      <c r="K88" s="11">
        <f>+N88+O88+P88+Q88+R88+S88</f>
        <v>52122.509999999995</v>
      </c>
      <c r="L88" s="11">
        <f>0.75*K88</f>
        <v>39091.882499999992</v>
      </c>
      <c r="M88" s="11">
        <f>+K88-L88</f>
        <v>13030.627500000002</v>
      </c>
      <c r="N88" s="11">
        <v>3002.57</v>
      </c>
      <c r="O88" s="11">
        <v>6550</v>
      </c>
      <c r="P88" s="11">
        <v>18000</v>
      </c>
      <c r="Q88" s="77">
        <v>8189.98</v>
      </c>
      <c r="R88" s="77">
        <v>8189.98</v>
      </c>
      <c r="S88" s="77">
        <v>8189.98</v>
      </c>
      <c r="T88" s="80">
        <v>8189.98</v>
      </c>
      <c r="U88" s="80">
        <v>8189.98</v>
      </c>
      <c r="V88" s="80"/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1">
        <v>0</v>
      </c>
      <c r="AC88" s="82"/>
    </row>
    <row r="89" spans="1:30" ht="63.75" x14ac:dyDescent="0.2">
      <c r="A89" s="7">
        <v>394</v>
      </c>
      <c r="B89" s="9"/>
      <c r="C89" s="9">
        <v>108</v>
      </c>
      <c r="D89" s="9" t="s">
        <v>562</v>
      </c>
      <c r="E89" s="9" t="s">
        <v>563</v>
      </c>
      <c r="F89" s="9" t="s">
        <v>15</v>
      </c>
      <c r="G89" s="9"/>
      <c r="H89" s="9"/>
      <c r="I89" s="9"/>
      <c r="J89" s="9">
        <v>75</v>
      </c>
      <c r="K89" s="13">
        <f>+N89+O89+P89</f>
        <v>27552.57</v>
      </c>
      <c r="L89" s="13">
        <f>0.75*K89</f>
        <v>20664.427499999998</v>
      </c>
      <c r="M89" s="13">
        <f>+K89-L89</f>
        <v>6888.1425000000017</v>
      </c>
      <c r="N89" s="13">
        <v>3002.57</v>
      </c>
      <c r="O89" s="13">
        <v>6550</v>
      </c>
      <c r="P89" s="13">
        <v>18000</v>
      </c>
      <c r="Q89" s="13"/>
      <c r="R89" s="13"/>
      <c r="S89" s="13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7" t="s">
        <v>749</v>
      </c>
    </row>
    <row r="90" spans="1:30" ht="38.25" x14ac:dyDescent="0.2">
      <c r="A90" s="7">
        <v>395</v>
      </c>
      <c r="B90" s="19"/>
      <c r="C90" s="19"/>
      <c r="D90" s="19" t="s">
        <v>564</v>
      </c>
      <c r="E90" s="19" t="s">
        <v>565</v>
      </c>
      <c r="F90" s="19" t="s">
        <v>8</v>
      </c>
      <c r="G90" s="19"/>
      <c r="H90" s="19"/>
      <c r="I90" s="19"/>
      <c r="J90" s="19">
        <v>75</v>
      </c>
      <c r="K90" s="20">
        <f>+K91+K93+K95</f>
        <v>217375.976</v>
      </c>
      <c r="L90" s="20">
        <f t="shared" ref="L90:S90" si="21">+L91+L93+L95</f>
        <v>163031.98199999999</v>
      </c>
      <c r="M90" s="20">
        <f t="shared" si="21"/>
        <v>54343.994000000006</v>
      </c>
      <c r="N90" s="20">
        <f t="shared" si="21"/>
        <v>6326.5459999999994</v>
      </c>
      <c r="O90" s="20">
        <f t="shared" si="21"/>
        <v>53649.48775</v>
      </c>
      <c r="P90" s="20">
        <f t="shared" si="21"/>
        <v>39067.69</v>
      </c>
      <c r="Q90" s="20">
        <f t="shared" si="21"/>
        <v>40196.852250000004</v>
      </c>
      <c r="R90" s="20">
        <f t="shared" si="21"/>
        <v>39067.700000000004</v>
      </c>
      <c r="S90" s="20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7">
        <v>396</v>
      </c>
      <c r="B91" s="10">
        <v>137</v>
      </c>
      <c r="C91" s="10">
        <v>109</v>
      </c>
      <c r="D91" s="10" t="s">
        <v>566</v>
      </c>
      <c r="E91" s="10" t="s">
        <v>567</v>
      </c>
      <c r="F91" s="10" t="s">
        <v>11</v>
      </c>
      <c r="G91" s="10" t="s">
        <v>28</v>
      </c>
      <c r="H91" s="10" t="s">
        <v>414</v>
      </c>
      <c r="I91" s="10" t="s">
        <v>18</v>
      </c>
      <c r="J91" s="10">
        <v>75</v>
      </c>
      <c r="K91" s="11">
        <f>+O91+P91+Q91+R91+S91</f>
        <v>50950.02</v>
      </c>
      <c r="L91" s="11">
        <f>0.75*K91</f>
        <v>38212.514999999999</v>
      </c>
      <c r="M91" s="11">
        <f>+K91-L91</f>
        <v>12737.504999999997</v>
      </c>
      <c r="N91" s="11"/>
      <c r="O91" s="11">
        <v>15854.197749999999</v>
      </c>
      <c r="P91" s="11">
        <v>8491.66</v>
      </c>
      <c r="Q91" s="77">
        <v>9620.8222500000011</v>
      </c>
      <c r="R91" s="77">
        <v>8491.67</v>
      </c>
      <c r="S91" s="77">
        <v>8491.67</v>
      </c>
      <c r="T91" s="78">
        <v>8491.67</v>
      </c>
      <c r="U91" s="78">
        <v>8491.67</v>
      </c>
      <c r="V91" s="78"/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9">
        <v>0</v>
      </c>
      <c r="AC91" s="82"/>
    </row>
    <row r="92" spans="1:30" ht="38.25" x14ac:dyDescent="0.2">
      <c r="A92" s="7">
        <v>397</v>
      </c>
      <c r="B92" s="15"/>
      <c r="C92" s="15">
        <v>109</v>
      </c>
      <c r="D92" s="15" t="s">
        <v>568</v>
      </c>
      <c r="E92" s="15" t="s">
        <v>567</v>
      </c>
      <c r="F92" s="15" t="s">
        <v>15</v>
      </c>
      <c r="G92" s="15"/>
      <c r="H92" s="15"/>
      <c r="I92" s="15"/>
      <c r="J92" s="15">
        <v>75</v>
      </c>
      <c r="K92" s="16">
        <v>33966.68</v>
      </c>
      <c r="L92" s="16">
        <v>25475.01</v>
      </c>
      <c r="M92" s="16">
        <v>8491.67</v>
      </c>
      <c r="N92" s="16"/>
      <c r="O92" s="16">
        <f>15467.51*1.025</f>
        <v>15854.197749999999</v>
      </c>
      <c r="P92" s="16">
        <v>8491.66</v>
      </c>
      <c r="Q92" s="16">
        <f>+K92-O92-P92</f>
        <v>9620.8222500000011</v>
      </c>
      <c r="R92" s="16"/>
      <c r="S92" s="16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9">
        <v>43465</v>
      </c>
    </row>
    <row r="93" spans="1:30" ht="38.25" x14ac:dyDescent="0.2">
      <c r="A93" s="7">
        <v>398</v>
      </c>
      <c r="B93" s="10">
        <v>138</v>
      </c>
      <c r="C93" s="10">
        <v>110</v>
      </c>
      <c r="D93" s="10" t="s">
        <v>569</v>
      </c>
      <c r="E93" s="10" t="s">
        <v>570</v>
      </c>
      <c r="F93" s="10" t="s">
        <v>11</v>
      </c>
      <c r="G93" s="10" t="s">
        <v>28</v>
      </c>
      <c r="H93" s="10" t="s">
        <v>414</v>
      </c>
      <c r="I93" s="10" t="s">
        <v>18</v>
      </c>
      <c r="J93" s="10">
        <v>75</v>
      </c>
      <c r="K93" s="11">
        <f>+O93+P93+Q93+R93+S93+N93</f>
        <v>116425.976</v>
      </c>
      <c r="L93" s="11">
        <f>0.75*K93</f>
        <v>87319.481999999989</v>
      </c>
      <c r="M93" s="11">
        <f>+K93-L93</f>
        <v>29106.494000000006</v>
      </c>
      <c r="N93" s="11">
        <v>6326.5459999999994</v>
      </c>
      <c r="O93" s="11">
        <v>21128.63</v>
      </c>
      <c r="P93" s="11">
        <v>22242.7</v>
      </c>
      <c r="Q93" s="77">
        <v>22242.7</v>
      </c>
      <c r="R93" s="77">
        <v>22242.7</v>
      </c>
      <c r="S93" s="77">
        <v>22242.7</v>
      </c>
      <c r="T93" s="78">
        <v>22242.7</v>
      </c>
      <c r="U93" s="78">
        <v>22242.7</v>
      </c>
      <c r="V93" s="78"/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9">
        <v>0</v>
      </c>
      <c r="AC93" s="82"/>
    </row>
    <row r="94" spans="1:30" ht="38.25" x14ac:dyDescent="0.2">
      <c r="A94" s="7">
        <v>399</v>
      </c>
      <c r="B94" s="15"/>
      <c r="C94" s="15">
        <v>110</v>
      </c>
      <c r="D94" s="15" t="s">
        <v>571</v>
      </c>
      <c r="E94" s="15" t="s">
        <v>570</v>
      </c>
      <c r="F94" s="15" t="s">
        <v>15</v>
      </c>
      <c r="G94" s="15"/>
      <c r="H94" s="15"/>
      <c r="I94" s="15"/>
      <c r="J94" s="15">
        <v>75</v>
      </c>
      <c r="K94" s="16">
        <f>+P94+O94+N94</f>
        <v>49697.876000000004</v>
      </c>
      <c r="L94" s="16">
        <f>0.75*K94</f>
        <v>37273.407000000007</v>
      </c>
      <c r="M94" s="16">
        <f>+K94-L94</f>
        <v>12424.468999999997</v>
      </c>
      <c r="N94" s="16">
        <f>6172.24*1.025</f>
        <v>6326.5459999999994</v>
      </c>
      <c r="O94" s="16">
        <v>21128.63</v>
      </c>
      <c r="P94" s="16">
        <v>22242.7</v>
      </c>
      <c r="Q94" s="16"/>
      <c r="R94" s="16"/>
      <c r="S94" s="16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9">
        <v>43100</v>
      </c>
      <c r="AD94" s="17" t="s">
        <v>749</v>
      </c>
    </row>
    <row r="95" spans="1:30" ht="38.25" x14ac:dyDescent="0.2">
      <c r="A95" s="7">
        <v>400</v>
      </c>
      <c r="B95" s="10">
        <v>139</v>
      </c>
      <c r="C95" s="10">
        <v>111</v>
      </c>
      <c r="D95" s="10" t="s">
        <v>572</v>
      </c>
      <c r="E95" s="10" t="s">
        <v>573</v>
      </c>
      <c r="F95" s="10" t="s">
        <v>11</v>
      </c>
      <c r="G95" s="10" t="s">
        <v>28</v>
      </c>
      <c r="H95" s="10" t="s">
        <v>414</v>
      </c>
      <c r="I95" s="10" t="s">
        <v>18</v>
      </c>
      <c r="J95" s="10">
        <v>75</v>
      </c>
      <c r="K95" s="11">
        <f>+O95+P95+Q95+R95+S95</f>
        <v>49999.98</v>
      </c>
      <c r="L95" s="11">
        <f>0.75*K95</f>
        <v>37499.985000000001</v>
      </c>
      <c r="M95" s="11">
        <f>+K95-L95</f>
        <v>12499.995000000003</v>
      </c>
      <c r="N95" s="11"/>
      <c r="O95" s="11">
        <v>16666.66</v>
      </c>
      <c r="P95" s="11">
        <v>8333.33</v>
      </c>
      <c r="Q95" s="77">
        <v>8333.33</v>
      </c>
      <c r="R95" s="77">
        <v>8333.33</v>
      </c>
      <c r="S95" s="77">
        <v>8333.33</v>
      </c>
      <c r="T95" s="78">
        <v>8333.33</v>
      </c>
      <c r="U95" s="78">
        <v>8333.33</v>
      </c>
      <c r="V95" s="78"/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9">
        <v>0</v>
      </c>
      <c r="AC95" s="82"/>
    </row>
    <row r="96" spans="1:30" x14ac:dyDescent="0.2">
      <c r="A96" s="7">
        <v>401</v>
      </c>
      <c r="B96" s="15"/>
      <c r="C96" s="15">
        <v>111</v>
      </c>
      <c r="D96" s="15" t="s">
        <v>574</v>
      </c>
      <c r="E96" s="15" t="s">
        <v>573</v>
      </c>
      <c r="F96" s="15" t="s">
        <v>15</v>
      </c>
      <c r="G96" s="15"/>
      <c r="H96" s="15"/>
      <c r="I96" s="15"/>
      <c r="J96" s="15">
        <v>75</v>
      </c>
      <c r="K96" s="16">
        <v>33333.32</v>
      </c>
      <c r="L96" s="16">
        <v>24999.99</v>
      </c>
      <c r="M96" s="16">
        <v>8333.33</v>
      </c>
      <c r="N96" s="16"/>
      <c r="O96" s="16">
        <f>10340.73*1.025</f>
        <v>10599.248249999999</v>
      </c>
      <c r="P96" s="16">
        <v>8333.33</v>
      </c>
      <c r="Q96" s="16">
        <f>+K96-O96-P96</f>
        <v>14400.741750000003</v>
      </c>
      <c r="R96" s="16"/>
      <c r="S96" s="16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9">
        <v>43465</v>
      </c>
    </row>
    <row r="97" spans="1:32" ht="38.25" x14ac:dyDescent="0.2">
      <c r="A97" s="7">
        <v>402</v>
      </c>
      <c r="B97" s="19"/>
      <c r="C97" s="19"/>
      <c r="D97" s="19" t="s">
        <v>575</v>
      </c>
      <c r="E97" s="19" t="s">
        <v>576</v>
      </c>
      <c r="F97" s="19" t="s">
        <v>8</v>
      </c>
      <c r="G97" s="19"/>
      <c r="H97" s="19"/>
      <c r="I97" s="19"/>
      <c r="J97" s="19">
        <v>75</v>
      </c>
      <c r="K97" s="20">
        <f>+K98</f>
        <v>37161.395499999999</v>
      </c>
      <c r="L97" s="20">
        <f t="shared" ref="L97:S97" si="22">+L98</f>
        <v>27871.046624999999</v>
      </c>
      <c r="M97" s="20">
        <f t="shared" si="22"/>
        <v>9290.3488749999997</v>
      </c>
      <c r="N97" s="20"/>
      <c r="O97" s="20">
        <f t="shared" si="22"/>
        <v>3040.3754999999996</v>
      </c>
      <c r="P97" s="20">
        <f t="shared" si="22"/>
        <v>11146</v>
      </c>
      <c r="Q97" s="20">
        <f t="shared" si="22"/>
        <v>7658.34</v>
      </c>
      <c r="R97" s="20">
        <f t="shared" si="22"/>
        <v>7658.34</v>
      </c>
      <c r="S97" s="20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7">
        <v>403</v>
      </c>
      <c r="B98" s="10">
        <v>140</v>
      </c>
      <c r="C98" s="10">
        <v>112</v>
      </c>
      <c r="D98" s="10" t="s">
        <v>577</v>
      </c>
      <c r="E98" s="10" t="s">
        <v>578</v>
      </c>
      <c r="F98" s="10" t="s">
        <v>11</v>
      </c>
      <c r="G98" s="10" t="s">
        <v>28</v>
      </c>
      <c r="H98" s="10" t="s">
        <v>414</v>
      </c>
      <c r="I98" s="10" t="s">
        <v>18</v>
      </c>
      <c r="J98" s="10">
        <v>75</v>
      </c>
      <c r="K98" s="11">
        <f>+O98+P98+Q98+R98+S98</f>
        <v>37161.395499999999</v>
      </c>
      <c r="L98" s="11">
        <f>0.75*K98</f>
        <v>27871.046624999999</v>
      </c>
      <c r="M98" s="11">
        <f>+K98-L98</f>
        <v>9290.3488749999997</v>
      </c>
      <c r="N98" s="11"/>
      <c r="O98" s="11">
        <v>3040.3754999999996</v>
      </c>
      <c r="P98" s="11">
        <v>11146</v>
      </c>
      <c r="Q98" s="77">
        <v>7658.34</v>
      </c>
      <c r="R98" s="77">
        <v>7658.34</v>
      </c>
      <c r="S98" s="77">
        <v>7658.34</v>
      </c>
      <c r="T98" s="80">
        <v>7658.34</v>
      </c>
      <c r="U98" s="80">
        <v>7658.34</v>
      </c>
      <c r="V98" s="80"/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1">
        <v>0</v>
      </c>
      <c r="AC98" s="82"/>
    </row>
    <row r="99" spans="1:32" ht="51" x14ac:dyDescent="0.2">
      <c r="A99" s="7">
        <v>404</v>
      </c>
      <c r="B99" s="9"/>
      <c r="C99" s="9">
        <v>112</v>
      </c>
      <c r="D99" s="9" t="s">
        <v>579</v>
      </c>
      <c r="E99" s="9" t="s">
        <v>580</v>
      </c>
      <c r="F99" s="9" t="s">
        <v>15</v>
      </c>
      <c r="G99" s="9"/>
      <c r="H99" s="9"/>
      <c r="I99" s="9"/>
      <c r="J99" s="9">
        <v>75</v>
      </c>
      <c r="K99" s="13">
        <f>+O99+P99</f>
        <v>10698.3755</v>
      </c>
      <c r="L99" s="13">
        <f>0.75*K99</f>
        <v>8023.7816249999996</v>
      </c>
      <c r="M99" s="13">
        <f>+K99-L99</f>
        <v>2674.5938750000005</v>
      </c>
      <c r="N99" s="13"/>
      <c r="O99" s="13">
        <f>2966.22*1.025</f>
        <v>3040.3754999999996</v>
      </c>
      <c r="P99" s="13">
        <v>7658</v>
      </c>
      <c r="Q99" s="13"/>
      <c r="R99" s="13"/>
      <c r="S99" s="13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7" t="s">
        <v>749</v>
      </c>
    </row>
    <row r="100" spans="1:32" ht="25.5" x14ac:dyDescent="0.2">
      <c r="A100" s="7">
        <v>405</v>
      </c>
      <c r="B100" s="19"/>
      <c r="C100" s="19"/>
      <c r="D100" s="19" t="s">
        <v>581</v>
      </c>
      <c r="E100" s="19" t="s">
        <v>582</v>
      </c>
      <c r="F100" s="19" t="s">
        <v>8</v>
      </c>
      <c r="G100" s="19"/>
      <c r="H100" s="19"/>
      <c r="I100" s="19"/>
      <c r="J100" s="19">
        <v>75</v>
      </c>
      <c r="K100" s="20">
        <f>+K101+K103</f>
        <v>461082.44825000002</v>
      </c>
      <c r="L100" s="20">
        <f t="shared" ref="L100:S100" si="23">+L101+L103</f>
        <v>345811.83618750004</v>
      </c>
      <c r="M100" s="20">
        <f t="shared" si="23"/>
        <v>115270.6120625</v>
      </c>
      <c r="N100" s="20">
        <f t="shared" si="23"/>
        <v>3829.1994999999997</v>
      </c>
      <c r="O100" s="20">
        <f t="shared" si="23"/>
        <v>79815.776249999995</v>
      </c>
      <c r="P100" s="20">
        <f t="shared" si="23"/>
        <v>105582.0925</v>
      </c>
      <c r="Q100" s="20">
        <f t="shared" si="23"/>
        <v>106388.54</v>
      </c>
      <c r="R100" s="20">
        <f t="shared" si="23"/>
        <v>82733.42</v>
      </c>
      <c r="S100" s="20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7">
        <v>406</v>
      </c>
      <c r="B101" s="10">
        <v>141</v>
      </c>
      <c r="C101" s="10">
        <v>113</v>
      </c>
      <c r="D101" s="10" t="s">
        <v>583</v>
      </c>
      <c r="E101" s="10" t="s">
        <v>584</v>
      </c>
      <c r="F101" s="10" t="s">
        <v>11</v>
      </c>
      <c r="G101" s="10" t="s">
        <v>28</v>
      </c>
      <c r="H101" s="10" t="s">
        <v>414</v>
      </c>
      <c r="I101" s="10" t="s">
        <v>18</v>
      </c>
      <c r="J101" s="10">
        <v>75</v>
      </c>
      <c r="K101" s="11">
        <f>+O101+P101+Q101+R101+S101+N101</f>
        <v>65633.36</v>
      </c>
      <c r="L101" s="11">
        <f>0.75*K101</f>
        <v>49225.020000000004</v>
      </c>
      <c r="M101" s="11">
        <f>+K101-L101</f>
        <v>16408.339999999997</v>
      </c>
      <c r="N101" s="11">
        <v>2750.1</v>
      </c>
      <c r="O101" s="11">
        <v>33056.147499999999</v>
      </c>
      <c r="P101" s="11">
        <v>6852.0924999999988</v>
      </c>
      <c r="Q101" s="77">
        <v>7658.34</v>
      </c>
      <c r="R101" s="77">
        <v>7658.34</v>
      </c>
      <c r="S101" s="77">
        <v>7658.34</v>
      </c>
      <c r="T101" s="78">
        <v>7658.34</v>
      </c>
      <c r="U101" s="78">
        <v>7658.34</v>
      </c>
      <c r="V101" s="78"/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9">
        <v>0</v>
      </c>
      <c r="AC101" s="82"/>
    </row>
    <row r="102" spans="1:32" ht="51" x14ac:dyDescent="0.2">
      <c r="A102" s="7">
        <v>407</v>
      </c>
      <c r="B102" s="15"/>
      <c r="C102" s="15">
        <v>113</v>
      </c>
      <c r="D102" s="15" t="s">
        <v>585</v>
      </c>
      <c r="E102" s="15" t="s">
        <v>586</v>
      </c>
      <c r="F102" s="15" t="s">
        <v>15</v>
      </c>
      <c r="G102" s="15"/>
      <c r="H102" s="15"/>
      <c r="I102" s="15"/>
      <c r="J102" s="15">
        <v>75</v>
      </c>
      <c r="K102" s="16">
        <v>42658.34</v>
      </c>
      <c r="L102" s="16">
        <v>31993.75</v>
      </c>
      <c r="M102" s="16">
        <v>10664.59</v>
      </c>
      <c r="N102" s="16">
        <v>2750.1</v>
      </c>
      <c r="O102" s="16">
        <f>32249.9*1.025</f>
        <v>33056.147499999999</v>
      </c>
      <c r="P102" s="16">
        <f>+K102-N102-O102</f>
        <v>6852.0924999999988</v>
      </c>
      <c r="Q102" s="16"/>
      <c r="R102" s="16"/>
      <c r="S102" s="16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9">
        <v>43100</v>
      </c>
    </row>
    <row r="103" spans="1:32" ht="38.25" x14ac:dyDescent="0.2">
      <c r="A103" s="7">
        <v>408</v>
      </c>
      <c r="B103" s="10">
        <v>142</v>
      </c>
      <c r="C103" s="10">
        <v>114</v>
      </c>
      <c r="D103" s="10" t="s">
        <v>587</v>
      </c>
      <c r="E103" s="10" t="s">
        <v>588</v>
      </c>
      <c r="F103" s="10" t="s">
        <v>11</v>
      </c>
      <c r="G103" s="10" t="s">
        <v>36</v>
      </c>
      <c r="H103" s="10" t="s">
        <v>414</v>
      </c>
      <c r="I103" s="10" t="s">
        <v>18</v>
      </c>
      <c r="J103" s="10">
        <v>75</v>
      </c>
      <c r="K103" s="11">
        <f>+O103+P103+Q103+R103+S103+N103</f>
        <v>395449.08825000003</v>
      </c>
      <c r="L103" s="11">
        <f>0.75*K103</f>
        <v>296586.81618750002</v>
      </c>
      <c r="M103" s="11">
        <f>+K103-L103</f>
        <v>98862.272062500007</v>
      </c>
      <c r="N103" s="11">
        <v>1079.0994999999998</v>
      </c>
      <c r="O103" s="11">
        <v>46759.628749999996</v>
      </c>
      <c r="P103" s="11">
        <v>98730</v>
      </c>
      <c r="Q103" s="77">
        <v>98730.2</v>
      </c>
      <c r="R103" s="77">
        <v>75075.08</v>
      </c>
      <c r="S103" s="77">
        <v>75075.08</v>
      </c>
      <c r="T103" s="78">
        <v>75075.08</v>
      </c>
      <c r="U103" s="78">
        <v>75075.08</v>
      </c>
      <c r="V103" s="78"/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9">
        <v>0</v>
      </c>
      <c r="AC103" s="82"/>
    </row>
    <row r="104" spans="1:32" ht="63.75" x14ac:dyDescent="0.2">
      <c r="A104" s="7">
        <v>409</v>
      </c>
      <c r="B104" s="15"/>
      <c r="C104" s="15">
        <v>114</v>
      </c>
      <c r="D104" s="15" t="s">
        <v>589</v>
      </c>
      <c r="E104" s="15" t="s">
        <v>590</v>
      </c>
      <c r="F104" s="15" t="s">
        <v>15</v>
      </c>
      <c r="G104" s="15"/>
      <c r="H104" s="15"/>
      <c r="I104" s="15"/>
      <c r="J104" s="15">
        <v>75</v>
      </c>
      <c r="K104" s="16">
        <f>+N104+O104+P104</f>
        <v>146568.72824999999</v>
      </c>
      <c r="L104" s="16">
        <f>0.75*K104</f>
        <v>109926.54618749999</v>
      </c>
      <c r="M104" s="16">
        <f>+K104-L104</f>
        <v>36642.182062499996</v>
      </c>
      <c r="N104" s="16">
        <f>1052.78*1.025</f>
        <v>1079.0994999999998</v>
      </c>
      <c r="O104" s="16">
        <f>45619.15*1.025</f>
        <v>46759.628749999996</v>
      </c>
      <c r="P104" s="16">
        <v>98730</v>
      </c>
      <c r="Q104" s="16"/>
      <c r="R104" s="16"/>
      <c r="S104" s="16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9">
        <v>43100</v>
      </c>
      <c r="AD104" s="17" t="s">
        <v>749</v>
      </c>
    </row>
    <row r="105" spans="1:32" ht="38.25" x14ac:dyDescent="0.2">
      <c r="A105" s="7">
        <v>410</v>
      </c>
      <c r="B105" s="19"/>
      <c r="C105" s="19"/>
      <c r="D105" s="19" t="s">
        <v>591</v>
      </c>
      <c r="E105" s="19" t="s">
        <v>592</v>
      </c>
      <c r="F105" s="19" t="s">
        <v>8</v>
      </c>
      <c r="G105" s="19"/>
      <c r="H105" s="19"/>
      <c r="I105" s="19"/>
      <c r="J105" s="19">
        <v>75</v>
      </c>
      <c r="K105" s="20">
        <f>+K106</f>
        <v>37227.451249999998</v>
      </c>
      <c r="L105" s="20">
        <f t="shared" ref="L105:AB105" si="24">+L106</f>
        <v>27920.588437499999</v>
      </c>
      <c r="M105" s="20">
        <f t="shared" si="24"/>
        <v>9306.8628124999996</v>
      </c>
      <c r="N105" s="20">
        <f t="shared" si="24"/>
        <v>0</v>
      </c>
      <c r="O105" s="20">
        <f t="shared" si="24"/>
        <v>827.43124999999998</v>
      </c>
      <c r="P105" s="20">
        <f t="shared" si="24"/>
        <v>18200.009999999998</v>
      </c>
      <c r="Q105" s="20">
        <f t="shared" si="24"/>
        <v>18200.009999999998</v>
      </c>
      <c r="R105" s="20">
        <f t="shared" si="24"/>
        <v>0</v>
      </c>
      <c r="S105" s="20">
        <f t="shared" si="24"/>
        <v>0</v>
      </c>
      <c r="T105" s="20">
        <f t="shared" si="24"/>
        <v>0</v>
      </c>
      <c r="U105" s="20">
        <f t="shared" si="24"/>
        <v>0</v>
      </c>
      <c r="V105" s="20">
        <f t="shared" si="24"/>
        <v>0</v>
      </c>
      <c r="W105" s="20">
        <f t="shared" si="24"/>
        <v>0</v>
      </c>
      <c r="X105" s="20">
        <f t="shared" si="24"/>
        <v>0</v>
      </c>
      <c r="Y105" s="20">
        <f t="shared" si="24"/>
        <v>0</v>
      </c>
      <c r="Z105" s="20">
        <f t="shared" si="24"/>
        <v>0</v>
      </c>
      <c r="AA105" s="20">
        <f t="shared" si="24"/>
        <v>0</v>
      </c>
      <c r="AB105" s="20">
        <f t="shared" si="24"/>
        <v>0</v>
      </c>
      <c r="AC105" s="42"/>
    </row>
    <row r="106" spans="1:32" ht="38.25" x14ac:dyDescent="0.2">
      <c r="A106" s="7">
        <v>411</v>
      </c>
      <c r="B106" s="10">
        <v>143</v>
      </c>
      <c r="C106" s="10">
        <v>115</v>
      </c>
      <c r="D106" s="10" t="s">
        <v>593</v>
      </c>
      <c r="E106" s="10" t="s">
        <v>592</v>
      </c>
      <c r="F106" s="10" t="s">
        <v>11</v>
      </c>
      <c r="G106" s="10" t="s">
        <v>36</v>
      </c>
      <c r="H106" s="10" t="s">
        <v>414</v>
      </c>
      <c r="I106" s="10" t="s">
        <v>18</v>
      </c>
      <c r="J106" s="10">
        <v>75</v>
      </c>
      <c r="K106" s="11">
        <v>37227.451249999998</v>
      </c>
      <c r="L106" s="11">
        <f>0.75*K106</f>
        <v>27920.588437499999</v>
      </c>
      <c r="M106" s="11">
        <f>+K106-L106</f>
        <v>9306.8628124999996</v>
      </c>
      <c r="N106" s="11"/>
      <c r="O106" s="11">
        <v>827.43124999999998</v>
      </c>
      <c r="P106" s="11">
        <v>18200.009999999998</v>
      </c>
      <c r="Q106" s="77">
        <v>18200.009999999998</v>
      </c>
      <c r="R106" s="77"/>
      <c r="S106" s="77"/>
      <c r="T106" s="80"/>
      <c r="U106" s="80"/>
      <c r="V106" s="80"/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1">
        <v>0</v>
      </c>
      <c r="AC106" s="82"/>
    </row>
    <row r="107" spans="1:32" ht="38.25" x14ac:dyDescent="0.2">
      <c r="A107" s="7">
        <v>412</v>
      </c>
      <c r="B107" s="9"/>
      <c r="C107" s="9">
        <v>115</v>
      </c>
      <c r="D107" s="9" t="s">
        <v>594</v>
      </c>
      <c r="E107" s="9" t="s">
        <v>595</v>
      </c>
      <c r="F107" s="9" t="s">
        <v>15</v>
      </c>
      <c r="G107" s="9"/>
      <c r="H107" s="9"/>
      <c r="I107" s="9"/>
      <c r="J107" s="9">
        <v>75</v>
      </c>
      <c r="K107" s="13">
        <f>+O107+P107+Q107</f>
        <v>37227.451249999998</v>
      </c>
      <c r="L107" s="13">
        <f>0.75*K107</f>
        <v>27920.588437499999</v>
      </c>
      <c r="M107" s="13">
        <f>0.25*K107</f>
        <v>9306.8628124999996</v>
      </c>
      <c r="N107" s="13"/>
      <c r="O107" s="13">
        <f>807.25*1.025</f>
        <v>827.43124999999998</v>
      </c>
      <c r="P107" s="13">
        <v>18200.009999999998</v>
      </c>
      <c r="Q107" s="13">
        <v>18200.009999999998</v>
      </c>
      <c r="R107" s="13"/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7">
        <v>413</v>
      </c>
      <c r="B108" s="25"/>
      <c r="C108" s="25"/>
      <c r="D108" s="25" t="s">
        <v>596</v>
      </c>
      <c r="E108" s="25" t="s">
        <v>597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4" t="s">
        <v>753</v>
      </c>
      <c r="AE108" s="57">
        <f>+K108-K109</f>
        <v>0</v>
      </c>
      <c r="AF108" s="57">
        <f>+L108-L109</f>
        <v>-2.5000000023283064E-3</v>
      </c>
    </row>
    <row r="109" spans="1:32" ht="27.75" customHeight="1" x14ac:dyDescent="0.2">
      <c r="A109" s="7">
        <v>413</v>
      </c>
      <c r="B109" s="19"/>
      <c r="C109" s="19"/>
      <c r="D109" s="19" t="s">
        <v>596</v>
      </c>
      <c r="E109" s="19" t="s">
        <v>597</v>
      </c>
      <c r="F109" s="19" t="s">
        <v>5</v>
      </c>
      <c r="G109" s="19"/>
      <c r="H109" s="19"/>
      <c r="I109" s="19"/>
      <c r="J109" s="19">
        <v>75</v>
      </c>
      <c r="K109" s="20">
        <f>+K110+K112</f>
        <v>109330.67</v>
      </c>
      <c r="L109" s="20">
        <f t="shared" ref="L109:S109" si="25">+L110+L112</f>
        <v>81998.002500000002</v>
      </c>
      <c r="M109" s="20">
        <f t="shared" si="25"/>
        <v>27332.667500000003</v>
      </c>
      <c r="N109" s="20">
        <f t="shared" si="25"/>
        <v>0</v>
      </c>
      <c r="O109" s="20">
        <f t="shared" si="25"/>
        <v>3988.4112500000001</v>
      </c>
      <c r="P109" s="20">
        <f t="shared" si="25"/>
        <v>10946.12</v>
      </c>
      <c r="Q109" s="20">
        <f t="shared" si="25"/>
        <v>36103.858749999999</v>
      </c>
      <c r="R109" s="20">
        <f t="shared" si="25"/>
        <v>29146.14</v>
      </c>
      <c r="S109" s="20">
        <f t="shared" si="25"/>
        <v>29146.14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2">
        <v>0</v>
      </c>
      <c r="AC109" s="42"/>
    </row>
    <row r="110" spans="1:32" ht="51" x14ac:dyDescent="0.2">
      <c r="A110" s="7">
        <v>414</v>
      </c>
      <c r="B110" s="19"/>
      <c r="C110" s="19"/>
      <c r="D110" s="19" t="s">
        <v>598</v>
      </c>
      <c r="E110" s="19" t="s">
        <v>599</v>
      </c>
      <c r="F110" s="19" t="s">
        <v>8</v>
      </c>
      <c r="G110" s="19"/>
      <c r="H110" s="19"/>
      <c r="I110" s="19"/>
      <c r="J110" s="19">
        <v>75</v>
      </c>
      <c r="K110" s="20">
        <f>+K111</f>
        <v>54600.07</v>
      </c>
      <c r="L110" s="20">
        <f t="shared" ref="L110:AC110" si="26">+L111</f>
        <v>40950.052499999998</v>
      </c>
      <c r="M110" s="20">
        <f t="shared" si="26"/>
        <v>13650.017500000002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18200.03</v>
      </c>
      <c r="R110" s="20">
        <f t="shared" si="26"/>
        <v>18200.02</v>
      </c>
      <c r="S110" s="20">
        <f t="shared" si="26"/>
        <v>18200.02</v>
      </c>
      <c r="T110" s="20">
        <f t="shared" si="26"/>
        <v>0</v>
      </c>
      <c r="U110" s="20">
        <f t="shared" si="26"/>
        <v>0</v>
      </c>
      <c r="V110" s="20">
        <f t="shared" si="26"/>
        <v>0</v>
      </c>
      <c r="W110" s="20">
        <f t="shared" si="26"/>
        <v>0</v>
      </c>
      <c r="X110" s="20">
        <f t="shared" si="26"/>
        <v>0</v>
      </c>
      <c r="Y110" s="20">
        <f t="shared" si="26"/>
        <v>0</v>
      </c>
      <c r="Z110" s="20">
        <f t="shared" si="26"/>
        <v>0</v>
      </c>
      <c r="AA110" s="20">
        <f t="shared" si="26"/>
        <v>0</v>
      </c>
      <c r="AB110" s="20">
        <f t="shared" si="26"/>
        <v>0</v>
      </c>
      <c r="AC110" s="20">
        <f t="shared" si="26"/>
        <v>0</v>
      </c>
    </row>
    <row r="111" spans="1:32" ht="38.25" x14ac:dyDescent="0.2">
      <c r="A111" s="7">
        <v>415</v>
      </c>
      <c r="B111" s="10">
        <v>144</v>
      </c>
      <c r="C111" s="10">
        <v>0</v>
      </c>
      <c r="D111" s="10" t="s">
        <v>600</v>
      </c>
      <c r="E111" s="10" t="s">
        <v>601</v>
      </c>
      <c r="F111" s="10" t="s">
        <v>11</v>
      </c>
      <c r="G111" s="10"/>
      <c r="H111" s="10" t="s">
        <v>414</v>
      </c>
      <c r="I111" s="10" t="s">
        <v>13</v>
      </c>
      <c r="J111" s="10">
        <v>75</v>
      </c>
      <c r="K111" s="11">
        <v>54600.07</v>
      </c>
      <c r="L111" s="11">
        <f>0.75*K111</f>
        <v>40950.052499999998</v>
      </c>
      <c r="M111" s="11">
        <f>+K111-L111</f>
        <v>13650.017500000002</v>
      </c>
      <c r="N111" s="11"/>
      <c r="O111" s="11"/>
      <c r="P111" s="11"/>
      <c r="Q111" s="77">
        <v>18200.03</v>
      </c>
      <c r="R111" s="77">
        <v>18200.02</v>
      </c>
      <c r="S111" s="77">
        <v>18200.02</v>
      </c>
      <c r="T111" s="80"/>
      <c r="U111" s="80"/>
      <c r="V111" s="80"/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1">
        <v>0</v>
      </c>
      <c r="AC111" s="82"/>
    </row>
    <row r="112" spans="1:32" ht="38.25" x14ac:dyDescent="0.2">
      <c r="A112" s="7">
        <v>416</v>
      </c>
      <c r="B112" s="19"/>
      <c r="C112" s="19"/>
      <c r="D112" s="19" t="s">
        <v>602</v>
      </c>
      <c r="E112" s="19" t="s">
        <v>603</v>
      </c>
      <c r="F112" s="19" t="s">
        <v>8</v>
      </c>
      <c r="G112" s="19"/>
      <c r="H112" s="19"/>
      <c r="I112" s="19"/>
      <c r="J112" s="19">
        <v>75</v>
      </c>
      <c r="K112" s="20">
        <f>+K113</f>
        <v>54730.6</v>
      </c>
      <c r="L112" s="20">
        <f t="shared" ref="L112:S112" si="27">+L113</f>
        <v>41047.949999999997</v>
      </c>
      <c r="M112" s="20">
        <f t="shared" si="27"/>
        <v>13682.650000000001</v>
      </c>
      <c r="N112" s="20">
        <f t="shared" si="27"/>
        <v>0</v>
      </c>
      <c r="O112" s="20">
        <f t="shared" si="27"/>
        <v>3988.4112500000001</v>
      </c>
      <c r="P112" s="20">
        <f t="shared" si="27"/>
        <v>10946.12</v>
      </c>
      <c r="Q112" s="20">
        <f t="shared" si="27"/>
        <v>17903.828750000001</v>
      </c>
      <c r="R112" s="20">
        <f t="shared" si="27"/>
        <v>10946.12</v>
      </c>
      <c r="S112" s="20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7">
        <v>417</v>
      </c>
      <c r="B113" s="10">
        <v>145</v>
      </c>
      <c r="C113" s="10">
        <v>116</v>
      </c>
      <c r="D113" s="10" t="s">
        <v>604</v>
      </c>
      <c r="E113" s="10" t="s">
        <v>605</v>
      </c>
      <c r="F113" s="10" t="s">
        <v>11</v>
      </c>
      <c r="G113" s="10" t="s">
        <v>36</v>
      </c>
      <c r="H113" s="10" t="s">
        <v>414</v>
      </c>
      <c r="I113" s="10" t="s">
        <v>18</v>
      </c>
      <c r="J113" s="10">
        <v>75</v>
      </c>
      <c r="K113" s="11">
        <v>54730.6</v>
      </c>
      <c r="L113" s="11">
        <f>0.75*K113</f>
        <v>41047.949999999997</v>
      </c>
      <c r="M113" s="11">
        <f>+K113-L113</f>
        <v>13682.650000000001</v>
      </c>
      <c r="N113" s="11"/>
      <c r="O113" s="11">
        <v>3988.4112500000001</v>
      </c>
      <c r="P113" s="11">
        <v>10946.12</v>
      </c>
      <c r="Q113" s="77">
        <v>17903.828750000001</v>
      </c>
      <c r="R113" s="77">
        <v>10946.12</v>
      </c>
      <c r="S113" s="77">
        <v>10946.12</v>
      </c>
      <c r="T113" s="80"/>
      <c r="U113" s="80"/>
      <c r="V113" s="80"/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1">
        <v>0</v>
      </c>
      <c r="AC113" s="82"/>
    </row>
    <row r="114" spans="1:32" ht="25.5" x14ac:dyDescent="0.2">
      <c r="A114" s="7">
        <v>418</v>
      </c>
      <c r="B114" s="9"/>
      <c r="C114" s="9">
        <v>116</v>
      </c>
      <c r="D114" s="9" t="s">
        <v>606</v>
      </c>
      <c r="E114" s="9" t="s">
        <v>605</v>
      </c>
      <c r="F114" s="9" t="s">
        <v>15</v>
      </c>
      <c r="G114" s="9"/>
      <c r="H114" s="9"/>
      <c r="I114" s="9"/>
      <c r="J114" s="9">
        <v>75</v>
      </c>
      <c r="K114" s="13">
        <v>32838.36</v>
      </c>
      <c r="L114" s="13">
        <v>24628.77</v>
      </c>
      <c r="M114" s="13">
        <v>8209.59</v>
      </c>
      <c r="N114" s="13"/>
      <c r="O114" s="13">
        <f>3710.15*1.075</f>
        <v>3988.4112500000001</v>
      </c>
      <c r="P114" s="13">
        <v>10946.12</v>
      </c>
      <c r="Q114" s="13">
        <f>+K114-O114-P114</f>
        <v>17903.828750000001</v>
      </c>
      <c r="R114" s="13"/>
      <c r="S114" s="13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7">
        <v>419</v>
      </c>
      <c r="B115" s="25"/>
      <c r="C115" s="25"/>
      <c r="D115" s="25" t="s">
        <v>607</v>
      </c>
      <c r="E115" s="25" t="s">
        <v>608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4" t="s">
        <v>753</v>
      </c>
      <c r="AE115" s="57">
        <f>+K115-K116</f>
        <v>0</v>
      </c>
      <c r="AF115" s="57">
        <f>+L115-L116</f>
        <v>0</v>
      </c>
    </row>
    <row r="116" spans="1:32" ht="25.5" x14ac:dyDescent="0.2">
      <c r="A116" s="7">
        <v>419</v>
      </c>
      <c r="B116" s="19"/>
      <c r="C116" s="19"/>
      <c r="D116" s="19" t="s">
        <v>607</v>
      </c>
      <c r="E116" s="19" t="s">
        <v>608</v>
      </c>
      <c r="F116" s="19" t="s">
        <v>5</v>
      </c>
      <c r="G116" s="19"/>
      <c r="H116" s="19"/>
      <c r="I116" s="19"/>
      <c r="J116" s="19"/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7">
        <v>420</v>
      </c>
      <c r="B117" s="19"/>
      <c r="C117" s="19"/>
      <c r="D117" s="19" t="s">
        <v>609</v>
      </c>
      <c r="E117" s="19" t="s">
        <v>83</v>
      </c>
      <c r="F117" s="19" t="s">
        <v>8</v>
      </c>
      <c r="G117" s="19"/>
      <c r="H117" s="19"/>
      <c r="I117" s="19"/>
      <c r="J117" s="19"/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7">
        <v>421</v>
      </c>
      <c r="B118" s="25"/>
      <c r="C118" s="25"/>
      <c r="D118" s="25" t="s">
        <v>610</v>
      </c>
      <c r="E118" s="25" t="s">
        <v>611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7">
        <v>421</v>
      </c>
      <c r="B119" s="19"/>
      <c r="C119" s="19"/>
      <c r="D119" s="19" t="s">
        <v>610</v>
      </c>
      <c r="E119" s="19" t="s">
        <v>611</v>
      </c>
      <c r="F119" s="19" t="s">
        <v>2</v>
      </c>
      <c r="G119" s="19"/>
      <c r="H119" s="19"/>
      <c r="I119" s="19"/>
      <c r="J119" s="19">
        <v>75</v>
      </c>
      <c r="K119" s="20">
        <v>1317605.6599999999</v>
      </c>
      <c r="L119" s="20">
        <v>988204.25</v>
      </c>
      <c r="M119" s="20">
        <v>329401.40999999997</v>
      </c>
      <c r="N119" s="20">
        <v>167106.6</v>
      </c>
      <c r="O119" s="20">
        <v>373087</v>
      </c>
      <c r="P119" s="20">
        <v>155249.4</v>
      </c>
      <c r="Q119" s="20">
        <v>155824</v>
      </c>
      <c r="R119" s="20">
        <v>0</v>
      </c>
      <c r="S119" s="20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20"/>
    </row>
    <row r="120" spans="1:32" hidden="1" x14ac:dyDescent="0.2">
      <c r="A120" s="7">
        <v>422</v>
      </c>
      <c r="B120" s="25"/>
      <c r="C120" s="25"/>
      <c r="D120" s="25" t="s">
        <v>612</v>
      </c>
      <c r="E120" s="25" t="s">
        <v>613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7">
        <v>422</v>
      </c>
      <c r="B121" s="19"/>
      <c r="C121" s="19"/>
      <c r="D121" s="19" t="s">
        <v>612</v>
      </c>
      <c r="E121" s="19" t="s">
        <v>613</v>
      </c>
      <c r="F121" s="19" t="s">
        <v>5</v>
      </c>
      <c r="G121" s="19"/>
      <c r="H121" s="19"/>
      <c r="I121" s="19"/>
      <c r="J121" s="19">
        <v>75</v>
      </c>
      <c r="K121" s="20">
        <v>105413.33</v>
      </c>
      <c r="L121" s="20">
        <v>79060</v>
      </c>
      <c r="M121" s="20">
        <v>26353.33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20"/>
    </row>
    <row r="122" spans="1:32" ht="38.25" hidden="1" x14ac:dyDescent="0.2">
      <c r="A122" s="7">
        <v>423</v>
      </c>
      <c r="B122" s="19"/>
      <c r="C122" s="19"/>
      <c r="D122" s="19" t="s">
        <v>614</v>
      </c>
      <c r="E122" s="19" t="s">
        <v>615</v>
      </c>
      <c r="F122" s="19" t="s">
        <v>8</v>
      </c>
      <c r="G122" s="19"/>
      <c r="H122" s="19"/>
      <c r="I122" s="19"/>
      <c r="J122" s="19">
        <v>75</v>
      </c>
      <c r="K122" s="20">
        <v>105413.33</v>
      </c>
      <c r="L122" s="20">
        <v>79060</v>
      </c>
      <c r="M122" s="20">
        <v>26353.33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20"/>
    </row>
    <row r="123" spans="1:32" ht="38.25" hidden="1" x14ac:dyDescent="0.2">
      <c r="A123" s="7">
        <v>425</v>
      </c>
      <c r="B123" s="19"/>
      <c r="C123" s="19"/>
      <c r="D123" s="19" t="s">
        <v>616</v>
      </c>
      <c r="E123" s="19" t="s">
        <v>617</v>
      </c>
      <c r="F123" s="19" t="s">
        <v>8</v>
      </c>
      <c r="G123" s="19"/>
      <c r="H123" s="19"/>
      <c r="I123" s="19"/>
      <c r="J123" s="19"/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20"/>
    </row>
    <row r="124" spans="1:32" ht="38.25" hidden="1" x14ac:dyDescent="0.2">
      <c r="A124" s="7">
        <v>426</v>
      </c>
      <c r="B124" s="19"/>
      <c r="C124" s="19"/>
      <c r="D124" s="19" t="s">
        <v>618</v>
      </c>
      <c r="E124" s="19" t="s">
        <v>619</v>
      </c>
      <c r="F124" s="19" t="s">
        <v>8</v>
      </c>
      <c r="G124" s="19"/>
      <c r="H124" s="19"/>
      <c r="I124" s="19"/>
      <c r="J124" s="19"/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20"/>
    </row>
    <row r="125" spans="1:32" ht="20.25" hidden="1" customHeight="1" x14ac:dyDescent="0.2">
      <c r="A125" s="7">
        <v>427</v>
      </c>
      <c r="B125" s="25"/>
      <c r="C125" s="25"/>
      <c r="D125" s="25" t="s">
        <v>620</v>
      </c>
      <c r="E125" s="25" t="s">
        <v>621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7">
        <v>427</v>
      </c>
      <c r="B126" s="19"/>
      <c r="C126" s="19"/>
      <c r="D126" s="19" t="s">
        <v>620</v>
      </c>
      <c r="E126" s="19" t="s">
        <v>621</v>
      </c>
      <c r="F126" s="19" t="s">
        <v>5</v>
      </c>
      <c r="G126" s="19"/>
      <c r="H126" s="19"/>
      <c r="I126" s="19"/>
      <c r="J126" s="19"/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20"/>
    </row>
    <row r="127" spans="1:32" hidden="1" x14ac:dyDescent="0.2">
      <c r="A127" s="7">
        <v>428</v>
      </c>
      <c r="B127" s="19"/>
      <c r="C127" s="19"/>
      <c r="D127" s="19" t="s">
        <v>622</v>
      </c>
      <c r="E127" s="19" t="s">
        <v>83</v>
      </c>
      <c r="F127" s="19" t="s">
        <v>8</v>
      </c>
      <c r="G127" s="19"/>
      <c r="H127" s="19"/>
      <c r="I127" s="19"/>
      <c r="J127" s="19"/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20"/>
    </row>
    <row r="128" spans="1:32" ht="16.5" hidden="1" customHeight="1" x14ac:dyDescent="0.2">
      <c r="A128" s="7"/>
      <c r="B128" s="25"/>
      <c r="C128" s="25"/>
      <c r="D128" s="25" t="s">
        <v>623</v>
      </c>
      <c r="E128" s="25" t="s">
        <v>624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7">
        <v>429</v>
      </c>
      <c r="B129" s="19"/>
      <c r="C129" s="19"/>
      <c r="D129" s="19" t="s">
        <v>623</v>
      </c>
      <c r="E129" s="19" t="s">
        <v>624</v>
      </c>
      <c r="F129" s="19" t="s">
        <v>5</v>
      </c>
      <c r="G129" s="19"/>
      <c r="H129" s="19"/>
      <c r="I129" s="19"/>
      <c r="J129" s="19">
        <v>75</v>
      </c>
      <c r="K129" s="20">
        <v>316232</v>
      </c>
      <c r="L129" s="20">
        <v>237174</v>
      </c>
      <c r="M129" s="20">
        <v>79058</v>
      </c>
      <c r="N129" s="20">
        <v>0</v>
      </c>
      <c r="O129" s="20">
        <v>30000</v>
      </c>
      <c r="P129" s="20">
        <v>20000</v>
      </c>
      <c r="Q129" s="20">
        <v>0</v>
      </c>
      <c r="R129" s="20">
        <v>0</v>
      </c>
      <c r="S129" s="20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20"/>
    </row>
    <row r="130" spans="1:29" ht="38.25" hidden="1" x14ac:dyDescent="0.2">
      <c r="A130" s="7">
        <v>430</v>
      </c>
      <c r="B130" s="19"/>
      <c r="C130" s="19"/>
      <c r="D130" s="19" t="s">
        <v>625</v>
      </c>
      <c r="E130" s="19" t="s">
        <v>626</v>
      </c>
      <c r="F130" s="19" t="s">
        <v>8</v>
      </c>
      <c r="G130" s="19"/>
      <c r="H130" s="19"/>
      <c r="I130" s="19"/>
      <c r="J130" s="19">
        <v>75</v>
      </c>
      <c r="K130" s="20">
        <v>50000</v>
      </c>
      <c r="L130" s="20">
        <v>37500</v>
      </c>
      <c r="M130" s="20">
        <v>12500</v>
      </c>
      <c r="N130" s="20">
        <v>0</v>
      </c>
      <c r="O130" s="20">
        <v>11500</v>
      </c>
      <c r="P130" s="20">
        <v>36632</v>
      </c>
      <c r="Q130" s="20">
        <v>1868</v>
      </c>
      <c r="R130" s="20">
        <v>0</v>
      </c>
      <c r="S130" s="20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20"/>
    </row>
    <row r="131" spans="1:29" ht="51" hidden="1" x14ac:dyDescent="0.2">
      <c r="A131" s="7">
        <v>431</v>
      </c>
      <c r="B131" s="10">
        <v>146</v>
      </c>
      <c r="C131" s="10">
        <v>117</v>
      </c>
      <c r="D131" s="10" t="s">
        <v>627</v>
      </c>
      <c r="E131" s="10" t="s">
        <v>628</v>
      </c>
      <c r="F131" s="10" t="s">
        <v>11</v>
      </c>
      <c r="G131" s="10"/>
      <c r="H131" s="10" t="s">
        <v>629</v>
      </c>
      <c r="I131" s="10" t="s">
        <v>18</v>
      </c>
      <c r="J131" s="10">
        <v>75</v>
      </c>
      <c r="K131" s="11">
        <v>50000</v>
      </c>
      <c r="L131" s="11">
        <v>37500</v>
      </c>
      <c r="M131" s="11">
        <v>12500</v>
      </c>
      <c r="N131" s="11"/>
      <c r="O131" s="11">
        <v>11500</v>
      </c>
      <c r="P131" s="11">
        <v>36632</v>
      </c>
      <c r="Q131" s="11">
        <v>1868</v>
      </c>
      <c r="R131" s="11"/>
      <c r="S131" s="11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1"/>
    </row>
    <row r="132" spans="1:29" ht="51" hidden="1" x14ac:dyDescent="0.2">
      <c r="A132" s="7">
        <v>432</v>
      </c>
      <c r="B132" s="9"/>
      <c r="C132" s="9">
        <v>117</v>
      </c>
      <c r="D132" s="9" t="s">
        <v>630</v>
      </c>
      <c r="E132" s="9" t="s">
        <v>631</v>
      </c>
      <c r="F132" s="9" t="s">
        <v>15</v>
      </c>
      <c r="G132" s="9"/>
      <c r="H132" s="9"/>
      <c r="I132" s="9"/>
      <c r="J132" s="9">
        <v>75</v>
      </c>
      <c r="K132" s="13">
        <v>50000</v>
      </c>
      <c r="L132" s="13">
        <v>37500</v>
      </c>
      <c r="M132" s="13">
        <v>12500</v>
      </c>
      <c r="N132" s="13"/>
      <c r="O132" s="13">
        <v>11500</v>
      </c>
      <c r="P132" s="13">
        <v>36632</v>
      </c>
      <c r="Q132" s="13">
        <v>1868</v>
      </c>
      <c r="R132" s="13"/>
      <c r="S132" s="13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3"/>
    </row>
    <row r="133" spans="1:29" ht="51" hidden="1" x14ac:dyDescent="0.2">
      <c r="A133" s="7">
        <v>433</v>
      </c>
      <c r="B133" s="19"/>
      <c r="C133" s="19"/>
      <c r="D133" s="19" t="s">
        <v>632</v>
      </c>
      <c r="E133" s="19" t="s">
        <v>633</v>
      </c>
      <c r="F133" s="19" t="s">
        <v>8</v>
      </c>
      <c r="G133" s="19"/>
      <c r="H133" s="19"/>
      <c r="I133" s="19"/>
      <c r="J133" s="19">
        <v>75</v>
      </c>
      <c r="K133" s="20">
        <v>266232</v>
      </c>
      <c r="L133" s="20">
        <v>199674</v>
      </c>
      <c r="M133" s="20">
        <v>66558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20"/>
    </row>
    <row r="134" spans="1:29" ht="51" hidden="1" x14ac:dyDescent="0.2">
      <c r="A134" s="7">
        <v>435</v>
      </c>
      <c r="B134" s="19"/>
      <c r="C134" s="19"/>
      <c r="D134" s="19" t="s">
        <v>634</v>
      </c>
      <c r="E134" s="19" t="s">
        <v>635</v>
      </c>
      <c r="F134" s="19" t="s">
        <v>8</v>
      </c>
      <c r="G134" s="19"/>
      <c r="H134" s="19"/>
      <c r="I134" s="19"/>
      <c r="J134" s="19"/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20"/>
    </row>
    <row r="135" spans="1:29" ht="51" hidden="1" x14ac:dyDescent="0.2">
      <c r="A135" s="7">
        <v>436</v>
      </c>
      <c r="B135" s="19"/>
      <c r="C135" s="19"/>
      <c r="D135" s="19" t="s">
        <v>636</v>
      </c>
      <c r="E135" s="19" t="s">
        <v>637</v>
      </c>
      <c r="F135" s="19" t="s">
        <v>8</v>
      </c>
      <c r="G135" s="19"/>
      <c r="H135" s="19"/>
      <c r="I135" s="19"/>
      <c r="J135" s="19"/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20"/>
    </row>
    <row r="136" spans="1:29" ht="18.75" hidden="1" customHeight="1" x14ac:dyDescent="0.2">
      <c r="A136" s="7">
        <v>437</v>
      </c>
      <c r="B136" s="25"/>
      <c r="C136" s="25"/>
      <c r="D136" s="25" t="s">
        <v>638</v>
      </c>
      <c r="E136" s="25" t="s">
        <v>639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8">
        <v>437</v>
      </c>
      <c r="B137" s="19"/>
      <c r="C137" s="19"/>
      <c r="D137" s="19" t="s">
        <v>638</v>
      </c>
      <c r="E137" s="19" t="s">
        <v>639</v>
      </c>
      <c r="F137" s="19" t="s">
        <v>5</v>
      </c>
      <c r="G137" s="19"/>
      <c r="H137" s="19"/>
      <c r="I137" s="19"/>
      <c r="J137" s="19">
        <v>75</v>
      </c>
      <c r="K137" s="20">
        <v>65867</v>
      </c>
      <c r="L137" s="20">
        <v>49400.25</v>
      </c>
      <c r="M137" s="20">
        <v>16466.75</v>
      </c>
      <c r="N137" s="20">
        <v>14867</v>
      </c>
      <c r="O137" s="20">
        <v>29000</v>
      </c>
      <c r="P137" s="20">
        <v>22000</v>
      </c>
      <c r="Q137" s="20">
        <v>0</v>
      </c>
      <c r="R137" s="20">
        <v>0</v>
      </c>
      <c r="S137" s="20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2">
        <v>0</v>
      </c>
      <c r="AC137" s="20"/>
    </row>
    <row r="138" spans="1:29" ht="38.25" hidden="1" x14ac:dyDescent="0.2">
      <c r="A138" s="18">
        <v>438</v>
      </c>
      <c r="B138" s="19"/>
      <c r="C138" s="19"/>
      <c r="D138" s="19" t="s">
        <v>640</v>
      </c>
      <c r="E138" s="19" t="s">
        <v>641</v>
      </c>
      <c r="F138" s="19" t="s">
        <v>8</v>
      </c>
      <c r="G138" s="19"/>
      <c r="H138" s="19"/>
      <c r="I138" s="19"/>
      <c r="J138" s="19">
        <v>75</v>
      </c>
      <c r="K138" s="20">
        <v>65867</v>
      </c>
      <c r="L138" s="20">
        <v>49400.25</v>
      </c>
      <c r="M138" s="20">
        <v>16466.75</v>
      </c>
      <c r="N138" s="20">
        <v>14867</v>
      </c>
      <c r="O138" s="20">
        <v>29000</v>
      </c>
      <c r="P138" s="20">
        <v>22000</v>
      </c>
      <c r="Q138" s="20">
        <v>0</v>
      </c>
      <c r="R138" s="20">
        <v>0</v>
      </c>
      <c r="S138" s="20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2">
        <v>0</v>
      </c>
      <c r="AC138" s="20"/>
    </row>
    <row r="139" spans="1:29" ht="38.25" hidden="1" x14ac:dyDescent="0.2">
      <c r="A139" s="7">
        <v>439</v>
      </c>
      <c r="B139" s="10">
        <v>147</v>
      </c>
      <c r="C139" s="10">
        <v>118</v>
      </c>
      <c r="D139" s="10" t="s">
        <v>642</v>
      </c>
      <c r="E139" s="10" t="s">
        <v>643</v>
      </c>
      <c r="F139" s="10" t="s">
        <v>11</v>
      </c>
      <c r="G139" s="10"/>
      <c r="H139" s="10" t="s">
        <v>644</v>
      </c>
      <c r="I139" s="10" t="s">
        <v>18</v>
      </c>
      <c r="J139" s="10">
        <v>75</v>
      </c>
      <c r="K139" s="11">
        <v>65867</v>
      </c>
      <c r="L139" s="11">
        <v>49400.25</v>
      </c>
      <c r="M139" s="11">
        <v>16466.75</v>
      </c>
      <c r="N139" s="11">
        <v>14867</v>
      </c>
      <c r="O139" s="11">
        <v>29000</v>
      </c>
      <c r="P139" s="11">
        <v>22000</v>
      </c>
      <c r="Q139" s="11"/>
      <c r="R139" s="11"/>
      <c r="S139" s="11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1"/>
    </row>
    <row r="140" spans="1:29" ht="51" hidden="1" x14ac:dyDescent="0.2">
      <c r="A140" s="7">
        <v>440</v>
      </c>
      <c r="B140" s="9"/>
      <c r="C140" s="9">
        <v>118</v>
      </c>
      <c r="D140" s="9" t="s">
        <v>645</v>
      </c>
      <c r="E140" s="9" t="s">
        <v>646</v>
      </c>
      <c r="F140" s="9" t="s">
        <v>15</v>
      </c>
      <c r="G140" s="9"/>
      <c r="H140" s="9"/>
      <c r="I140" s="9"/>
      <c r="J140" s="9">
        <v>75</v>
      </c>
      <c r="K140" s="13">
        <v>65867</v>
      </c>
      <c r="L140" s="13">
        <v>49400.25</v>
      </c>
      <c r="M140" s="13">
        <v>16466.75</v>
      </c>
      <c r="N140" s="13">
        <v>14867</v>
      </c>
      <c r="O140" s="13">
        <v>29000</v>
      </c>
      <c r="P140" s="13">
        <v>22000</v>
      </c>
      <c r="Q140" s="13"/>
      <c r="R140" s="13"/>
      <c r="S140" s="13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3"/>
    </row>
    <row r="141" spans="1:29" ht="20.25" hidden="1" customHeight="1" x14ac:dyDescent="0.2">
      <c r="A141" s="7">
        <v>441</v>
      </c>
      <c r="B141" s="25"/>
      <c r="C141" s="25"/>
      <c r="D141" s="25" t="s">
        <v>647</v>
      </c>
      <c r="E141" s="25" t="s">
        <v>648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7">
        <v>441</v>
      </c>
      <c r="B142" s="19"/>
      <c r="C142" s="19"/>
      <c r="D142" s="19" t="s">
        <v>647</v>
      </c>
      <c r="E142" s="19" t="s">
        <v>648</v>
      </c>
      <c r="F142" s="19" t="s">
        <v>5</v>
      </c>
      <c r="G142" s="19"/>
      <c r="H142" s="19"/>
      <c r="I142" s="19"/>
      <c r="J142" s="19">
        <v>75</v>
      </c>
      <c r="K142" s="20">
        <v>423644</v>
      </c>
      <c r="L142" s="20">
        <v>326120</v>
      </c>
      <c r="M142" s="20">
        <v>108706.67</v>
      </c>
      <c r="N142" s="20">
        <v>86639.6</v>
      </c>
      <c r="O142" s="20">
        <v>167931</v>
      </c>
      <c r="P142" s="20">
        <v>28249.4</v>
      </c>
      <c r="Q142" s="20">
        <v>140824</v>
      </c>
      <c r="R142" s="20">
        <v>0</v>
      </c>
      <c r="S142" s="20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20"/>
    </row>
    <row r="143" spans="1:29" ht="38.25" hidden="1" x14ac:dyDescent="0.2">
      <c r="A143" s="7">
        <v>442</v>
      </c>
      <c r="B143" s="19"/>
      <c r="C143" s="19"/>
      <c r="D143" s="19" t="s">
        <v>649</v>
      </c>
      <c r="E143" s="19" t="s">
        <v>650</v>
      </c>
      <c r="F143" s="19" t="s">
        <v>8</v>
      </c>
      <c r="G143" s="19"/>
      <c r="H143" s="19"/>
      <c r="I143" s="19"/>
      <c r="J143" s="19">
        <v>75</v>
      </c>
      <c r="K143" s="20">
        <v>291400</v>
      </c>
      <c r="L143" s="20">
        <v>218550</v>
      </c>
      <c r="M143" s="20">
        <v>72850</v>
      </c>
      <c r="N143" s="20">
        <v>0</v>
      </c>
      <c r="O143" s="20">
        <v>140000</v>
      </c>
      <c r="P143" s="20">
        <v>151400</v>
      </c>
      <c r="Q143" s="20">
        <v>0</v>
      </c>
      <c r="R143" s="20">
        <v>0</v>
      </c>
      <c r="S143" s="20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20"/>
    </row>
    <row r="144" spans="1:29" ht="38.25" hidden="1" x14ac:dyDescent="0.2">
      <c r="A144" s="7">
        <v>443</v>
      </c>
      <c r="B144" s="10">
        <v>148</v>
      </c>
      <c r="C144" s="10">
        <v>119</v>
      </c>
      <c r="D144" s="10" t="s">
        <v>651</v>
      </c>
      <c r="E144" s="10" t="s">
        <v>652</v>
      </c>
      <c r="F144" s="10" t="s">
        <v>11</v>
      </c>
      <c r="G144" s="10"/>
      <c r="H144" s="10" t="s">
        <v>629</v>
      </c>
      <c r="I144" s="10" t="s">
        <v>18</v>
      </c>
      <c r="J144" s="10">
        <v>75</v>
      </c>
      <c r="K144" s="11">
        <v>140000</v>
      </c>
      <c r="L144" s="11">
        <v>105000</v>
      </c>
      <c r="M144" s="11">
        <v>35000</v>
      </c>
      <c r="N144" s="11">
        <v>0</v>
      </c>
      <c r="O144" s="11">
        <v>140000</v>
      </c>
      <c r="P144" s="11"/>
      <c r="Q144" s="11"/>
      <c r="R144" s="11"/>
      <c r="S144" s="11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1"/>
    </row>
    <row r="145" spans="1:29" ht="51" hidden="1" x14ac:dyDescent="0.2">
      <c r="A145" s="7">
        <v>444</v>
      </c>
      <c r="B145" s="9"/>
      <c r="C145" s="9">
        <v>119</v>
      </c>
      <c r="D145" s="9" t="s">
        <v>653</v>
      </c>
      <c r="E145" s="9" t="s">
        <v>654</v>
      </c>
      <c r="F145" s="9" t="s">
        <v>15</v>
      </c>
      <c r="G145" s="9"/>
      <c r="H145" s="9"/>
      <c r="I145" s="9"/>
      <c r="J145" s="9">
        <v>75</v>
      </c>
      <c r="K145" s="13">
        <v>140000</v>
      </c>
      <c r="L145" s="13">
        <v>105000</v>
      </c>
      <c r="M145" s="13">
        <v>35000</v>
      </c>
      <c r="N145" s="13"/>
      <c r="O145" s="13">
        <v>140000</v>
      </c>
      <c r="P145" s="13"/>
      <c r="Q145" s="13"/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3"/>
    </row>
    <row r="146" spans="1:29" ht="38.25" hidden="1" x14ac:dyDescent="0.2">
      <c r="A146" s="7">
        <v>445</v>
      </c>
      <c r="B146" s="10">
        <v>149</v>
      </c>
      <c r="C146" s="10">
        <v>120</v>
      </c>
      <c r="D146" s="10" t="s">
        <v>655</v>
      </c>
      <c r="E146" s="10" t="s">
        <v>656</v>
      </c>
      <c r="F146" s="10" t="s">
        <v>11</v>
      </c>
      <c r="G146" s="10"/>
      <c r="H146" s="10" t="s">
        <v>629</v>
      </c>
      <c r="I146" s="10" t="s">
        <v>18</v>
      </c>
      <c r="J146" s="10">
        <v>75</v>
      </c>
      <c r="K146" s="11">
        <v>151400</v>
      </c>
      <c r="L146" s="11">
        <v>113550</v>
      </c>
      <c r="M146" s="11">
        <v>37850</v>
      </c>
      <c r="N146" s="11"/>
      <c r="O146" s="11"/>
      <c r="P146" s="11">
        <v>151400</v>
      </c>
      <c r="Q146" s="11"/>
      <c r="R146" s="11"/>
      <c r="S146" s="11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1"/>
    </row>
    <row r="147" spans="1:29" ht="38.25" hidden="1" x14ac:dyDescent="0.2">
      <c r="A147" s="7">
        <v>446</v>
      </c>
      <c r="B147" s="9"/>
      <c r="C147" s="9">
        <v>120</v>
      </c>
      <c r="D147" s="9" t="s">
        <v>657</v>
      </c>
      <c r="E147" s="9" t="s">
        <v>658</v>
      </c>
      <c r="F147" s="9" t="s">
        <v>15</v>
      </c>
      <c r="G147" s="9"/>
      <c r="H147" s="9"/>
      <c r="I147" s="9"/>
      <c r="J147" s="9">
        <v>75</v>
      </c>
      <c r="K147" s="13">
        <v>151400</v>
      </c>
      <c r="L147" s="13">
        <v>113550</v>
      </c>
      <c r="M147" s="13">
        <v>37850</v>
      </c>
      <c r="N147" s="13"/>
      <c r="O147" s="13"/>
      <c r="P147" s="13">
        <v>151400</v>
      </c>
      <c r="Q147" s="13"/>
      <c r="R147" s="13"/>
      <c r="S147" s="13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3"/>
    </row>
    <row r="148" spans="1:29" ht="38.25" hidden="1" x14ac:dyDescent="0.2">
      <c r="A148" s="18">
        <v>447</v>
      </c>
      <c r="B148" s="19"/>
      <c r="C148" s="19"/>
      <c r="D148" s="19" t="s">
        <v>659</v>
      </c>
      <c r="E148" s="19" t="s">
        <v>660</v>
      </c>
      <c r="F148" s="19" t="s">
        <v>8</v>
      </c>
      <c r="G148" s="19"/>
      <c r="H148" s="19"/>
      <c r="I148" s="19"/>
      <c r="J148" s="19">
        <v>75</v>
      </c>
      <c r="K148" s="20">
        <v>66320</v>
      </c>
      <c r="L148" s="20">
        <v>49740</v>
      </c>
      <c r="M148" s="20">
        <v>16580</v>
      </c>
      <c r="N148" s="20">
        <v>66320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20"/>
    </row>
    <row r="149" spans="1:29" ht="38.25" hidden="1" x14ac:dyDescent="0.2">
      <c r="A149" s="7">
        <v>448</v>
      </c>
      <c r="B149" s="10">
        <v>150</v>
      </c>
      <c r="C149" s="10">
        <v>121</v>
      </c>
      <c r="D149" s="10" t="s">
        <v>661</v>
      </c>
      <c r="E149" s="10" t="s">
        <v>662</v>
      </c>
      <c r="F149" s="10" t="s">
        <v>11</v>
      </c>
      <c r="G149" s="10"/>
      <c r="H149" s="10" t="s">
        <v>644</v>
      </c>
      <c r="I149" s="10" t="s">
        <v>18</v>
      </c>
      <c r="J149" s="10">
        <v>75</v>
      </c>
      <c r="K149" s="11">
        <v>66320</v>
      </c>
      <c r="L149" s="11">
        <v>49740</v>
      </c>
      <c r="M149" s="11">
        <v>16580</v>
      </c>
      <c r="N149" s="11">
        <v>66320</v>
      </c>
      <c r="O149" s="11"/>
      <c r="P149" s="11"/>
      <c r="Q149" s="11"/>
      <c r="R149" s="11"/>
      <c r="S149" s="11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1"/>
    </row>
    <row r="150" spans="1:29" ht="51" hidden="1" x14ac:dyDescent="0.2">
      <c r="A150" s="7">
        <v>449</v>
      </c>
      <c r="B150" s="23"/>
      <c r="C150" s="23">
        <v>121</v>
      </c>
      <c r="D150" s="23" t="s">
        <v>663</v>
      </c>
      <c r="E150" s="23" t="s">
        <v>664</v>
      </c>
      <c r="F150" s="23" t="s">
        <v>15</v>
      </c>
      <c r="G150" s="23"/>
      <c r="H150" s="23"/>
      <c r="I150" s="23"/>
      <c r="J150" s="23">
        <v>75</v>
      </c>
      <c r="K150" s="24">
        <v>66320</v>
      </c>
      <c r="L150" s="24">
        <v>49740</v>
      </c>
      <c r="M150" s="24">
        <v>16580</v>
      </c>
      <c r="N150" s="24">
        <v>66320</v>
      </c>
      <c r="O150" s="24"/>
      <c r="P150" s="24"/>
      <c r="Q150" s="24"/>
      <c r="R150" s="24"/>
      <c r="S150" s="24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4"/>
    </row>
    <row r="151" spans="1:29" ht="38.25" hidden="1" x14ac:dyDescent="0.2">
      <c r="A151" s="7">
        <v>450</v>
      </c>
      <c r="B151" s="19"/>
      <c r="C151" s="19"/>
      <c r="D151" s="19" t="s">
        <v>665</v>
      </c>
      <c r="E151" s="19" t="s">
        <v>666</v>
      </c>
      <c r="F151" s="19" t="s">
        <v>8</v>
      </c>
      <c r="G151" s="19"/>
      <c r="H151" s="19"/>
      <c r="I151" s="19"/>
      <c r="J151" s="19">
        <v>75</v>
      </c>
      <c r="K151" s="20">
        <v>50000</v>
      </c>
      <c r="L151" s="20">
        <v>37500</v>
      </c>
      <c r="M151" s="20">
        <v>12500</v>
      </c>
      <c r="N151" s="20">
        <v>0</v>
      </c>
      <c r="O151" s="20">
        <v>5000</v>
      </c>
      <c r="P151" s="20">
        <v>20000</v>
      </c>
      <c r="Q151" s="20">
        <v>25000</v>
      </c>
      <c r="R151" s="20">
        <v>0</v>
      </c>
      <c r="S151" s="20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20"/>
    </row>
    <row r="152" spans="1:29" ht="38.25" hidden="1" x14ac:dyDescent="0.2">
      <c r="A152" s="7">
        <v>451</v>
      </c>
      <c r="B152" s="10">
        <v>151</v>
      </c>
      <c r="C152" s="10">
        <v>0</v>
      </c>
      <c r="D152" s="10" t="s">
        <v>667</v>
      </c>
      <c r="E152" s="10" t="s">
        <v>668</v>
      </c>
      <c r="F152" s="10" t="s">
        <v>11</v>
      </c>
      <c r="G152" s="10"/>
      <c r="H152" s="10" t="s">
        <v>629</v>
      </c>
      <c r="I152" s="10" t="s">
        <v>18</v>
      </c>
      <c r="J152" s="10">
        <v>75</v>
      </c>
      <c r="K152" s="11">
        <v>50000</v>
      </c>
      <c r="L152" s="11">
        <v>37500</v>
      </c>
      <c r="M152" s="11">
        <v>12500</v>
      </c>
      <c r="N152" s="11"/>
      <c r="O152" s="11">
        <v>5000</v>
      </c>
      <c r="P152" s="11">
        <v>20000</v>
      </c>
      <c r="Q152" s="11">
        <v>25000</v>
      </c>
      <c r="R152" s="11"/>
      <c r="S152" s="11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1"/>
    </row>
    <row r="153" spans="1:29" ht="51" hidden="1" x14ac:dyDescent="0.2">
      <c r="A153" s="7">
        <v>452</v>
      </c>
      <c r="B153" s="19"/>
      <c r="C153" s="19"/>
      <c r="D153" s="19" t="s">
        <v>669</v>
      </c>
      <c r="E153" s="19" t="s">
        <v>670</v>
      </c>
      <c r="F153" s="19" t="s">
        <v>8</v>
      </c>
      <c r="G153" s="19"/>
      <c r="H153" s="19"/>
      <c r="I153" s="19"/>
      <c r="J153" s="19">
        <v>75</v>
      </c>
      <c r="K153" s="20">
        <v>51500</v>
      </c>
      <c r="L153" s="20">
        <v>38625</v>
      </c>
      <c r="M153" s="20">
        <v>12875</v>
      </c>
      <c r="N153" s="20">
        <v>20319.599999999999</v>
      </c>
      <c r="O153" s="20">
        <v>22931</v>
      </c>
      <c r="P153" s="20">
        <v>8249.4</v>
      </c>
      <c r="Q153" s="20">
        <v>0</v>
      </c>
      <c r="R153" s="20">
        <v>0</v>
      </c>
      <c r="S153" s="20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20"/>
    </row>
    <row r="154" spans="1:29" ht="38.25" hidden="1" x14ac:dyDescent="0.2">
      <c r="A154" s="7">
        <v>453</v>
      </c>
      <c r="B154" s="10">
        <v>152</v>
      </c>
      <c r="C154" s="10">
        <v>122</v>
      </c>
      <c r="D154" s="10" t="s">
        <v>671</v>
      </c>
      <c r="E154" s="10" t="s">
        <v>672</v>
      </c>
      <c r="F154" s="10" t="s">
        <v>11</v>
      </c>
      <c r="G154" s="10"/>
      <c r="H154" s="10" t="s">
        <v>629</v>
      </c>
      <c r="I154" s="10" t="s">
        <v>18</v>
      </c>
      <c r="J154" s="10">
        <v>75</v>
      </c>
      <c r="K154" s="11">
        <v>51500</v>
      </c>
      <c r="L154" s="11">
        <v>38625</v>
      </c>
      <c r="M154" s="11">
        <v>12875</v>
      </c>
      <c r="N154" s="11">
        <v>20319.599999999999</v>
      </c>
      <c r="O154" s="11">
        <v>22931</v>
      </c>
      <c r="P154" s="11">
        <v>8249.4</v>
      </c>
      <c r="Q154" s="11"/>
      <c r="R154" s="11"/>
      <c r="S154" s="11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1"/>
    </row>
    <row r="155" spans="1:29" ht="51" hidden="1" x14ac:dyDescent="0.2">
      <c r="A155" s="7">
        <v>454</v>
      </c>
      <c r="B155" s="9"/>
      <c r="C155" s="9">
        <v>122</v>
      </c>
      <c r="D155" s="9" t="s">
        <v>673</v>
      </c>
      <c r="E155" s="9" t="s">
        <v>674</v>
      </c>
      <c r="F155" s="9" t="s">
        <v>15</v>
      </c>
      <c r="G155" s="9"/>
      <c r="H155" s="9"/>
      <c r="I155" s="9"/>
      <c r="J155" s="9">
        <v>75</v>
      </c>
      <c r="K155" s="13">
        <v>51500</v>
      </c>
      <c r="L155" s="13">
        <v>38625</v>
      </c>
      <c r="M155" s="13">
        <v>12875</v>
      </c>
      <c r="N155" s="13">
        <v>20319.599999999999</v>
      </c>
      <c r="O155" s="13">
        <v>22931</v>
      </c>
      <c r="P155" s="13">
        <v>8249.4</v>
      </c>
      <c r="Q155" s="13"/>
      <c r="R155" s="13"/>
      <c r="S155" s="13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3"/>
    </row>
    <row r="156" spans="1:29" ht="38.25" hidden="1" x14ac:dyDescent="0.2">
      <c r="A156" s="7">
        <v>455</v>
      </c>
      <c r="B156" s="19"/>
      <c r="C156" s="19"/>
      <c r="D156" s="19" t="s">
        <v>675</v>
      </c>
      <c r="E156" s="19" t="s">
        <v>676</v>
      </c>
      <c r="F156" s="19" t="s">
        <v>8</v>
      </c>
      <c r="G156" s="19"/>
      <c r="H156" s="19"/>
      <c r="I156" s="19"/>
      <c r="J156" s="19">
        <v>75</v>
      </c>
      <c r="K156" s="20">
        <v>115824</v>
      </c>
      <c r="L156" s="20">
        <v>86868</v>
      </c>
      <c r="M156" s="20">
        <v>28956</v>
      </c>
      <c r="N156" s="20">
        <v>0</v>
      </c>
      <c r="O156" s="20">
        <v>0</v>
      </c>
      <c r="P156" s="20">
        <v>0</v>
      </c>
      <c r="Q156" s="20">
        <v>115824</v>
      </c>
      <c r="R156" s="20">
        <v>0</v>
      </c>
      <c r="S156" s="20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20"/>
    </row>
    <row r="157" spans="1:29" ht="51" hidden="1" x14ac:dyDescent="0.2">
      <c r="A157" s="7">
        <v>457</v>
      </c>
      <c r="B157" s="19"/>
      <c r="C157" s="19"/>
      <c r="D157" s="19" t="s">
        <v>677</v>
      </c>
      <c r="E157" s="19" t="s">
        <v>678</v>
      </c>
      <c r="F157" s="19" t="s">
        <v>8</v>
      </c>
      <c r="G157" s="19"/>
      <c r="H157" s="19"/>
      <c r="I157" s="19"/>
      <c r="J157" s="19"/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20"/>
    </row>
    <row r="158" spans="1:29" ht="36.75" hidden="1" customHeight="1" x14ac:dyDescent="0.2">
      <c r="A158" s="7">
        <v>458</v>
      </c>
      <c r="B158" s="25"/>
      <c r="C158" s="25"/>
      <c r="D158" s="25" t="s">
        <v>679</v>
      </c>
      <c r="E158" s="25" t="s">
        <v>680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7">
        <v>458</v>
      </c>
      <c r="B159" s="19"/>
      <c r="C159" s="19"/>
      <c r="D159" s="19" t="s">
        <v>679</v>
      </c>
      <c r="E159" s="19" t="s">
        <v>680</v>
      </c>
      <c r="F159" s="19" t="s">
        <v>5</v>
      </c>
      <c r="G159" s="19"/>
      <c r="H159" s="19"/>
      <c r="I159" s="19"/>
      <c r="J159" s="19">
        <v>75</v>
      </c>
      <c r="K159" s="20">
        <v>241756</v>
      </c>
      <c r="L159" s="20">
        <v>172930</v>
      </c>
      <c r="M159" s="20">
        <v>57643.33</v>
      </c>
      <c r="N159" s="20">
        <v>65600</v>
      </c>
      <c r="O159" s="20">
        <v>121156</v>
      </c>
      <c r="P159" s="20">
        <v>55000</v>
      </c>
      <c r="Q159" s="20">
        <v>0</v>
      </c>
      <c r="R159" s="20">
        <v>0</v>
      </c>
      <c r="S159" s="20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20"/>
    </row>
    <row r="160" spans="1:29" ht="51" hidden="1" x14ac:dyDescent="0.2">
      <c r="A160" s="7">
        <v>459</v>
      </c>
      <c r="B160" s="19"/>
      <c r="C160" s="19"/>
      <c r="D160" s="19" t="s">
        <v>681</v>
      </c>
      <c r="E160" s="19" t="s">
        <v>682</v>
      </c>
      <c r="F160" s="19" t="s">
        <v>8</v>
      </c>
      <c r="G160" s="19"/>
      <c r="H160" s="19"/>
      <c r="I160" s="19"/>
      <c r="J160" s="19">
        <v>75</v>
      </c>
      <c r="K160" s="20">
        <v>185600</v>
      </c>
      <c r="L160" s="20">
        <v>139200</v>
      </c>
      <c r="M160" s="20">
        <v>46400</v>
      </c>
      <c r="N160" s="20">
        <v>65600</v>
      </c>
      <c r="O160" s="20">
        <v>65000</v>
      </c>
      <c r="P160" s="20">
        <v>55000</v>
      </c>
      <c r="Q160" s="20">
        <v>0</v>
      </c>
      <c r="R160" s="20">
        <v>0</v>
      </c>
      <c r="S160" s="20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20"/>
    </row>
    <row r="161" spans="1:29" ht="25.5" hidden="1" x14ac:dyDescent="0.2">
      <c r="A161" s="7">
        <v>460</v>
      </c>
      <c r="B161" s="10">
        <v>153</v>
      </c>
      <c r="C161" s="10">
        <v>123</v>
      </c>
      <c r="D161" s="10" t="s">
        <v>683</v>
      </c>
      <c r="E161" s="10" t="s">
        <v>684</v>
      </c>
      <c r="F161" s="10" t="s">
        <v>11</v>
      </c>
      <c r="G161" s="10"/>
      <c r="H161" s="10" t="s">
        <v>629</v>
      </c>
      <c r="I161" s="10" t="s">
        <v>18</v>
      </c>
      <c r="J161" s="10">
        <v>75</v>
      </c>
      <c r="K161" s="11">
        <v>65600</v>
      </c>
      <c r="L161" s="11">
        <v>49200</v>
      </c>
      <c r="M161" s="11">
        <v>16400</v>
      </c>
      <c r="N161" s="11">
        <v>65600</v>
      </c>
      <c r="O161" s="11"/>
      <c r="P161" s="11"/>
      <c r="Q161" s="11"/>
      <c r="R161" s="11"/>
      <c r="S161" s="11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1"/>
    </row>
    <row r="162" spans="1:29" ht="38.25" hidden="1" x14ac:dyDescent="0.2">
      <c r="A162" s="7">
        <v>461</v>
      </c>
      <c r="B162" s="23"/>
      <c r="C162" s="23">
        <v>123</v>
      </c>
      <c r="D162" s="23" t="s">
        <v>685</v>
      </c>
      <c r="E162" s="23" t="s">
        <v>686</v>
      </c>
      <c r="F162" s="23" t="s">
        <v>15</v>
      </c>
      <c r="G162" s="23"/>
      <c r="H162" s="23"/>
      <c r="I162" s="23"/>
      <c r="J162" s="23">
        <v>75</v>
      </c>
      <c r="K162" s="24">
        <v>65600</v>
      </c>
      <c r="L162" s="24">
        <v>49200</v>
      </c>
      <c r="M162" s="24">
        <v>16400</v>
      </c>
      <c r="N162" s="24">
        <v>65600</v>
      </c>
      <c r="O162" s="24"/>
      <c r="P162" s="24"/>
      <c r="Q162" s="24"/>
      <c r="R162" s="24"/>
      <c r="S162" s="24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4"/>
    </row>
    <row r="163" spans="1:29" ht="38.25" hidden="1" x14ac:dyDescent="0.2">
      <c r="A163" s="7">
        <v>462</v>
      </c>
      <c r="B163" s="10">
        <v>154</v>
      </c>
      <c r="C163" s="10">
        <v>0</v>
      </c>
      <c r="D163" s="10" t="s">
        <v>687</v>
      </c>
      <c r="E163" s="10" t="s">
        <v>688</v>
      </c>
      <c r="F163" s="10" t="s">
        <v>11</v>
      </c>
      <c r="G163" s="10"/>
      <c r="H163" s="10" t="s">
        <v>629</v>
      </c>
      <c r="I163" s="10" t="s">
        <v>18</v>
      </c>
      <c r="J163" s="10">
        <v>75</v>
      </c>
      <c r="K163" s="11">
        <v>120000</v>
      </c>
      <c r="L163" s="11">
        <v>90000</v>
      </c>
      <c r="M163" s="11">
        <v>30000</v>
      </c>
      <c r="N163" s="11"/>
      <c r="O163" s="11">
        <v>65000</v>
      </c>
      <c r="P163" s="11">
        <v>55000</v>
      </c>
      <c r="Q163" s="11"/>
      <c r="R163" s="11"/>
      <c r="S163" s="11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1"/>
    </row>
    <row r="164" spans="1:29" ht="51" hidden="1" x14ac:dyDescent="0.2">
      <c r="A164" s="7">
        <v>463</v>
      </c>
      <c r="B164" s="19"/>
      <c r="C164" s="19"/>
      <c r="D164" s="19" t="s">
        <v>689</v>
      </c>
      <c r="E164" s="19" t="s">
        <v>690</v>
      </c>
      <c r="F164" s="19" t="s">
        <v>8</v>
      </c>
      <c r="G164" s="19"/>
      <c r="H164" s="19"/>
      <c r="I164" s="19"/>
      <c r="J164" s="19">
        <v>75</v>
      </c>
      <c r="K164" s="20">
        <v>56156</v>
      </c>
      <c r="L164" s="20">
        <v>42117</v>
      </c>
      <c r="M164" s="20">
        <v>14039</v>
      </c>
      <c r="N164" s="20">
        <v>0</v>
      </c>
      <c r="O164" s="20">
        <v>56156</v>
      </c>
      <c r="P164" s="20">
        <v>0</v>
      </c>
      <c r="Q164" s="20">
        <v>0</v>
      </c>
      <c r="R164" s="20">
        <v>0</v>
      </c>
      <c r="S164" s="20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20"/>
    </row>
    <row r="165" spans="1:29" ht="51" hidden="1" x14ac:dyDescent="0.2">
      <c r="A165" s="7">
        <v>464</v>
      </c>
      <c r="B165" s="10">
        <v>155</v>
      </c>
      <c r="C165" s="10">
        <v>124</v>
      </c>
      <c r="D165" s="10" t="s">
        <v>691</v>
      </c>
      <c r="E165" s="10" t="s">
        <v>692</v>
      </c>
      <c r="F165" s="10" t="s">
        <v>11</v>
      </c>
      <c r="G165" s="10"/>
      <c r="H165" s="10" t="s">
        <v>644</v>
      </c>
      <c r="I165" s="10" t="s">
        <v>18</v>
      </c>
      <c r="J165" s="10">
        <v>75</v>
      </c>
      <c r="K165" s="11">
        <v>56156</v>
      </c>
      <c r="L165" s="11">
        <v>42117</v>
      </c>
      <c r="M165" s="11">
        <v>14039</v>
      </c>
      <c r="N165" s="11"/>
      <c r="O165" s="11">
        <v>56156</v>
      </c>
      <c r="P165" s="11"/>
      <c r="Q165" s="11"/>
      <c r="R165" s="11"/>
      <c r="S165" s="11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1"/>
    </row>
    <row r="166" spans="1:29" ht="51" hidden="1" x14ac:dyDescent="0.2">
      <c r="A166" s="7">
        <v>465</v>
      </c>
      <c r="B166" s="23"/>
      <c r="C166" s="23">
        <v>124</v>
      </c>
      <c r="D166" s="23" t="s">
        <v>693</v>
      </c>
      <c r="E166" s="23" t="s">
        <v>694</v>
      </c>
      <c r="F166" s="23" t="s">
        <v>15</v>
      </c>
      <c r="G166" s="23"/>
      <c r="H166" s="23"/>
      <c r="I166" s="23"/>
      <c r="J166" s="23">
        <v>75</v>
      </c>
      <c r="K166" s="24">
        <v>56156</v>
      </c>
      <c r="L166" s="24">
        <v>42117</v>
      </c>
      <c r="M166" s="24">
        <v>14039</v>
      </c>
      <c r="N166" s="24"/>
      <c r="O166" s="24">
        <v>56156</v>
      </c>
      <c r="P166" s="24"/>
      <c r="Q166" s="24"/>
      <c r="R166" s="24"/>
      <c r="S166" s="24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4"/>
    </row>
    <row r="167" spans="1:29" ht="25.5" hidden="1" x14ac:dyDescent="0.2">
      <c r="A167" s="7">
        <v>466</v>
      </c>
      <c r="B167" s="25"/>
      <c r="C167" s="25"/>
      <c r="D167" s="25" t="s">
        <v>695</v>
      </c>
      <c r="E167" s="25" t="s">
        <v>696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7">
        <v>466</v>
      </c>
      <c r="B168" s="19"/>
      <c r="C168" s="19"/>
      <c r="D168" s="19" t="s">
        <v>695</v>
      </c>
      <c r="E168" s="19" t="s">
        <v>696</v>
      </c>
      <c r="F168" s="19" t="s">
        <v>5</v>
      </c>
      <c r="G168" s="19"/>
      <c r="H168" s="19"/>
      <c r="I168" s="19"/>
      <c r="J168" s="19">
        <v>75</v>
      </c>
      <c r="K168" s="20">
        <v>164693.32999999999</v>
      </c>
      <c r="L168" s="20">
        <v>123520</v>
      </c>
      <c r="M168" s="20">
        <v>41173.33</v>
      </c>
      <c r="N168" s="20">
        <v>0</v>
      </c>
      <c r="O168" s="20">
        <v>25000</v>
      </c>
      <c r="P168" s="20">
        <v>30000</v>
      </c>
      <c r="Q168" s="20">
        <v>15000</v>
      </c>
      <c r="R168" s="20">
        <v>0</v>
      </c>
      <c r="S168" s="20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20"/>
    </row>
    <row r="169" spans="1:29" ht="51" hidden="1" x14ac:dyDescent="0.2">
      <c r="A169" s="7">
        <v>467</v>
      </c>
      <c r="B169" s="19"/>
      <c r="C169" s="19"/>
      <c r="D169" s="19" t="s">
        <v>697</v>
      </c>
      <c r="E169" s="19" t="s">
        <v>698</v>
      </c>
      <c r="F169" s="19" t="s">
        <v>8</v>
      </c>
      <c r="G169" s="19"/>
      <c r="H169" s="19"/>
      <c r="I169" s="19"/>
      <c r="J169" s="19">
        <v>75</v>
      </c>
      <c r="K169" s="20">
        <v>94693.33</v>
      </c>
      <c r="L169" s="20">
        <v>71020</v>
      </c>
      <c r="M169" s="20">
        <v>23673.33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20"/>
    </row>
    <row r="170" spans="1:29" hidden="1" x14ac:dyDescent="0.2">
      <c r="A170" s="7">
        <v>468</v>
      </c>
      <c r="B170" s="10">
        <v>156</v>
      </c>
      <c r="C170" s="10">
        <v>0</v>
      </c>
      <c r="D170" s="10" t="s">
        <v>699</v>
      </c>
      <c r="E170" s="10" t="s">
        <v>700</v>
      </c>
      <c r="F170" s="10" t="s">
        <v>11</v>
      </c>
      <c r="G170" s="10"/>
      <c r="H170" s="10" t="s">
        <v>65</v>
      </c>
      <c r="I170" s="10" t="s">
        <v>18</v>
      </c>
      <c r="J170" s="10">
        <v>75</v>
      </c>
      <c r="K170" s="11">
        <v>94693.33</v>
      </c>
      <c r="L170" s="11">
        <v>71020</v>
      </c>
      <c r="M170" s="11">
        <v>23673.33</v>
      </c>
      <c r="N170" s="11"/>
      <c r="O170" s="11"/>
      <c r="P170" s="11"/>
      <c r="Q170" s="11"/>
      <c r="R170" s="11"/>
      <c r="S170" s="11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1"/>
    </row>
    <row r="171" spans="1:29" ht="38.25" hidden="1" x14ac:dyDescent="0.2">
      <c r="A171" s="7">
        <v>469</v>
      </c>
      <c r="B171" s="19"/>
      <c r="C171" s="19"/>
      <c r="D171" s="19" t="s">
        <v>701</v>
      </c>
      <c r="E171" s="19" t="s">
        <v>702</v>
      </c>
      <c r="F171" s="19" t="s">
        <v>8</v>
      </c>
      <c r="G171" s="19"/>
      <c r="H171" s="19"/>
      <c r="I171" s="19"/>
      <c r="J171" s="19">
        <v>75</v>
      </c>
      <c r="K171" s="20">
        <v>70000</v>
      </c>
      <c r="L171" s="20">
        <v>52500</v>
      </c>
      <c r="M171" s="20">
        <v>17500</v>
      </c>
      <c r="N171" s="20">
        <v>0</v>
      </c>
      <c r="O171" s="20">
        <v>25000</v>
      </c>
      <c r="P171" s="20">
        <v>30000</v>
      </c>
      <c r="Q171" s="20">
        <v>15000</v>
      </c>
      <c r="R171" s="20">
        <v>0</v>
      </c>
      <c r="S171" s="20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20"/>
    </row>
    <row r="172" spans="1:29" ht="25.5" hidden="1" x14ac:dyDescent="0.2">
      <c r="A172" s="7">
        <v>470</v>
      </c>
      <c r="B172" s="10">
        <v>157</v>
      </c>
      <c r="C172" s="10">
        <v>0</v>
      </c>
      <c r="D172" s="10" t="s">
        <v>703</v>
      </c>
      <c r="E172" s="10" t="s">
        <v>704</v>
      </c>
      <c r="F172" s="10" t="s">
        <v>11</v>
      </c>
      <c r="G172" s="10"/>
      <c r="H172" s="10" t="s">
        <v>629</v>
      </c>
      <c r="I172" s="10" t="s">
        <v>18</v>
      </c>
      <c r="J172" s="10">
        <v>75</v>
      </c>
      <c r="K172" s="11">
        <v>70000</v>
      </c>
      <c r="L172" s="11">
        <v>52500</v>
      </c>
      <c r="M172" s="11">
        <v>17500</v>
      </c>
      <c r="N172" s="11"/>
      <c r="O172" s="11">
        <v>25000</v>
      </c>
      <c r="P172" s="11">
        <v>30000</v>
      </c>
      <c r="Q172" s="11">
        <v>15000</v>
      </c>
      <c r="R172" s="11"/>
      <c r="S172" s="11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1"/>
    </row>
    <row r="173" spans="1:29" ht="38.25" hidden="1" x14ac:dyDescent="0.2">
      <c r="A173" s="7">
        <v>471</v>
      </c>
      <c r="B173" s="19"/>
      <c r="C173" s="19"/>
      <c r="D173" s="19" t="s">
        <v>705</v>
      </c>
      <c r="E173" s="19" t="s">
        <v>706</v>
      </c>
      <c r="F173" s="19" t="s">
        <v>8</v>
      </c>
      <c r="G173" s="19"/>
      <c r="H173" s="19"/>
      <c r="I173" s="19"/>
      <c r="J173" s="19"/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20"/>
    </row>
    <row r="174" spans="1:29" ht="51" hidden="1" x14ac:dyDescent="0.2">
      <c r="A174" s="7">
        <v>472</v>
      </c>
      <c r="B174" s="19"/>
      <c r="C174" s="19"/>
      <c r="D174" s="19" t="s">
        <v>707</v>
      </c>
      <c r="E174" s="19" t="s">
        <v>708</v>
      </c>
      <c r="F174" s="19" t="s">
        <v>8</v>
      </c>
      <c r="G174" s="19"/>
      <c r="H174" s="19"/>
      <c r="I174" s="19"/>
      <c r="J174" s="19"/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20"/>
    </row>
    <row r="175" spans="1:29" hidden="1" x14ac:dyDescent="0.2"/>
    <row r="176" spans="1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AMIF MNZ</vt:lpstr>
      <vt:lpstr>AMIF POLICIJA</vt:lpstr>
      <vt:lpstr>ISF MEJE</vt:lpstr>
      <vt:lpstr>ISFP</vt:lpstr>
      <vt:lpstr>'ISF MEJE'!Področje_tiskanja</vt:lpstr>
      <vt:lpstr>'ISF MEJE'!Tiskanje_naslovov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2020-06-23T08:33:13Z</cp:lastPrinted>
  <dcterms:created xsi:type="dcterms:W3CDTF">2017-02-15T08:56:09Z</dcterms:created>
  <dcterms:modified xsi:type="dcterms:W3CDTF">2023-04-24T08:05:13Z</dcterms:modified>
</cp:coreProperties>
</file>