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120" windowWidth="20250" windowHeight="12570" firstSheet="4" activeTab="4"/>
  </bookViews>
  <sheets>
    <sheet name="AMIF MNZ" sheetId="3" state="hidden" r:id="rId1"/>
    <sheet name="ISF MEJE" sheetId="5" state="hidden" r:id="rId2"/>
    <sheet name="ISFP" sheetId="1" state="hidden" r:id="rId3"/>
    <sheet name="List1" sheetId="6" state="hidden" r:id="rId4"/>
    <sheet name="AN" sheetId="8" r:id="rId5"/>
  </sheets>
  <definedNames>
    <definedName name="_xlnm._FilterDatabase" localSheetId="4" hidden="1">AN!$A$3:$Q$102</definedName>
    <definedName name="_xlnm.Print_Area" localSheetId="4">AN!$A$1:$Q$102</definedName>
    <definedName name="_xlnm.Print_Titles" localSheetId="4">AN!$3:$3</definedName>
  </definedNames>
  <calcPr calcId="162913"/>
</workbook>
</file>

<file path=xl/calcChain.xml><?xml version="1.0" encoding="utf-8"?>
<calcChain xmlns="http://schemas.openxmlformats.org/spreadsheetml/2006/main">
  <c r="Q101" i="8" l="1"/>
  <c r="I13" i="8"/>
  <c r="Q86" i="8"/>
  <c r="Q85" i="8" s="1"/>
  <c r="Q84" i="8" s="1"/>
  <c r="P86" i="8"/>
  <c r="P85" i="8"/>
  <c r="M14" i="8"/>
  <c r="Q19" i="8"/>
  <c r="H23" i="8"/>
  <c r="I23" i="8" s="1"/>
  <c r="I39" i="8"/>
  <c r="J39" i="8" s="1"/>
  <c r="O69" i="8"/>
  <c r="H69" i="8"/>
  <c r="O50" i="8"/>
  <c r="O49" i="8"/>
  <c r="H49" i="8"/>
  <c r="O44" i="8"/>
  <c r="O43" i="8" s="1"/>
  <c r="O42" i="8" s="1"/>
  <c r="O33" i="8"/>
  <c r="O29" i="8" s="1"/>
  <c r="O19" i="8"/>
  <c r="O12" i="8"/>
  <c r="O10" i="8"/>
  <c r="P62" i="8"/>
  <c r="O88" i="8"/>
  <c r="O87" i="8" s="1"/>
  <c r="O83" i="8"/>
  <c r="H83" i="8"/>
  <c r="O81" i="8"/>
  <c r="O79" i="8"/>
  <c r="H79" i="8"/>
  <c r="O78" i="8"/>
  <c r="H78" i="8" s="1"/>
  <c r="I78" i="8" s="1"/>
  <c r="O77" i="8"/>
  <c r="Q43" i="8"/>
  <c r="P43" i="8"/>
  <c r="N43" i="8"/>
  <c r="M43" i="8"/>
  <c r="L43" i="8"/>
  <c r="L42" i="8" s="1"/>
  <c r="K43" i="8"/>
  <c r="M27" i="8"/>
  <c r="M26" i="8" s="1"/>
  <c r="L27" i="8"/>
  <c r="H14" i="8"/>
  <c r="I14" i="8" s="1"/>
  <c r="M13" i="8"/>
  <c r="H13" i="8" s="1"/>
  <c r="N12" i="8"/>
  <c r="L12" i="8"/>
  <c r="P76" i="8"/>
  <c r="K48" i="8"/>
  <c r="L48" i="8"/>
  <c r="L47" i="8" s="1"/>
  <c r="M48" i="8"/>
  <c r="N48" i="8"/>
  <c r="O48" i="8"/>
  <c r="P48" i="8"/>
  <c r="Q48" i="8"/>
  <c r="K52" i="8"/>
  <c r="L52" i="8"/>
  <c r="M52" i="8"/>
  <c r="N52" i="8"/>
  <c r="O52" i="8"/>
  <c r="P52" i="8"/>
  <c r="K24" i="8"/>
  <c r="L24" i="8"/>
  <c r="M24" i="8"/>
  <c r="N24" i="8"/>
  <c r="O24" i="8"/>
  <c r="P24" i="8"/>
  <c r="Q24" i="8"/>
  <c r="Q7" i="8" s="1"/>
  <c r="Q6" i="8" s="1"/>
  <c r="H25" i="8"/>
  <c r="H24" i="8"/>
  <c r="K26" i="8"/>
  <c r="N26" i="8"/>
  <c r="O26" i="8"/>
  <c r="P26" i="8"/>
  <c r="Q26" i="8"/>
  <c r="H28" i="8"/>
  <c r="I28" i="8" s="1"/>
  <c r="J28" i="8" s="1"/>
  <c r="K29" i="8"/>
  <c r="L29" i="8"/>
  <c r="Q29" i="8"/>
  <c r="M31" i="8"/>
  <c r="M29" i="8" s="1"/>
  <c r="H32" i="8"/>
  <c r="I32" i="8" s="1"/>
  <c r="N33" i="8"/>
  <c r="N29" i="8" s="1"/>
  <c r="P29" i="8"/>
  <c r="H34" i="8"/>
  <c r="I34" i="8"/>
  <c r="J34" i="8" s="1"/>
  <c r="K35" i="8"/>
  <c r="L35" i="8"/>
  <c r="N35" i="8"/>
  <c r="O35" i="8"/>
  <c r="P35" i="8"/>
  <c r="Q35" i="8"/>
  <c r="K8" i="8"/>
  <c r="P8" i="8"/>
  <c r="Q8" i="8"/>
  <c r="H101" i="8"/>
  <c r="I101" i="8" s="1"/>
  <c r="H97" i="8"/>
  <c r="H95" i="8"/>
  <c r="H94" i="8" s="1"/>
  <c r="I94" i="8"/>
  <c r="H73" i="8"/>
  <c r="H72" i="8" s="1"/>
  <c r="H67" i="8"/>
  <c r="H66" i="8"/>
  <c r="J66" i="8" s="1"/>
  <c r="I66" i="8"/>
  <c r="H57" i="8"/>
  <c r="I57" i="8" s="1"/>
  <c r="H56" i="8"/>
  <c r="H53" i="8"/>
  <c r="H51" i="8"/>
  <c r="H46" i="8"/>
  <c r="I46" i="8" s="1"/>
  <c r="H40" i="8"/>
  <c r="J40" i="8" s="1"/>
  <c r="I40" i="8"/>
  <c r="H37" i="8"/>
  <c r="I37" i="8"/>
  <c r="H22" i="8"/>
  <c r="I22" i="8" s="1"/>
  <c r="H21" i="8"/>
  <c r="I21" i="8" s="1"/>
  <c r="J21" i="8" s="1"/>
  <c r="H20" i="8"/>
  <c r="I20" i="8" s="1"/>
  <c r="J20" i="8" s="1"/>
  <c r="H18" i="8"/>
  <c r="H17" i="8"/>
  <c r="I17" i="8" s="1"/>
  <c r="H15" i="8"/>
  <c r="I15" i="8" s="1"/>
  <c r="Q102" i="8"/>
  <c r="H102" i="8" s="1"/>
  <c r="Q100" i="8"/>
  <c r="Q99" i="8" s="1"/>
  <c r="Q98" i="8" s="1"/>
  <c r="Q96" i="8"/>
  <c r="Q94" i="8"/>
  <c r="Q90" i="8"/>
  <c r="Q89" i="8" s="1"/>
  <c r="Q87" i="8"/>
  <c r="Q82" i="8"/>
  <c r="Q71" i="8" s="1"/>
  <c r="Q70" i="8" s="1"/>
  <c r="Q80" i="8"/>
  <c r="Q76" i="8"/>
  <c r="Q74" i="8"/>
  <c r="Q72" i="8"/>
  <c r="Q68" i="8"/>
  <c r="Q64" i="8"/>
  <c r="Q61" i="8" s="1"/>
  <c r="Q62" i="8"/>
  <c r="Q59" i="8"/>
  <c r="Q45" i="8"/>
  <c r="Q38" i="8"/>
  <c r="H91" i="8"/>
  <c r="I91" i="8" s="1"/>
  <c r="N80" i="8"/>
  <c r="H77" i="8"/>
  <c r="H50" i="8"/>
  <c r="I50" i="8"/>
  <c r="N19" i="8"/>
  <c r="M11" i="8"/>
  <c r="H11" i="8"/>
  <c r="I11" i="8" s="1"/>
  <c r="P102" i="8"/>
  <c r="P100" i="8" s="1"/>
  <c r="P99" i="8" s="1"/>
  <c r="P98" i="8" s="1"/>
  <c r="O102" i="8"/>
  <c r="O100" i="8" s="1"/>
  <c r="O99" i="8" s="1"/>
  <c r="O98" i="8" s="1"/>
  <c r="O96" i="8"/>
  <c r="O94" i="8"/>
  <c r="O90" i="8"/>
  <c r="O89" i="8" s="1"/>
  <c r="O85" i="8"/>
  <c r="O84" i="8" s="1"/>
  <c r="O74" i="8"/>
  <c r="O72" i="8"/>
  <c r="O68" i="8"/>
  <c r="O64" i="8"/>
  <c r="O45" i="8"/>
  <c r="O38" i="8"/>
  <c r="L87" i="8"/>
  <c r="M80" i="8"/>
  <c r="L80" i="8"/>
  <c r="M76" i="8"/>
  <c r="M100" i="8"/>
  <c r="M99" i="8" s="1"/>
  <c r="M98" i="8" s="1"/>
  <c r="K59" i="8"/>
  <c r="L59" i="8"/>
  <c r="M59" i="8"/>
  <c r="N59" i="8"/>
  <c r="N47" i="8" s="1"/>
  <c r="O59" i="8"/>
  <c r="O47" i="8" s="1"/>
  <c r="P45" i="8"/>
  <c r="P42" i="8" s="1"/>
  <c r="M45" i="8"/>
  <c r="M42" i="8" s="1"/>
  <c r="N100" i="8"/>
  <c r="N99" i="8" s="1"/>
  <c r="N98" i="8"/>
  <c r="L100" i="8"/>
  <c r="L99" i="8" s="1"/>
  <c r="L98" i="8" s="1"/>
  <c r="K100" i="8"/>
  <c r="K99" i="8" s="1"/>
  <c r="K98" i="8" s="1"/>
  <c r="J100" i="8"/>
  <c r="J99" i="8" s="1"/>
  <c r="J98" i="8" s="1"/>
  <c r="P96" i="8"/>
  <c r="N96" i="8"/>
  <c r="M96" i="8"/>
  <c r="L96" i="8"/>
  <c r="K96" i="8"/>
  <c r="I96" i="8"/>
  <c r="P94" i="8"/>
  <c r="P93" i="8" s="1"/>
  <c r="P92" i="8" s="1"/>
  <c r="N94" i="8"/>
  <c r="M94" i="8"/>
  <c r="L94" i="8"/>
  <c r="L93" i="8" s="1"/>
  <c r="L92" i="8" s="1"/>
  <c r="K94" i="8"/>
  <c r="K93" i="8" s="1"/>
  <c r="K92" i="8" s="1"/>
  <c r="P90" i="8"/>
  <c r="P89" i="8" s="1"/>
  <c r="M90" i="8"/>
  <c r="M89" i="8" s="1"/>
  <c r="L90" i="8"/>
  <c r="L89" i="8"/>
  <c r="K90" i="8"/>
  <c r="K89" i="8" s="1"/>
  <c r="P87" i="8"/>
  <c r="N87" i="8"/>
  <c r="M85" i="8"/>
  <c r="L85" i="8"/>
  <c r="K85" i="8"/>
  <c r="K84" i="8" s="1"/>
  <c r="P82" i="8"/>
  <c r="M82" i="8"/>
  <c r="L82" i="8"/>
  <c r="K82" i="8"/>
  <c r="P80" i="8"/>
  <c r="L76" i="8"/>
  <c r="L71" i="8" s="1"/>
  <c r="L70" i="8" s="1"/>
  <c r="K76" i="8"/>
  <c r="K71" i="8" s="1"/>
  <c r="K70" i="8" s="1"/>
  <c r="N74" i="8"/>
  <c r="M74" i="8"/>
  <c r="L74" i="8"/>
  <c r="K74" i="8"/>
  <c r="P72" i="8"/>
  <c r="N72" i="8"/>
  <c r="M72" i="8"/>
  <c r="L72" i="8"/>
  <c r="K72" i="8"/>
  <c r="P68" i="8"/>
  <c r="N68" i="8"/>
  <c r="M68" i="8"/>
  <c r="L68" i="8"/>
  <c r="K68" i="8"/>
  <c r="M65" i="8"/>
  <c r="P64" i="8"/>
  <c r="P61" i="8" s="1"/>
  <c r="N64" i="8"/>
  <c r="N61" i="8" s="1"/>
  <c r="L64" i="8"/>
  <c r="K64" i="8"/>
  <c r="N62" i="8"/>
  <c r="M62" i="8"/>
  <c r="L62" i="8"/>
  <c r="K62" i="8"/>
  <c r="K61" i="8" s="1"/>
  <c r="K41" i="8" s="1"/>
  <c r="H54" i="8"/>
  <c r="I54" i="8" s="1"/>
  <c r="N45" i="8"/>
  <c r="L45" i="8"/>
  <c r="K45" i="8"/>
  <c r="K42" i="8" s="1"/>
  <c r="P38" i="8"/>
  <c r="N38" i="8"/>
  <c r="M38" i="8"/>
  <c r="L38" i="8"/>
  <c r="K38" i="8"/>
  <c r="M36" i="8"/>
  <c r="M35" i="8"/>
  <c r="M16" i="8"/>
  <c r="H16" i="8" s="1"/>
  <c r="I16" i="8" s="1"/>
  <c r="J16" i="8" s="1"/>
  <c r="D10" i="6"/>
  <c r="C10" i="6"/>
  <c r="E5" i="6"/>
  <c r="E6" i="6"/>
  <c r="E7" i="6"/>
  <c r="E8" i="6"/>
  <c r="E9" i="6"/>
  <c r="E4" i="6"/>
  <c r="U9" i="3"/>
  <c r="U8" i="3"/>
  <c r="K100" i="3"/>
  <c r="L100" i="3" s="1"/>
  <c r="L99" i="3" s="1"/>
  <c r="K95" i="3"/>
  <c r="L95" i="3" s="1"/>
  <c r="K83" i="3"/>
  <c r="L83" i="3" s="1"/>
  <c r="L82" i="3" s="1"/>
  <c r="K78" i="3"/>
  <c r="L78" i="3" s="1"/>
  <c r="K76" i="3"/>
  <c r="L76" i="3"/>
  <c r="K74" i="3"/>
  <c r="L74" i="3" s="1"/>
  <c r="K72" i="3"/>
  <c r="K70" i="3"/>
  <c r="K69" i="3" s="1"/>
  <c r="K67" i="3"/>
  <c r="L67" i="3"/>
  <c r="K65" i="3"/>
  <c r="K60" i="3"/>
  <c r="L60" i="3" s="1"/>
  <c r="L59" i="3"/>
  <c r="L58" i="3" s="1"/>
  <c r="K44" i="3"/>
  <c r="L44" i="3" s="1"/>
  <c r="L43" i="3" s="1"/>
  <c r="K41" i="3"/>
  <c r="L41" i="3"/>
  <c r="L40" i="3" s="1"/>
  <c r="K38" i="3"/>
  <c r="L38" i="3" s="1"/>
  <c r="K36" i="3"/>
  <c r="L36" i="3" s="1"/>
  <c r="K32" i="3"/>
  <c r="L32" i="3" s="1"/>
  <c r="K30" i="3"/>
  <c r="L30" i="3" s="1"/>
  <c r="K26" i="3"/>
  <c r="L26" i="3"/>
  <c r="L25" i="3"/>
  <c r="K25" i="3"/>
  <c r="K23" i="3"/>
  <c r="L23" i="3" s="1"/>
  <c r="K21" i="3"/>
  <c r="L21" i="3" s="1"/>
  <c r="K19" i="3"/>
  <c r="L19" i="3" s="1"/>
  <c r="K17" i="3"/>
  <c r="L17" i="3" s="1"/>
  <c r="K15" i="3"/>
  <c r="L15" i="3" s="1"/>
  <c r="K13" i="3"/>
  <c r="K11" i="3"/>
  <c r="L11" i="3" s="1"/>
  <c r="AE50" i="1"/>
  <c r="AE49" i="1"/>
  <c r="L47" i="1"/>
  <c r="L2" i="1" s="1"/>
  <c r="AF115" i="1"/>
  <c r="AE115" i="1"/>
  <c r="K24" i="1"/>
  <c r="L24" i="1" s="1"/>
  <c r="M24" i="1" s="1"/>
  <c r="M19" i="1" s="1"/>
  <c r="N110" i="1"/>
  <c r="O110" i="1"/>
  <c r="O109" i="1" s="1"/>
  <c r="P110" i="1"/>
  <c r="P109" i="1" s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K110" i="1"/>
  <c r="N112" i="1"/>
  <c r="N109" i="1" s="1"/>
  <c r="O112" i="1"/>
  <c r="P112" i="1"/>
  <c r="Q112" i="1"/>
  <c r="Q109" i="1"/>
  <c r="R112" i="1"/>
  <c r="S112" i="1"/>
  <c r="K112" i="1"/>
  <c r="L113" i="1"/>
  <c r="L111" i="1"/>
  <c r="L110" i="1"/>
  <c r="L106" i="1"/>
  <c r="L73" i="1"/>
  <c r="M73" i="1" s="1"/>
  <c r="L67" i="1"/>
  <c r="L65" i="1"/>
  <c r="L63" i="1"/>
  <c r="M63" i="1" s="1"/>
  <c r="L60" i="1"/>
  <c r="M60" i="1" s="1"/>
  <c r="M59" i="1" s="1"/>
  <c r="L57" i="1"/>
  <c r="M57" i="1" s="1"/>
  <c r="M56" i="1" s="1"/>
  <c r="L45" i="1"/>
  <c r="M45" i="1" s="1"/>
  <c r="L43" i="1"/>
  <c r="M43" i="1" s="1"/>
  <c r="L40" i="1"/>
  <c r="M40" i="1" s="1"/>
  <c r="M39" i="1" s="1"/>
  <c r="L37" i="1"/>
  <c r="L32" i="1"/>
  <c r="M32" i="1" s="1"/>
  <c r="M31" i="1" s="1"/>
  <c r="L27" i="1"/>
  <c r="M27" i="1" s="1"/>
  <c r="L26" i="1"/>
  <c r="M26" i="1" s="1"/>
  <c r="L22" i="1"/>
  <c r="M22" i="1" s="1"/>
  <c r="L20" i="1"/>
  <c r="M20" i="1" s="1"/>
  <c r="L18" i="1"/>
  <c r="M18" i="1" s="1"/>
  <c r="L16" i="1"/>
  <c r="M16" i="1" s="1"/>
  <c r="L14" i="1"/>
  <c r="M14" i="1" s="1"/>
  <c r="L9" i="1"/>
  <c r="M9" i="1" s="1"/>
  <c r="L7" i="1"/>
  <c r="K34" i="1"/>
  <c r="L34" i="1" s="1"/>
  <c r="O114" i="1"/>
  <c r="Q114" i="1" s="1"/>
  <c r="N69" i="1"/>
  <c r="Q69" i="1"/>
  <c r="R69" i="1"/>
  <c r="S69" i="1"/>
  <c r="K7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/>
  <c r="N100" i="1"/>
  <c r="O100" i="1"/>
  <c r="P100" i="1"/>
  <c r="Q100" i="1"/>
  <c r="R100" i="1"/>
  <c r="S100" i="1"/>
  <c r="K103" i="1"/>
  <c r="L103" i="1"/>
  <c r="M103" i="1" s="1"/>
  <c r="O104" i="1"/>
  <c r="N104" i="1"/>
  <c r="K104" i="1" s="1"/>
  <c r="K101" i="1"/>
  <c r="L101" i="1" s="1"/>
  <c r="O102" i="1"/>
  <c r="P102" i="1" s="1"/>
  <c r="O97" i="1"/>
  <c r="O76" i="1" s="1"/>
  <c r="P97" i="1"/>
  <c r="Q97" i="1"/>
  <c r="R97" i="1"/>
  <c r="S97" i="1"/>
  <c r="K98" i="1"/>
  <c r="O99" i="1"/>
  <c r="K99" i="1" s="1"/>
  <c r="N90" i="1"/>
  <c r="O90" i="1"/>
  <c r="P90" i="1"/>
  <c r="Q90" i="1"/>
  <c r="R90" i="1"/>
  <c r="S90" i="1"/>
  <c r="K93" i="1"/>
  <c r="L93" i="1" s="1"/>
  <c r="O96" i="1"/>
  <c r="Q96" i="1"/>
  <c r="N94" i="1"/>
  <c r="K94" i="1" s="1"/>
  <c r="L94" i="1" s="1"/>
  <c r="K95" i="1"/>
  <c r="L95" i="1"/>
  <c r="M95" i="1" s="1"/>
  <c r="K91" i="1"/>
  <c r="L91" i="1" s="1"/>
  <c r="O92" i="1"/>
  <c r="Q92" i="1" s="1"/>
  <c r="N77" i="1"/>
  <c r="O77" i="1"/>
  <c r="P77" i="1"/>
  <c r="Q77" i="1"/>
  <c r="Q76" i="1" s="1"/>
  <c r="R77" i="1"/>
  <c r="S77" i="1"/>
  <c r="K88" i="1"/>
  <c r="K89" i="1"/>
  <c r="O87" i="1"/>
  <c r="P87" i="1" s="1"/>
  <c r="K86" i="1"/>
  <c r="K54" i="1"/>
  <c r="L54" i="1" s="1"/>
  <c r="K55" i="1"/>
  <c r="K78" i="1"/>
  <c r="L78" i="1" s="1"/>
  <c r="M78" i="1" s="1"/>
  <c r="K80" i="1"/>
  <c r="L80" i="1" s="1"/>
  <c r="M80" i="1" s="1"/>
  <c r="K84" i="1"/>
  <c r="K82" i="1"/>
  <c r="O85" i="1"/>
  <c r="P85" i="1" s="1"/>
  <c r="O83" i="1"/>
  <c r="K83" i="1"/>
  <c r="L83" i="1" s="1"/>
  <c r="O81" i="1"/>
  <c r="K81" i="1" s="1"/>
  <c r="N81" i="1"/>
  <c r="O79" i="1"/>
  <c r="K79" i="1" s="1"/>
  <c r="O74" i="1"/>
  <c r="N74" i="1"/>
  <c r="K74" i="1" s="1"/>
  <c r="P70" i="1"/>
  <c r="P69" i="1" s="1"/>
  <c r="O70" i="1"/>
  <c r="K71" i="1"/>
  <c r="L71" i="1" s="1"/>
  <c r="M71" i="1" s="1"/>
  <c r="N62" i="1"/>
  <c r="O62" i="1"/>
  <c r="O48" i="1" s="1"/>
  <c r="P62" i="1"/>
  <c r="Q62" i="1"/>
  <c r="R62" i="1"/>
  <c r="S62" i="1"/>
  <c r="K62" i="1"/>
  <c r="P66" i="1"/>
  <c r="K66" i="1" s="1"/>
  <c r="O64" i="1"/>
  <c r="K64" i="1" s="1"/>
  <c r="N56" i="1"/>
  <c r="O56" i="1"/>
  <c r="P56" i="1"/>
  <c r="Q56" i="1"/>
  <c r="R56" i="1"/>
  <c r="S56" i="1"/>
  <c r="K56" i="1"/>
  <c r="N49" i="1"/>
  <c r="O49" i="1"/>
  <c r="P49" i="1"/>
  <c r="P48" i="1" s="1"/>
  <c r="Q49" i="1"/>
  <c r="R49" i="1"/>
  <c r="S49" i="1"/>
  <c r="K50" i="1"/>
  <c r="K49" i="1"/>
  <c r="N59" i="1"/>
  <c r="O59" i="1"/>
  <c r="P59" i="1"/>
  <c r="Q59" i="1"/>
  <c r="R59" i="1"/>
  <c r="S59" i="1"/>
  <c r="K59" i="1"/>
  <c r="P61" i="1"/>
  <c r="K52" i="1"/>
  <c r="L52" i="1" s="1"/>
  <c r="O53" i="1"/>
  <c r="K53" i="1" s="1"/>
  <c r="O51" i="1"/>
  <c r="K51" i="1"/>
  <c r="N42" i="1"/>
  <c r="O42" i="1"/>
  <c r="P42" i="1"/>
  <c r="Q42" i="1"/>
  <c r="R42" i="1"/>
  <c r="S42" i="1"/>
  <c r="S5" i="1" s="1"/>
  <c r="K42" i="1"/>
  <c r="K5" i="1" s="1"/>
  <c r="O46" i="1"/>
  <c r="Q46" i="1" s="1"/>
  <c r="Q44" i="1"/>
  <c r="N39" i="1"/>
  <c r="O39" i="1"/>
  <c r="P39" i="1"/>
  <c r="K39" i="1"/>
  <c r="O41" i="1"/>
  <c r="N41" i="1"/>
  <c r="N36" i="1"/>
  <c r="O36" i="1"/>
  <c r="P36" i="1"/>
  <c r="Q36" i="1"/>
  <c r="K36" i="1"/>
  <c r="O38" i="1"/>
  <c r="Q38" i="1" s="1"/>
  <c r="N31" i="1"/>
  <c r="O31" i="1"/>
  <c r="P31" i="1"/>
  <c r="Q31" i="1"/>
  <c r="R31" i="1"/>
  <c r="S31" i="1"/>
  <c r="O33" i="1"/>
  <c r="Q33" i="1" s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9" i="1"/>
  <c r="M29" i="1" s="1"/>
  <c r="O28" i="1"/>
  <c r="P28" i="1"/>
  <c r="O25" i="1"/>
  <c r="P25" i="1" s="1"/>
  <c r="O23" i="1"/>
  <c r="Q23" i="1"/>
  <c r="L21" i="1"/>
  <c r="M21" i="1" s="1"/>
  <c r="N17" i="1"/>
  <c r="P17" i="1"/>
  <c r="L11" i="1"/>
  <c r="M11" i="1" s="1"/>
  <c r="P12" i="1"/>
  <c r="Q10" i="1"/>
  <c r="O6" i="1"/>
  <c r="O8" i="1"/>
  <c r="Q8" i="1"/>
  <c r="N6" i="1"/>
  <c r="Q6" i="1"/>
  <c r="Q5" i="1" s="1"/>
  <c r="R6" i="1"/>
  <c r="S6" i="1"/>
  <c r="T6" i="1"/>
  <c r="U6" i="1"/>
  <c r="V6" i="1"/>
  <c r="W6" i="1"/>
  <c r="X6" i="1"/>
  <c r="Y6" i="1"/>
  <c r="Z6" i="1"/>
  <c r="AA6" i="1"/>
  <c r="AB6" i="1"/>
  <c r="P29" i="1"/>
  <c r="P30" i="1"/>
  <c r="P20" i="1"/>
  <c r="P19" i="1" s="1"/>
  <c r="P5" i="1" s="1"/>
  <c r="P18" i="1"/>
  <c r="P13" i="1"/>
  <c r="K13" i="1"/>
  <c r="K6" i="1"/>
  <c r="M97" i="3"/>
  <c r="M94" i="3" s="1"/>
  <c r="N97" i="3"/>
  <c r="N94" i="3" s="1"/>
  <c r="O97" i="3"/>
  <c r="O94" i="3"/>
  <c r="P97" i="3"/>
  <c r="P94" i="3" s="1"/>
  <c r="J97" i="3"/>
  <c r="J94" i="3"/>
  <c r="R99" i="3"/>
  <c r="Q99" i="3"/>
  <c r="P99" i="3"/>
  <c r="O99" i="3"/>
  <c r="N99" i="3"/>
  <c r="M99" i="3"/>
  <c r="J99" i="3"/>
  <c r="R94" i="3"/>
  <c r="Q94" i="3"/>
  <c r="R90" i="3"/>
  <c r="Q90" i="3"/>
  <c r="Q89" i="3" s="1"/>
  <c r="P90" i="3"/>
  <c r="O90" i="3"/>
  <c r="N90" i="3"/>
  <c r="M90" i="3"/>
  <c r="L90" i="3"/>
  <c r="K90" i="3"/>
  <c r="J90" i="3"/>
  <c r="J89" i="3" s="1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P69" i="3"/>
  <c r="O69" i="3"/>
  <c r="O63" i="3" s="1"/>
  <c r="N69" i="3"/>
  <c r="M69" i="3"/>
  <c r="J69" i="3"/>
  <c r="R64" i="3"/>
  <c r="R63" i="3" s="1"/>
  <c r="Q64" i="3"/>
  <c r="P64" i="3"/>
  <c r="O64" i="3"/>
  <c r="N64" i="3"/>
  <c r="M64" i="3"/>
  <c r="M63" i="3"/>
  <c r="J64" i="3"/>
  <c r="K62" i="3"/>
  <c r="L62" i="3"/>
  <c r="L55" i="3"/>
  <c r="R59" i="3"/>
  <c r="R58" i="3"/>
  <c r="Q59" i="3"/>
  <c r="Q58" i="3" s="1"/>
  <c r="P59" i="3"/>
  <c r="P58" i="3"/>
  <c r="O59" i="3"/>
  <c r="O58" i="3"/>
  <c r="N59" i="3"/>
  <c r="N58" i="3" s="1"/>
  <c r="M59" i="3"/>
  <c r="M58" i="3" s="1"/>
  <c r="J59" i="3"/>
  <c r="J58" i="3" s="1"/>
  <c r="J57" i="3"/>
  <c r="J55" i="3" s="1"/>
  <c r="L46" i="3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Q25" i="3"/>
  <c r="Q7" i="3" s="1"/>
  <c r="Q5" i="3" s="1"/>
  <c r="P25" i="3"/>
  <c r="O25" i="3"/>
  <c r="N25" i="3"/>
  <c r="M25" i="3"/>
  <c r="J25" i="3"/>
  <c r="J9" i="3"/>
  <c r="K9" i="3" s="1"/>
  <c r="L9" i="3" s="1"/>
  <c r="R8" i="3"/>
  <c r="R7" i="3" s="1"/>
  <c r="R5" i="3" s="1"/>
  <c r="Q8" i="3"/>
  <c r="P8" i="3"/>
  <c r="O8" i="3"/>
  <c r="N8" i="3"/>
  <c r="M8" i="3"/>
  <c r="K4" i="3"/>
  <c r="K31" i="1"/>
  <c r="K40" i="3"/>
  <c r="L39" i="1"/>
  <c r="K97" i="1"/>
  <c r="P6" i="1"/>
  <c r="M87" i="8"/>
  <c r="L88" i="1"/>
  <c r="M88" i="1" s="1"/>
  <c r="K80" i="8"/>
  <c r="K87" i="8"/>
  <c r="L55" i="1"/>
  <c r="K82" i="3"/>
  <c r="N90" i="8"/>
  <c r="N89" i="8" s="1"/>
  <c r="K97" i="3"/>
  <c r="L97" i="3"/>
  <c r="L94" i="3" s="1"/>
  <c r="L89" i="3" s="1"/>
  <c r="N85" i="8"/>
  <c r="N76" i="8"/>
  <c r="N82" i="8"/>
  <c r="H55" i="8"/>
  <c r="M67" i="1"/>
  <c r="M111" i="1"/>
  <c r="M110" i="1" s="1"/>
  <c r="L65" i="3"/>
  <c r="L64" i="3" s="1"/>
  <c r="K64" i="3"/>
  <c r="H30" i="8"/>
  <c r="I30" i="8" s="1"/>
  <c r="K70" i="1"/>
  <c r="L70" i="1" s="1"/>
  <c r="O69" i="1"/>
  <c r="M113" i="1"/>
  <c r="M112" i="1"/>
  <c r="M109" i="1" s="1"/>
  <c r="L112" i="1"/>
  <c r="L109" i="1" s="1"/>
  <c r="AF108" i="1" s="1"/>
  <c r="K100" i="1"/>
  <c r="L64" i="1"/>
  <c r="M64" i="1" s="1"/>
  <c r="L50" i="1"/>
  <c r="M50" i="1"/>
  <c r="H58" i="8"/>
  <c r="J58" i="8" s="1"/>
  <c r="Q52" i="8"/>
  <c r="Q47" i="8" s="1"/>
  <c r="H31" i="8"/>
  <c r="H36" i="8"/>
  <c r="H35" i="8" s="1"/>
  <c r="H63" i="8"/>
  <c r="I51" i="8"/>
  <c r="J51" i="8"/>
  <c r="K69" i="1"/>
  <c r="K48" i="1"/>
  <c r="M101" i="1"/>
  <c r="H75" i="8"/>
  <c r="I75" i="8" s="1"/>
  <c r="I74" i="8" s="1"/>
  <c r="P74" i="8"/>
  <c r="L13" i="1"/>
  <c r="M13" i="1" s="1"/>
  <c r="L53" i="1"/>
  <c r="O62" i="8"/>
  <c r="J63" i="3"/>
  <c r="K43" i="3"/>
  <c r="H9" i="8"/>
  <c r="P59" i="8"/>
  <c r="H60" i="8"/>
  <c r="H59" i="8" s="1"/>
  <c r="H74" i="8"/>
  <c r="H48" i="8"/>
  <c r="I25" i="8"/>
  <c r="Q42" i="8"/>
  <c r="H19" i="8"/>
  <c r="H33" i="8"/>
  <c r="I79" i="8"/>
  <c r="J97" i="8"/>
  <c r="J96" i="8" s="1"/>
  <c r="H96" i="8"/>
  <c r="H93" i="8" s="1"/>
  <c r="I93" i="8" s="1"/>
  <c r="L26" i="8"/>
  <c r="H27" i="8"/>
  <c r="I27" i="8"/>
  <c r="I26" i="8" s="1"/>
  <c r="N8" i="8"/>
  <c r="O76" i="8"/>
  <c r="I31" i="8"/>
  <c r="O82" i="8"/>
  <c r="M64" i="8"/>
  <c r="M61" i="8" s="1"/>
  <c r="H65" i="8"/>
  <c r="I45" i="8"/>
  <c r="J46" i="8"/>
  <c r="J45" i="8" s="1"/>
  <c r="M84" i="8"/>
  <c r="I36" i="8"/>
  <c r="I35" i="8" s="1"/>
  <c r="J36" i="8"/>
  <c r="J35" i="8" s="1"/>
  <c r="I73" i="8"/>
  <c r="I72" i="8" s="1"/>
  <c r="N93" i="8"/>
  <c r="N92" i="8" s="1"/>
  <c r="K7" i="8"/>
  <c r="K6" i="8" s="1"/>
  <c r="M47" i="8"/>
  <c r="P7" i="8"/>
  <c r="P6" i="8" s="1"/>
  <c r="H38" i="8"/>
  <c r="O61" i="8"/>
  <c r="M71" i="8"/>
  <c r="Q93" i="8"/>
  <c r="Q92" i="8" s="1"/>
  <c r="J79" i="8"/>
  <c r="I77" i="8"/>
  <c r="J77" i="8" s="1"/>
  <c r="J75" i="8"/>
  <c r="J74" i="8" s="1"/>
  <c r="I63" i="8"/>
  <c r="I62" i="8" s="1"/>
  <c r="H62" i="8"/>
  <c r="N84" i="8"/>
  <c r="L84" i="8"/>
  <c r="K47" i="8"/>
  <c r="I58" i="8"/>
  <c r="J23" i="8"/>
  <c r="J95" i="8"/>
  <c r="J94" i="8" s="1"/>
  <c r="J37" i="8"/>
  <c r="J73" i="8"/>
  <c r="J72" i="8" s="1"/>
  <c r="H86" i="8"/>
  <c r="I86" i="8" s="1"/>
  <c r="I85" i="8" s="1"/>
  <c r="M94" i="1"/>
  <c r="K19" i="1"/>
  <c r="L8" i="8"/>
  <c r="H12" i="8"/>
  <c r="I12" i="8" s="1"/>
  <c r="I49" i="8"/>
  <c r="I48" i="8" s="1"/>
  <c r="K55" i="3"/>
  <c r="K2" i="3" s="1"/>
  <c r="P21" i="1"/>
  <c r="R76" i="1"/>
  <c r="M91" i="1"/>
  <c r="I67" i="8"/>
  <c r="P47" i="8"/>
  <c r="O80" i="8"/>
  <c r="H81" i="8"/>
  <c r="H80" i="8" s="1"/>
  <c r="J27" i="8"/>
  <c r="J26" i="8" s="1"/>
  <c r="J62" i="3"/>
  <c r="R5" i="1"/>
  <c r="H26" i="8"/>
  <c r="I53" i="8"/>
  <c r="H10" i="8"/>
  <c r="I10" i="8" s="1"/>
  <c r="O8" i="8"/>
  <c r="O7" i="8"/>
  <c r="O6" i="8" s="1"/>
  <c r="M52" i="1"/>
  <c r="M34" i="1"/>
  <c r="J50" i="8"/>
  <c r="J17" i="8"/>
  <c r="J67" i="8"/>
  <c r="I81" i="8"/>
  <c r="I80" i="8" s="1"/>
  <c r="J12" i="8"/>
  <c r="L81" i="1" l="1"/>
  <c r="M81" i="1"/>
  <c r="L66" i="1"/>
  <c r="M66" i="1" s="1"/>
  <c r="M93" i="1"/>
  <c r="L90" i="1"/>
  <c r="Q41" i="8"/>
  <c r="Q5" i="8" s="1"/>
  <c r="L41" i="8"/>
  <c r="L4" i="8" s="1"/>
  <c r="K5" i="8"/>
  <c r="M82" i="1"/>
  <c r="L69" i="1"/>
  <c r="M70" i="1"/>
  <c r="M69" i="1" s="1"/>
  <c r="P76" i="1"/>
  <c r="P3" i="1" s="1"/>
  <c r="P41" i="8"/>
  <c r="P5" i="8" s="1"/>
  <c r="N7" i="8"/>
  <c r="N6" i="8" s="1"/>
  <c r="N4" i="8" s="1"/>
  <c r="J8" i="3"/>
  <c r="J7" i="3" s="1"/>
  <c r="J5" i="3" s="1"/>
  <c r="P89" i="3"/>
  <c r="L7" i="8"/>
  <c r="L6" i="8" s="1"/>
  <c r="H90" i="8"/>
  <c r="H89" i="8" s="1"/>
  <c r="I65" i="8"/>
  <c r="I64" i="8" s="1"/>
  <c r="J81" i="8"/>
  <c r="J80" i="8" s="1"/>
  <c r="L31" i="1"/>
  <c r="H64" i="8"/>
  <c r="H92" i="8"/>
  <c r="I92" i="8" s="1"/>
  <c r="I55" i="8"/>
  <c r="J55" i="8" s="1"/>
  <c r="I60" i="8"/>
  <c r="I59" i="8" s="1"/>
  <c r="K47" i="1"/>
  <c r="K90" i="1"/>
  <c r="L59" i="1"/>
  <c r="L70" i="3"/>
  <c r="L69" i="3" s="1"/>
  <c r="R89" i="3"/>
  <c r="K41" i="1"/>
  <c r="L41" i="1" s="1"/>
  <c r="R48" i="1"/>
  <c r="L82" i="1"/>
  <c r="S76" i="1"/>
  <c r="M42" i="1"/>
  <c r="E10" i="6"/>
  <c r="R109" i="1"/>
  <c r="J30" i="8"/>
  <c r="M90" i="1"/>
  <c r="H29" i="8"/>
  <c r="J63" i="8"/>
  <c r="J62" i="8" s="1"/>
  <c r="I33" i="8"/>
  <c r="I29" i="8" s="1"/>
  <c r="I38" i="8"/>
  <c r="H88" i="8"/>
  <c r="M83" i="1"/>
  <c r="K35" i="3"/>
  <c r="L56" i="1"/>
  <c r="K29" i="3"/>
  <c r="K99" i="3"/>
  <c r="P63" i="3"/>
  <c r="P56" i="3" s="1"/>
  <c r="L86" i="1"/>
  <c r="M86" i="1" s="1"/>
  <c r="N76" i="1"/>
  <c r="S109" i="1"/>
  <c r="N42" i="8"/>
  <c r="N41" i="8" s="1"/>
  <c r="H44" i="8"/>
  <c r="P84" i="8"/>
  <c r="K94" i="3"/>
  <c r="M100" i="1"/>
  <c r="S48" i="1"/>
  <c r="S3" i="1" s="1"/>
  <c r="L100" i="1"/>
  <c r="L61" i="8"/>
  <c r="J31" i="8"/>
  <c r="M8" i="8"/>
  <c r="M7" i="8" s="1"/>
  <c r="M6" i="8" s="1"/>
  <c r="J54" i="8"/>
  <c r="H45" i="8"/>
  <c r="N71" i="8"/>
  <c r="N70" i="8" s="1"/>
  <c r="N63" i="3"/>
  <c r="N5" i="1"/>
  <c r="N48" i="1"/>
  <c r="K59" i="3"/>
  <c r="K58" i="3" s="1"/>
  <c r="Q4" i="8"/>
  <c r="J14" i="8"/>
  <c r="P71" i="8"/>
  <c r="P70" i="8" s="1"/>
  <c r="P7" i="3"/>
  <c r="P5" i="3" s="1"/>
  <c r="P3" i="3" s="1"/>
  <c r="M7" i="3"/>
  <c r="M5" i="3" s="1"/>
  <c r="M3" i="3" s="1"/>
  <c r="O7" i="3"/>
  <c r="O5" i="3" s="1"/>
  <c r="M89" i="3"/>
  <c r="M56" i="3" s="1"/>
  <c r="O89" i="3"/>
  <c r="O56" i="3" s="1"/>
  <c r="O3" i="3" s="1"/>
  <c r="O93" i="8"/>
  <c r="O92" i="8" s="1"/>
  <c r="L5" i="8"/>
  <c r="J76" i="8"/>
  <c r="L74" i="1"/>
  <c r="M74" i="1" s="1"/>
  <c r="L89" i="1"/>
  <c r="M89" i="1" s="1"/>
  <c r="M106" i="1"/>
  <c r="M105" i="1" s="1"/>
  <c r="L105" i="1"/>
  <c r="L13" i="3"/>
  <c r="L8" i="3" s="1"/>
  <c r="K8" i="3"/>
  <c r="L42" i="1"/>
  <c r="I90" i="8"/>
  <c r="I89" i="8" s="1"/>
  <c r="J91" i="8"/>
  <c r="J90" i="8" s="1"/>
  <c r="J89" i="8" s="1"/>
  <c r="M70" i="8"/>
  <c r="M4" i="8"/>
  <c r="M41" i="8"/>
  <c r="H8" i="8"/>
  <c r="H7" i="8" s="1"/>
  <c r="H6" i="8" s="1"/>
  <c r="I9" i="8"/>
  <c r="L4" i="3"/>
  <c r="L2" i="3" s="1"/>
  <c r="J46" i="3"/>
  <c r="J4" i="3" s="1"/>
  <c r="M53" i="1"/>
  <c r="H76" i="8"/>
  <c r="J78" i="8"/>
  <c r="H82" i="8"/>
  <c r="I83" i="8"/>
  <c r="I82" i="8" s="1"/>
  <c r="H68" i="8"/>
  <c r="I69" i="8"/>
  <c r="I68" i="8" s="1"/>
  <c r="J53" i="8"/>
  <c r="K4" i="8"/>
  <c r="H100" i="8"/>
  <c r="H99" i="8" s="1"/>
  <c r="H98" i="8" s="1"/>
  <c r="I102" i="8"/>
  <c r="I100" i="8" s="1"/>
  <c r="I99" i="8" s="1"/>
  <c r="I98" i="8" s="1"/>
  <c r="I19" i="8"/>
  <c r="J19" i="8" s="1"/>
  <c r="L49" i="1"/>
  <c r="O41" i="8"/>
  <c r="O4" i="8" s="1"/>
  <c r="O71" i="8"/>
  <c r="O70" i="8" s="1"/>
  <c r="I18" i="8"/>
  <c r="J18" i="8" s="1"/>
  <c r="I56" i="8"/>
  <c r="J56" i="8" s="1"/>
  <c r="H52" i="8"/>
  <c r="H47" i="8" s="1"/>
  <c r="H61" i="8"/>
  <c r="J25" i="8"/>
  <c r="J24" i="8" s="1"/>
  <c r="I24" i="8"/>
  <c r="L84" i="1"/>
  <c r="L77" i="1" s="1"/>
  <c r="L104" i="1"/>
  <c r="M104" i="1" s="1"/>
  <c r="M7" i="1"/>
  <c r="M6" i="1" s="1"/>
  <c r="L6" i="1"/>
  <c r="K109" i="1"/>
  <c r="AE108" i="1" s="1"/>
  <c r="K71" i="3"/>
  <c r="K63" i="3" s="1"/>
  <c r="L72" i="3"/>
  <c r="L71" i="3" s="1"/>
  <c r="L63" i="3" s="1"/>
  <c r="L56" i="3" s="1"/>
  <c r="J10" i="8"/>
  <c r="J49" i="8"/>
  <c r="J48" i="8" s="1"/>
  <c r="P4" i="8"/>
  <c r="K77" i="1"/>
  <c r="K76" i="1" s="1"/>
  <c r="AE75" i="1" s="1"/>
  <c r="AE5" i="1"/>
  <c r="H87" i="8"/>
  <c r="I88" i="8"/>
  <c r="I87" i="8" s="1"/>
  <c r="I84" i="8" s="1"/>
  <c r="J88" i="8"/>
  <c r="J87" i="8" s="1"/>
  <c r="J56" i="3"/>
  <c r="I76" i="8"/>
  <c r="I71" i="8" s="1"/>
  <c r="L19" i="1"/>
  <c r="J86" i="8"/>
  <c r="J85" i="8" s="1"/>
  <c r="H85" i="8"/>
  <c r="H84" i="8" s="1"/>
  <c r="R56" i="3"/>
  <c r="R3" i="3" s="1"/>
  <c r="Q63" i="3"/>
  <c r="Q56" i="3" s="1"/>
  <c r="Q3" i="3" s="1"/>
  <c r="N89" i="3"/>
  <c r="N56" i="3" s="1"/>
  <c r="O5" i="1"/>
  <c r="O3" i="1" s="1"/>
  <c r="M41" i="1"/>
  <c r="M65" i="1"/>
  <c r="M62" i="1" s="1"/>
  <c r="L62" i="1"/>
  <c r="L35" i="3"/>
  <c r="J22" i="8"/>
  <c r="N7" i="3"/>
  <c r="N5" i="3" s="1"/>
  <c r="N3" i="3" s="1"/>
  <c r="L51" i="1"/>
  <c r="M51" i="1" s="1"/>
  <c r="L79" i="1"/>
  <c r="M79" i="1" s="1"/>
  <c r="L99" i="1"/>
  <c r="M99" i="1" s="1"/>
  <c r="M37" i="1"/>
  <c r="M36" i="1" s="1"/>
  <c r="L36" i="1"/>
  <c r="L29" i="3"/>
  <c r="J38" i="8"/>
  <c r="Q48" i="1"/>
  <c r="Q3" i="1" s="1"/>
  <c r="M55" i="1"/>
  <c r="L98" i="1"/>
  <c r="L97" i="1" s="1"/>
  <c r="M98" i="1"/>
  <c r="M97" i="1" s="1"/>
  <c r="L107" i="1"/>
  <c r="M107" i="1"/>
  <c r="M93" i="8"/>
  <c r="M92" i="8" s="1"/>
  <c r="J13" i="8"/>
  <c r="M54" i="1"/>
  <c r="M49" i="1" s="1"/>
  <c r="J57" i="8"/>
  <c r="J32" i="8"/>
  <c r="J15" i="8"/>
  <c r="J11" i="8"/>
  <c r="H43" i="8" l="1"/>
  <c r="I44" i="8"/>
  <c r="K2" i="1"/>
  <c r="M47" i="1"/>
  <c r="M2" i="1" s="1"/>
  <c r="R3" i="1"/>
  <c r="J60" i="8"/>
  <c r="J59" i="8" s="1"/>
  <c r="N3" i="1"/>
  <c r="K89" i="3"/>
  <c r="K56" i="3" s="1"/>
  <c r="J65" i="8"/>
  <c r="J64" i="8" s="1"/>
  <c r="J33" i="8"/>
  <c r="J29" i="8" s="1"/>
  <c r="I61" i="8"/>
  <c r="N5" i="8"/>
  <c r="I70" i="8"/>
  <c r="AE47" i="1"/>
  <c r="J3" i="3"/>
  <c r="M5" i="8"/>
  <c r="K7" i="3"/>
  <c r="K5" i="3" s="1"/>
  <c r="H42" i="8"/>
  <c r="H41" i="8" s="1"/>
  <c r="K3" i="1"/>
  <c r="L5" i="1"/>
  <c r="M84" i="1"/>
  <c r="M77" i="1" s="1"/>
  <c r="M76" i="1" s="1"/>
  <c r="L48" i="1"/>
  <c r="AF47" i="1" s="1"/>
  <c r="S4" i="3"/>
  <c r="J2" i="3"/>
  <c r="I8" i="8"/>
  <c r="I7" i="8" s="1"/>
  <c r="I6" i="8" s="1"/>
  <c r="J9" i="8"/>
  <c r="J8" i="8" s="1"/>
  <c r="T4" i="3"/>
  <c r="M48" i="1"/>
  <c r="L76" i="1"/>
  <c r="AF75" i="1" s="1"/>
  <c r="H71" i="8"/>
  <c r="H70" i="8" s="1"/>
  <c r="L7" i="3"/>
  <c r="L5" i="3" s="1"/>
  <c r="L3" i="3" s="1"/>
  <c r="I52" i="8"/>
  <c r="I47" i="8" s="1"/>
  <c r="M5" i="1"/>
  <c r="J84" i="8"/>
  <c r="O5" i="8"/>
  <c r="S55" i="3"/>
  <c r="J52" i="8"/>
  <c r="J47" i="8" s="1"/>
  <c r="J69" i="8"/>
  <c r="J68" i="8" s="1"/>
  <c r="J83" i="8"/>
  <c r="J82" i="8" s="1"/>
  <c r="J71" i="8" s="1"/>
  <c r="H5" i="8" l="1"/>
  <c r="H4" i="8"/>
  <c r="T55" i="3"/>
  <c r="K3" i="3"/>
  <c r="T2" i="3" s="1"/>
  <c r="S2" i="3"/>
  <c r="J44" i="8"/>
  <c r="J43" i="8" s="1"/>
  <c r="J42" i="8" s="1"/>
  <c r="I43" i="8"/>
  <c r="I42" i="8" s="1"/>
  <c r="J7" i="8"/>
  <c r="J6" i="8" s="1"/>
  <c r="J70" i="8"/>
  <c r="M3" i="1"/>
  <c r="J61" i="8"/>
  <c r="I41" i="8"/>
  <c r="I5" i="8" s="1"/>
  <c r="AE3" i="1"/>
  <c r="I4" i="8"/>
  <c r="R2" i="8" s="1"/>
  <c r="AF5" i="1"/>
  <c r="L3" i="1"/>
  <c r="AF3" i="1" s="1"/>
  <c r="J5" i="8" l="1"/>
  <c r="J4" i="8"/>
  <c r="J41" i="8"/>
</calcChain>
</file>

<file path=xl/sharedStrings.xml><?xml version="1.0" encoding="utf-8"?>
<sst xmlns="http://schemas.openxmlformats.org/spreadsheetml/2006/main" count="2254" uniqueCount="947">
  <si>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</si>
  <si>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</si>
  <si>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</si>
  <si>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</si>
  <si>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</si>
  <si>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</si>
  <si>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</si>
  <si>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</si>
  <si>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</si>
  <si>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</si>
  <si>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</si>
  <si>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</si>
  <si>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</si>
  <si>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</si>
  <si>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</si>
  <si>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</si>
  <si>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</si>
  <si>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</si>
  <si>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</si>
  <si>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</si>
  <si>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</si>
  <si>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</si>
  <si>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</si>
  <si>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</si>
  <si>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</si>
  <si>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</si>
  <si>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</si>
  <si>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</si>
  <si>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</si>
  <si>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</si>
  <si>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</si>
  <si>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</si>
  <si>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</si>
  <si>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</si>
  <si>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</si>
  <si>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</si>
  <si>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</si>
  <si>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</si>
  <si>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</si>
  <si>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</si>
  <si>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</si>
  <si>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</si>
  <si>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</si>
  <si>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</si>
  <si>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</si>
  <si>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</si>
  <si>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</si>
  <si>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</si>
  <si>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</si>
  <si>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</si>
  <si>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</si>
  <si>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</si>
  <si>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</si>
  <si>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</si>
  <si>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</si>
  <si>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</si>
  <si>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</si>
  <si>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</si>
  <si>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</si>
  <si>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</si>
  <si>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</si>
  <si>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</si>
  <si>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</si>
  <si>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</si>
  <si>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</si>
  <si>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</si>
  <si>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</si>
  <si>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</si>
  <si>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</si>
  <si>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</si>
  <si>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</si>
  <si>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</si>
  <si>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</si>
  <si>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</si>
  <si>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</si>
  <si>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</si>
  <si>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</si>
  <si>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</si>
  <si>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</si>
  <si>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</si>
  <si>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</si>
  <si>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</si>
  <si>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</si>
  <si>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</si>
  <si>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</si>
  <si>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</si>
  <si>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</si>
  <si>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</si>
  <si>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</si>
  <si>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</si>
  <si>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</si>
  <si>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</si>
  <si>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</si>
  <si>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</si>
  <si>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</si>
  <si>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</si>
  <si>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</si>
  <si>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</si>
  <si>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</si>
  <si>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</si>
  <si>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</si>
  <si>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</si>
  <si>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</si>
  <si>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</si>
  <si>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</si>
  <si>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</si>
  <si>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</si>
  <si>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</si>
  <si>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</si>
  <si>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</si>
  <si>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</si>
  <si>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</si>
  <si>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</si>
  <si>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</si>
  <si>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</si>
  <si>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</si>
  <si>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</si>
  <si>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</si>
  <si>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</si>
  <si>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</si>
  <si>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</si>
  <si>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</si>
  <si>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</si>
  <si>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</si>
  <si>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</si>
  <si>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</si>
  <si>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</si>
  <si>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</si>
  <si>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</si>
  <si>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</si>
  <si>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</si>
  <si>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</si>
  <si>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</si>
  <si>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</si>
  <si>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</si>
  <si>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</si>
  <si>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</si>
  <si>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</si>
  <si>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</si>
  <si>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</si>
  <si>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</si>
  <si>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</si>
  <si>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</si>
  <si>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</si>
  <si>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</si>
  <si>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</si>
  <si>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</si>
  <si>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</si>
  <si>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</si>
  <si>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</si>
  <si>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</si>
  <si>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</si>
  <si>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</si>
  <si>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</si>
  <si>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</si>
  <si>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</si>
  <si>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</si>
  <si>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</si>
  <si>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</si>
  <si>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</si>
  <si>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</si>
  <si>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</si>
  <si>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</si>
  <si>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</si>
  <si>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</si>
  <si>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</si>
  <si>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</si>
  <si>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</si>
  <si>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</si>
  <si>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</si>
  <si>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</si>
  <si>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</si>
  <si>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</si>
  <si>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</si>
  <si>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</si>
  <si>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</si>
  <si>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</si>
  <si>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</si>
  <si>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</si>
  <si>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</si>
  <si>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</si>
  <si>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</si>
  <si>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</si>
  <si>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</si>
  <si>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</si>
  <si>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</si>
  <si>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</si>
  <si>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</si>
  <si>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</si>
  <si>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</si>
  <si>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</si>
  <si>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</si>
  <si>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</si>
  <si>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</si>
  <si>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</si>
  <si>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</si>
  <si>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</si>
  <si>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</si>
  <si>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</si>
  <si>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</si>
  <si>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</si>
  <si>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</si>
  <si>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</si>
  <si>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</si>
  <si>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</si>
  <si>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</si>
  <si>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</si>
  <si>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</si>
  <si>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</si>
  <si>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</si>
  <si>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</si>
  <si>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</si>
  <si>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</si>
  <si>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</si>
  <si>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</si>
  <si>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</si>
  <si>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</si>
  <si>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</si>
  <si>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</si>
  <si>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</si>
  <si>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</si>
  <si>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</si>
  <si>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</si>
  <si>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</si>
  <si>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</si>
  <si>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</si>
  <si>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</si>
  <si>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</si>
  <si>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</si>
  <si>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</si>
  <si>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</si>
  <si>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</si>
  <si>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</si>
  <si>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</si>
  <si>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</si>
  <si>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</si>
  <si>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</si>
  <si>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</si>
  <si>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</si>
  <si>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</si>
  <si>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</si>
  <si>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</si>
  <si>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</si>
  <si>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</si>
  <si>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</si>
  <si>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</si>
  <si>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</si>
  <si>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</si>
  <si>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</si>
  <si>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</si>
  <si>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</si>
  <si>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</si>
  <si>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</si>
  <si>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</si>
  <si>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</si>
  <si>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</si>
  <si>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</si>
  <si>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</si>
  <si>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</si>
  <si>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</si>
  <si>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</si>
  <si>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</si>
  <si>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</si>
  <si>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</si>
  <si>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</si>
  <si>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</si>
  <si>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</si>
  <si>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</si>
  <si>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</si>
  <si>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</si>
  <si>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</si>
  <si>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</si>
  <si>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</si>
  <si>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</si>
  <si>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</si>
  <si>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</si>
  <si>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</si>
  <si>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</si>
  <si>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</si>
  <si>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</si>
  <si>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</si>
  <si>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</si>
  <si>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</si>
  <si>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</si>
  <si>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</si>
  <si>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</si>
  <si>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</si>
  <si>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</si>
  <si>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</si>
  <si>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</si>
  <si>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</si>
  <si>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</si>
  <si>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</si>
  <si>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</si>
  <si>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</si>
  <si>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</si>
  <si>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</si>
  <si>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</si>
  <si>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</si>
  <si>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</si>
  <si>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</si>
  <si>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</si>
  <si>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</si>
  <si>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</si>
  <si>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</si>
  <si>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</si>
  <si>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</si>
  <si>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</si>
  <si>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</si>
  <si>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</si>
  <si>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</si>
  <si>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</si>
  <si>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</si>
  <si>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</si>
  <si>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</si>
  <si>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</si>
  <si>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</si>
  <si>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</si>
  <si>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</si>
  <si>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</si>
  <si>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</si>
  <si>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</si>
  <si>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</si>
  <si>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</si>
  <si>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</si>
  <si>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</si>
  <si>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</si>
  <si>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</si>
  <si>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</si>
  <si>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</si>
  <si>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</si>
  <si>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</si>
  <si>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</si>
  <si>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</si>
  <si>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</si>
  <si>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</si>
  <si>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</si>
  <si>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</si>
  <si>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</si>
  <si>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</si>
  <si>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</si>
  <si>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</si>
  <si>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</si>
  <si>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</si>
  <si>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</si>
  <si>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</si>
  <si>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</si>
  <si>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</si>
  <si>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</si>
  <si>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</si>
  <si>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</si>
  <si>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</si>
  <si>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</si>
  <si>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</si>
  <si>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</si>
  <si>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</si>
  <si>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</si>
  <si>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</si>
  <si>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</si>
  <si>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</si>
  <si>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</si>
  <si>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</si>
  <si>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</si>
  <si>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</si>
  <si>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</si>
  <si>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</si>
  <si>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</si>
  <si>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</si>
  <si>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</si>
  <si>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</si>
  <si>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</si>
  <si>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</si>
  <si>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</si>
  <si>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</si>
  <si>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</si>
  <si>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</si>
  <si>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</si>
  <si>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</si>
  <si>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</si>
  <si>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</si>
  <si>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</si>
  <si>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</si>
  <si>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</si>
  <si>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</si>
  <si>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</si>
  <si>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</si>
  <si>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</si>
  <si>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</si>
  <si>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</si>
  <si>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</si>
  <si>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</si>
  <si>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</si>
  <si>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</si>
  <si>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</si>
  <si>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</si>
  <si>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</si>
  <si>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</si>
  <si>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</si>
  <si>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</si>
  <si>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</si>
  <si>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</si>
  <si>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</si>
  <si>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</si>
  <si>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</si>
  <si>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</si>
  <si>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</si>
  <si>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</si>
  <si>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</si>
  <si>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</si>
  <si>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</si>
  <si>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</si>
  <si>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</si>
  <si>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</si>
  <si>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</si>
  <si>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</si>
  <si>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</si>
  <si>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</si>
  <si>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</si>
  <si>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</si>
  <si>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</si>
  <si>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</si>
  <si>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</si>
  <si>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</si>
  <si>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</si>
  <si>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</si>
  <si>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</si>
  <si>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</si>
  <si>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</si>
  <si>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</si>
  <si>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</si>
  <si>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</si>
  <si>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</si>
  <si>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</si>
  <si>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</si>
  <si>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</si>
  <si>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</si>
  <si>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</si>
  <si>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</si>
  <si>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</si>
  <si>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</si>
  <si>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</si>
  <si>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</si>
  <si>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</si>
  <si>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</si>
  <si>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</si>
  <si>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</si>
  <si>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</si>
  <si>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</si>
  <si>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</si>
  <si>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</si>
  <si>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</si>
  <si>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</si>
  <si>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</si>
  <si>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</si>
  <si>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</si>
  <si>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</si>
  <si>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</si>
  <si>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</si>
  <si>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</si>
  <si>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</si>
  <si>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</si>
  <si>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</si>
  <si>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</si>
  <si>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</si>
  <si>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</si>
  <si>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</si>
  <si>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</si>
  <si>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</si>
  <si>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</si>
  <si>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</si>
  <si>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</si>
  <si>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</si>
  <si>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</si>
  <si>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</si>
  <si>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</si>
  <si>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</si>
  <si>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</si>
  <si>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</si>
  <si>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</si>
  <si>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</si>
  <si>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</si>
  <si>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</si>
  <si>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</si>
  <si>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</si>
  <si>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</si>
  <si>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</si>
  <si>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</si>
  <si>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</si>
  <si>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</si>
  <si>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</si>
  <si>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</si>
  <si>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</si>
  <si>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</si>
  <si>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</si>
  <si>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</si>
  <si>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</si>
  <si>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</si>
  <si>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</si>
  <si>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</si>
  <si>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</si>
  <si>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</si>
  <si>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</si>
  <si>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</si>
  <si>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</si>
  <si>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</si>
  <si>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</si>
  <si>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</si>
  <si>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</si>
  <si>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</si>
  <si>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</si>
  <si>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</si>
  <si>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</si>
  <si>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</si>
  <si>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</si>
  <si>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</si>
  <si>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</si>
  <si>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</si>
  <si>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</si>
  <si>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</si>
  <si>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</si>
  <si>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</si>
  <si>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</si>
  <si>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</si>
  <si>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</si>
  <si>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</si>
  <si>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</si>
  <si>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</si>
  <si>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</si>
  <si>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</si>
  <si>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</si>
  <si>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</si>
  <si>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</si>
  <si>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</si>
  <si>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</si>
  <si>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</si>
  <si>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</si>
  <si>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</si>
  <si>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</si>
  <si>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</si>
  <si>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</si>
  <si>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</si>
  <si>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</si>
  <si>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</si>
  <si>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</si>
  <si>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</si>
  <si>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</si>
  <si>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</si>
  <si>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</si>
  <si>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</si>
  <si>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</si>
  <si>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</si>
  <si>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</si>
  <si>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</si>
  <si>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</si>
  <si>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</si>
  <si>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</si>
  <si>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</si>
  <si>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</si>
  <si>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</si>
  <si>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</si>
  <si>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</si>
  <si>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</si>
  <si>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</si>
  <si>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</si>
  <si>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</si>
  <si>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</si>
  <si>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</si>
  <si>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</si>
  <si>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</si>
  <si>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</si>
  <si>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</si>
  <si>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</si>
  <si>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</si>
  <si>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</si>
  <si>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</si>
  <si>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</si>
  <si>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</si>
  <si>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</si>
  <si>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</si>
  <si>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</si>
  <si>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</si>
  <si>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</si>
  <si>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</si>
  <si>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</si>
  <si>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</si>
  <si>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</si>
  <si>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</si>
  <si>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</si>
  <si>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</si>
  <si>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</si>
  <si>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</si>
  <si>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</si>
  <si>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</si>
  <si>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</si>
  <si>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</si>
  <si>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</si>
  <si>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</si>
  <si>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</si>
  <si>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</si>
  <si>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</si>
  <si>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</si>
  <si>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</si>
  <si>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</si>
  <si>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</si>
  <si>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</si>
  <si>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</si>
  <si>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</si>
  <si>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</si>
  <si>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</si>
  <si>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</si>
  <si>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</si>
  <si>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</si>
  <si>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</si>
  <si>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</si>
  <si>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</si>
  <si>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</si>
  <si>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</si>
  <si>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</si>
  <si>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</si>
  <si>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</si>
  <si>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</si>
  <si>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</si>
  <si>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</si>
  <si>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</si>
  <si>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</si>
  <si>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</si>
  <si>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</si>
  <si>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</si>
  <si>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</si>
  <si>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</si>
  <si>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</si>
  <si>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</si>
  <si>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</si>
  <si>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</si>
  <si>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</si>
  <si>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</si>
  <si>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</si>
  <si>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</si>
  <si>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</si>
  <si>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</si>
  <si>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</si>
  <si>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</si>
  <si>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</si>
  <si>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</si>
  <si>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</si>
  <si>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</si>
  <si>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</si>
  <si>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</si>
  <si>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</si>
  <si>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</si>
  <si>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</si>
  <si>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</si>
  <si>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</si>
  <si>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</si>
  <si>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</si>
  <si>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</si>
  <si>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</si>
  <si>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</si>
  <si>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</si>
  <si>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</si>
  <si>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</si>
  <si>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</si>
  <si>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</si>
  <si>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</si>
  <si>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</si>
  <si>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</si>
  <si>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</si>
  <si>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</si>
  <si>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</si>
  <si>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</si>
  <si>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</si>
  <si>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</si>
  <si>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</si>
  <si>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</si>
  <si>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</si>
  <si>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</si>
  <si>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</si>
  <si>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</si>
  <si>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</si>
  <si>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</si>
  <si>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</si>
  <si>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</si>
  <si>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</si>
  <si>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</si>
  <si>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</si>
  <si>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</si>
  <si>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</si>
  <si>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</si>
  <si>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</si>
  <si>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</si>
  <si>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</si>
  <si>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</si>
  <si>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</si>
  <si>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</si>
  <si>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</si>
  <si>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</si>
  <si>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</si>
  <si>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</si>
  <si>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</si>
  <si>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</si>
  <si>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</si>
  <si>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</si>
  <si>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</si>
  <si>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</si>
  <si>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</si>
  <si>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</si>
  <si>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</si>
  <si>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</si>
  <si>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</si>
  <si>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</si>
  <si>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</si>
  <si>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</si>
  <si>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</si>
  <si>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</si>
  <si>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</si>
  <si>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</si>
  <si>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</si>
  <si>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</si>
  <si>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</si>
  <si>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</si>
  <si>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</si>
  <si>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</si>
  <si>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</si>
  <si>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</si>
  <si>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</si>
  <si>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</si>
  <si>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</si>
  <si>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</si>
  <si>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</si>
  <si>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</si>
  <si>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</si>
  <si>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</si>
  <si>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</si>
  <si>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</si>
  <si>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</si>
  <si>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</si>
  <si>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</si>
  <si>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</si>
  <si>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</si>
  <si>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</si>
  <si>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</si>
  <si>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</si>
  <si>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</si>
  <si>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</si>
  <si>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</si>
  <si>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</si>
  <si>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</si>
  <si>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</si>
  <si>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</si>
  <si>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</si>
  <si>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</si>
  <si>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</si>
  <si>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</si>
  <si>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</si>
  <si>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</si>
  <si>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</si>
  <si>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</si>
  <si>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</si>
  <si>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</si>
  <si>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</si>
  <si>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</si>
  <si>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</si>
  <si>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</si>
  <si>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</si>
  <si>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</si>
  <si>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</si>
  <si>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</si>
  <si>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</si>
  <si>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</si>
  <si>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</si>
  <si>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</si>
  <si>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</si>
  <si>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</si>
  <si>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</si>
  <si>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</si>
  <si>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</si>
  <si>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</si>
  <si>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</si>
  <si>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</si>
  <si>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</si>
  <si>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</si>
  <si>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</si>
  <si>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</si>
  <si>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</si>
  <si>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</si>
  <si>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</si>
  <si>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</si>
  <si>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</si>
  <si>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</si>
  <si>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</si>
  <si>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</si>
  <si>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</si>
  <si>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</si>
  <si>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</si>
  <si>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</si>
  <si>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</si>
  <si>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</si>
  <si>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</si>
  <si>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</si>
  <si>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</si>
  <si>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</si>
  <si>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</si>
  <si>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</si>
  <si>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</si>
  <si>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</si>
  <si>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</si>
  <si>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</si>
  <si>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</si>
  <si>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</si>
  <si>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</si>
  <si>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</si>
  <si>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</si>
  <si>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</si>
  <si>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</si>
  <si>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</si>
  <si>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</si>
  <si>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</si>
  <si>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</si>
  <si>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</si>
  <si>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</si>
  <si>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</si>
  <si>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</si>
  <si>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</si>
  <si>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</si>
  <si>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</si>
  <si>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</si>
  <si>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</si>
  <si>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</si>
  <si>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</si>
  <si>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</si>
  <si>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</si>
  <si>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</si>
  <si>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</si>
  <si>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</si>
  <si>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</si>
  <si>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</si>
  <si>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</si>
  <si>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</si>
  <si>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</si>
  <si>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</si>
  <si>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</si>
  <si>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</si>
  <si>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</si>
  <si>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</si>
  <si>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</si>
  <si>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</si>
  <si>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</si>
  <si>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</si>
  <si>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</si>
  <si>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</si>
  <si>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</si>
  <si>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</si>
  <si>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</si>
  <si>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</si>
  <si>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</si>
  <si>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</si>
  <si>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</si>
  <si>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</si>
  <si>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</si>
  <si>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</si>
  <si>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</si>
  <si>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</si>
  <si>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</si>
  <si>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</si>
  <si>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</si>
  <si>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</si>
  <si>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</si>
  <si>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</si>
  <si>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</si>
  <si>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</si>
  <si>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</si>
  <si>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</si>
  <si>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</si>
  <si>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</si>
  <si>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</si>
  <si>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</si>
  <si>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</si>
  <si>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</si>
  <si>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</si>
  <si>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</si>
  <si>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</si>
  <si>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</si>
  <si>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</si>
  <si>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</si>
  <si>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</si>
  <si>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</si>
  <si>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</si>
  <si>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</si>
  <si>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</si>
  <si>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</si>
  <si>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A.SO4</t>
  </si>
  <si>
    <t>Premestitev (Relocation)</t>
  </si>
  <si>
    <t>A.SO4.1</t>
  </si>
  <si>
    <t>A.SO4.1.1</t>
  </si>
  <si>
    <t>A.SO4.1.1-01</t>
  </si>
  <si>
    <t>A.SO1.1.1-11</t>
  </si>
  <si>
    <t>Vzdrževanje integracijskih hiš in nakup opreme</t>
  </si>
  <si>
    <t>2017 -realizacija</t>
  </si>
  <si>
    <t>2017-glede na OP</t>
  </si>
  <si>
    <t>razlika</t>
  </si>
  <si>
    <t>DUNZMN in UOM (delitev)</t>
  </si>
  <si>
    <t>A.SO1.1.6-03</t>
  </si>
  <si>
    <t>A.SO1.1.6-04</t>
  </si>
  <si>
    <t>Podpora v postopku priznanja MZ (izvedeniška mnenja)</t>
  </si>
  <si>
    <t>UOIM</t>
  </si>
  <si>
    <t>JR</t>
  </si>
  <si>
    <t>Zdravstveni pregledi in materialna oskrba prosilcev</t>
  </si>
  <si>
    <t>Investicijsko vzdrževanje azilnega doma, nakup opreme in izboljšanje pogojev za izvajanje omejitve gibanja</t>
  </si>
  <si>
    <t>Finančna pomoč za nastanitev prosilcev na zasebnem naslovu</t>
  </si>
  <si>
    <t>Pomoč osebam z mednarodno zaščito</t>
  </si>
  <si>
    <t>Zagotavljanje nastanitev v OMZ v integracijskih hišah in drugih nastanitvenih kapacitetah</t>
  </si>
  <si>
    <t>A.SO1.1.1-12</t>
  </si>
  <si>
    <t>A.SO1.1.1-13</t>
  </si>
  <si>
    <t>A.SO1.1.1-14</t>
  </si>
  <si>
    <t>N</t>
  </si>
  <si>
    <t>A.SO1.1.4-03</t>
  </si>
  <si>
    <t>A.SO1.1.6-05</t>
  </si>
  <si>
    <t xml:space="preserve">Podpora prosilcem </t>
  </si>
  <si>
    <t>A.SO2.2.1-03</t>
  </si>
  <si>
    <t>Tečaji in izpiti iz slovenskega jezika za OMZ</t>
  </si>
  <si>
    <t>A.SO2.3.3-03</t>
  </si>
  <si>
    <t>A.SO2.2.3-06</t>
  </si>
  <si>
    <t>A.SO2.2.3-07</t>
  </si>
  <si>
    <t>DUNZMN, UOM (delitev)</t>
  </si>
  <si>
    <t>A.SO4.1.2</t>
  </si>
  <si>
    <t>A.SO4.1.2-01</t>
  </si>
  <si>
    <t>Premestitev (Relocation) in preselitev (Resettlement)</t>
  </si>
  <si>
    <t xml:space="preserve">EU prispevek </t>
  </si>
  <si>
    <t>A.SO1.1.7-02</t>
  </si>
  <si>
    <t>A.SO1.1.8-02</t>
  </si>
  <si>
    <t xml:space="preserve">Medkulturni dialog in obveščanje o možnostih sodelovanja v programih integracije 
</t>
  </si>
  <si>
    <t>Vsi 
projekti</t>
  </si>
  <si>
    <t>AMIF SO1+2+3
+TA</t>
  </si>
  <si>
    <t>AMIF SO1+2+3+4
+TA</t>
  </si>
  <si>
    <t>Policija - PUKR</t>
  </si>
  <si>
    <t xml:space="preserve"> UOIM</t>
  </si>
  <si>
    <t>DUNZMN, UOIM</t>
  </si>
  <si>
    <t>A.SO2.1.2</t>
  </si>
  <si>
    <t>A.SO2.1.2-01</t>
  </si>
  <si>
    <t xml:space="preserve">Preindintegracijski ukrepi </t>
  </si>
  <si>
    <t>Predintegracijski ukrepi</t>
  </si>
  <si>
    <t>MDDSZ</t>
  </si>
  <si>
    <t>A.SO1.1.1-17</t>
  </si>
  <si>
    <t>Vzpostavitev ambulante v azilnem domu</t>
  </si>
  <si>
    <t>MZ</t>
  </si>
  <si>
    <t>Akcijski načrt 1.6 - AMIF</t>
  </si>
  <si>
    <t>email S.Gerjevič- prenos 50.000 iz 2020 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</si>
</sst>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1D3EE1"/>
      <name val="Arial"/>
      <family val="2"/>
      <charset val="238"/>
    </font>
    <font>
      <sz val="9"/>
      <color rgb="FF0066CC"/>
      <name val="Arial"/>
      <family val="2"/>
      <charset val="238"/>
    </font>
    <font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quotePrefix="1" applyNumberFormat="1" applyFont="1" applyBorder="1" applyAlignment="1" applyProtection="1">
      <alignment wrapText="1"/>
    </xf>
    <xf numFmtId="0" fontId="5" fillId="10" borderId="1" xfId="0" quotePrefix="1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" fontId="5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wrapText="1"/>
    </xf>
    <xf numFmtId="0" fontId="5" fillId="4" borderId="0" xfId="0" applyFont="1" applyFill="1"/>
    <xf numFmtId="0" fontId="5" fillId="10" borderId="1" xfId="0" applyFont="1" applyFill="1" applyBorder="1"/>
    <xf numFmtId="0" fontId="5" fillId="0" borderId="0" xfId="0" applyFont="1" applyAlignment="1">
      <alignment vertical="justify"/>
    </xf>
    <xf numFmtId="0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>
      <alignment wrapText="1"/>
    </xf>
    <xf numFmtId="0" fontId="6" fillId="12" borderId="1" xfId="0" applyFont="1" applyFill="1" applyBorder="1"/>
    <xf numFmtId="0" fontId="6" fillId="12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 applyProtection="1">
      <alignment vertical="justify" wrapText="1"/>
    </xf>
    <xf numFmtId="0" fontId="5" fillId="5" borderId="1" xfId="0" applyNumberFormat="1" applyFont="1" applyFill="1" applyBorder="1" applyAlignment="1" applyProtection="1">
      <alignment vertical="justify" wrapText="1"/>
    </xf>
    <xf numFmtId="0" fontId="2" fillId="5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>
      <alignment vertical="justify" wrapText="1"/>
    </xf>
    <xf numFmtId="0" fontId="5" fillId="11" borderId="1" xfId="0" applyNumberFormat="1" applyFont="1" applyFill="1" applyBorder="1" applyAlignment="1">
      <alignment vertical="justify" wrapText="1"/>
    </xf>
    <xf numFmtId="0" fontId="5" fillId="5" borderId="1" xfId="0" applyNumberFormat="1" applyFont="1" applyFill="1" applyBorder="1" applyAlignment="1">
      <alignment vertical="justify" wrapText="1"/>
    </xf>
    <xf numFmtId="0" fontId="5" fillId="10" borderId="1" xfId="0" applyNumberFormat="1" applyFont="1" applyFill="1" applyBorder="1" applyAlignment="1">
      <alignment vertical="justify" wrapText="1"/>
    </xf>
    <xf numFmtId="4" fontId="5" fillId="0" borderId="0" xfId="0" applyNumberFormat="1" applyFont="1"/>
    <xf numFmtId="0" fontId="5" fillId="4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vertical="justify" wrapText="1"/>
    </xf>
    <xf numFmtId="4" fontId="5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5" fillId="4" borderId="0" xfId="0" applyFont="1" applyFill="1" applyProtection="1">
      <protection locked="0"/>
    </xf>
    <xf numFmtId="0" fontId="2" fillId="4" borderId="1" xfId="0" applyNumberFormat="1" applyFont="1" applyFill="1" applyBorder="1" applyAlignment="1" applyProtection="1">
      <alignment vertical="justify" wrapText="1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vertical="justify" wrapText="1"/>
    </xf>
    <xf numFmtId="4" fontId="5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justify" wrapText="1"/>
    </xf>
    <xf numFmtId="4" fontId="2" fillId="4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vertical="justify" wrapText="1"/>
    </xf>
    <xf numFmtId="0" fontId="6" fillId="0" borderId="1" xfId="0" applyNumberFormat="1" applyFont="1" applyBorder="1" applyAlignment="1" applyProtection="1">
      <alignment wrapText="1"/>
    </xf>
    <xf numFmtId="0" fontId="6" fillId="0" borderId="1" xfId="0" applyNumberFormat="1" applyFont="1" applyBorder="1" applyAlignment="1">
      <alignment wrapText="1"/>
    </xf>
    <xf numFmtId="0" fontId="5" fillId="5" borderId="1" xfId="0" applyNumberFormat="1" applyFont="1" applyFill="1" applyBorder="1" applyAlignment="1" applyProtection="1">
      <alignment vertical="top" wrapText="1"/>
    </xf>
    <xf numFmtId="0" fontId="7" fillId="0" borderId="0" xfId="0" applyFont="1"/>
    <xf numFmtId="0" fontId="8" fillId="4" borderId="1" xfId="0" applyNumberFormat="1" applyFont="1" applyFill="1" applyBorder="1" applyAlignment="1" applyProtection="1">
      <alignment wrapText="1"/>
    </xf>
    <xf numFmtId="4" fontId="2" fillId="10" borderId="1" xfId="0" applyNumberFormat="1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6" fillId="0" borderId="1" xfId="0" applyNumberFormat="1" applyFont="1" applyBorder="1" applyAlignment="1">
      <alignment horizontal="left" wrapText="1"/>
    </xf>
    <xf numFmtId="0" fontId="9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4" fontId="5" fillId="0" borderId="0" xfId="0" applyNumberFormat="1" applyFont="1" applyBorder="1"/>
    <xf numFmtId="0" fontId="9" fillId="0" borderId="0" xfId="0" applyFont="1"/>
    <xf numFmtId="4" fontId="5" fillId="4" borderId="0" xfId="0" applyNumberFormat="1" applyFont="1" applyFill="1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ColWidth="9.140625"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ColWidth="9.140625"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8.85546875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B49" sqref="B49"/>
    </sheetView>
  </sheetViews>
  <sheetFormatPr defaultRowHeight="12.75" x14ac:dyDescent="0.2"/>
  <cols>
    <col min="2" max="2" width="17.140625" customWidth="1"/>
    <col min="3" max="3" width="17" customWidth="1"/>
    <col min="4" max="4" width="19.7109375" customWidth="1"/>
    <col min="5" max="5" width="16.85546875" customWidth="1"/>
  </cols>
  <sheetData>
    <row r="3" spans="2:5" x14ac:dyDescent="0.2">
      <c r="C3" s="78" t="s">
        <v>897</v>
      </c>
      <c r="D3" s="78" t="s">
        <v>898</v>
      </c>
      <c r="E3" t="s">
        <v>899</v>
      </c>
    </row>
    <row r="4" spans="2:5" x14ac:dyDescent="0.2">
      <c r="B4" s="78" t="s">
        <v>34</v>
      </c>
      <c r="C4" s="80">
        <v>54223.91</v>
      </c>
      <c r="D4" s="80">
        <v>45000</v>
      </c>
      <c r="E4" s="80">
        <f t="shared" ref="E4:E10" si="0">D4-C4</f>
        <v>-9223.9100000000035</v>
      </c>
    </row>
    <row r="5" spans="2:5" x14ac:dyDescent="0.2">
      <c r="B5" s="78" t="s">
        <v>42</v>
      </c>
      <c r="C5" s="80">
        <v>188868.38</v>
      </c>
      <c r="D5" s="80">
        <v>123486.5</v>
      </c>
      <c r="E5" s="80">
        <f t="shared" si="0"/>
        <v>-65381.880000000005</v>
      </c>
    </row>
    <row r="6" spans="2:5" x14ac:dyDescent="0.2">
      <c r="B6" s="78" t="s">
        <v>77</v>
      </c>
      <c r="C6" s="80">
        <v>88379.74</v>
      </c>
      <c r="D6" s="80">
        <v>66675</v>
      </c>
      <c r="E6" s="80">
        <f t="shared" si="0"/>
        <v>-21704.740000000005</v>
      </c>
    </row>
    <row r="7" spans="2:5" x14ac:dyDescent="0.2">
      <c r="B7" s="78" t="s">
        <v>134</v>
      </c>
      <c r="C7" s="80">
        <v>739088.34</v>
      </c>
      <c r="D7" s="80">
        <v>465000</v>
      </c>
      <c r="E7" s="80">
        <f t="shared" si="0"/>
        <v>-274088.33999999997</v>
      </c>
    </row>
    <row r="8" spans="2:5" x14ac:dyDescent="0.2">
      <c r="B8" s="78" t="s">
        <v>137</v>
      </c>
      <c r="C8" s="80">
        <v>16641.23</v>
      </c>
      <c r="D8" s="80">
        <v>15000</v>
      </c>
      <c r="E8" s="80">
        <f t="shared" si="0"/>
        <v>-1641.2299999999996</v>
      </c>
    </row>
    <row r="9" spans="2:5" x14ac:dyDescent="0.2">
      <c r="B9" s="78" t="s">
        <v>170</v>
      </c>
      <c r="C9" s="80">
        <v>53910.7</v>
      </c>
      <c r="D9" s="80">
        <v>30000</v>
      </c>
      <c r="E9" s="80">
        <f t="shared" si="0"/>
        <v>-23910.699999999997</v>
      </c>
    </row>
    <row r="10" spans="2:5" x14ac:dyDescent="0.2">
      <c r="C10" s="80">
        <f>SUM(C4:C9)</f>
        <v>1141112.3</v>
      </c>
      <c r="D10" s="80">
        <f>SUM(D4:D9)</f>
        <v>745161.5</v>
      </c>
      <c r="E10" s="80">
        <f t="shared" si="0"/>
        <v>-395950.80000000005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tabSelected="1" topLeftCell="B1" zoomScale="85" zoomScaleNormal="85" workbookViewId="0">
      <pane ySplit="3" topLeftCell="A64" activePane="bottomLeft" state="frozen"/>
      <selection activeCell="A3" sqref="A3"/>
      <selection pane="bottomLeft" activeCell="S3" sqref="S3:S4"/>
    </sheetView>
  </sheetViews>
  <sheetFormatPr defaultColWidth="9.140625" defaultRowHeight="12" x14ac:dyDescent="0.2"/>
  <cols>
    <col min="1" max="1" width="7.7109375" style="87" customWidth="1"/>
    <col min="2" max="2" width="14.28515625" style="87" customWidth="1"/>
    <col min="3" max="3" width="25.28515625" style="99" customWidth="1"/>
    <col min="4" max="4" width="9.140625" style="87" customWidth="1"/>
    <col min="5" max="5" width="13.85546875" style="87" bestFit="1" customWidth="1"/>
    <col min="6" max="6" width="8.42578125" style="87" hidden="1" customWidth="1"/>
    <col min="7" max="7" width="10.5703125" style="87" hidden="1" customWidth="1"/>
    <col min="8" max="8" width="12.42578125" style="87" customWidth="1"/>
    <col min="9" max="9" width="14" style="87" customWidth="1"/>
    <col min="10" max="10" width="13.140625" style="87" customWidth="1"/>
    <col min="11" max="11" width="11.28515625" style="87" customWidth="1"/>
    <col min="12" max="12" width="11.5703125" style="87" customWidth="1"/>
    <col min="13" max="13" width="15.28515625" style="87" customWidth="1"/>
    <col min="14" max="14" width="12.5703125" style="87" customWidth="1"/>
    <col min="15" max="15" width="13.28515625" style="87" customWidth="1"/>
    <col min="16" max="16" width="12.7109375" style="87" bestFit="1" customWidth="1"/>
    <col min="17" max="17" width="12" style="87" customWidth="1"/>
    <col min="18" max="18" width="24.5703125" style="87" hidden="1" customWidth="1"/>
    <col min="19" max="19" width="10.28515625" style="87" bestFit="1" customWidth="1"/>
    <col min="20" max="16384" width="9.140625" style="87"/>
  </cols>
  <sheetData>
    <row r="1" spans="1:21" x14ac:dyDescent="0.2">
      <c r="A1" s="139" t="s">
        <v>945</v>
      </c>
      <c r="B1" s="140"/>
      <c r="C1" s="140"/>
      <c r="D1" s="139"/>
      <c r="E1" s="139"/>
      <c r="F1" s="139"/>
      <c r="G1" s="139"/>
      <c r="H1" s="139"/>
      <c r="I1" s="139"/>
      <c r="J1" s="139"/>
      <c r="K1" s="139"/>
      <c r="L1" s="145"/>
      <c r="M1" s="139"/>
      <c r="N1" s="139"/>
      <c r="O1" s="139"/>
      <c r="P1" s="147"/>
      <c r="Q1" s="139"/>
      <c r="R1" s="87">
        <v>20635879</v>
      </c>
    </row>
    <row r="2" spans="1:21" x14ac:dyDescent="0.2">
      <c r="A2" s="139"/>
      <c r="B2" s="139"/>
      <c r="C2" s="140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5"/>
      <c r="Q2" s="139"/>
      <c r="R2" s="113">
        <f>+R1-I4</f>
        <v>0</v>
      </c>
    </row>
    <row r="3" spans="1:21" ht="26.25" customHeight="1" x14ac:dyDescent="0.2">
      <c r="A3" s="88" t="s">
        <v>931</v>
      </c>
      <c r="B3" s="88" t="s">
        <v>827</v>
      </c>
      <c r="C3" s="132" t="s">
        <v>828</v>
      </c>
      <c r="D3" s="133" t="s">
        <v>829</v>
      </c>
      <c r="E3" s="133" t="s">
        <v>831</v>
      </c>
      <c r="F3" s="133" t="s">
        <v>832</v>
      </c>
      <c r="G3" s="133" t="s">
        <v>833</v>
      </c>
      <c r="H3" s="133" t="s">
        <v>834</v>
      </c>
      <c r="I3" s="133" t="s">
        <v>927</v>
      </c>
      <c r="J3" s="133" t="s">
        <v>836</v>
      </c>
      <c r="K3" s="133" t="s">
        <v>837</v>
      </c>
      <c r="L3" s="133" t="s">
        <v>838</v>
      </c>
      <c r="M3" s="134" t="s">
        <v>839</v>
      </c>
      <c r="N3" s="134" t="s">
        <v>840</v>
      </c>
      <c r="O3" s="134" t="s">
        <v>841</v>
      </c>
      <c r="P3" s="134" t="s">
        <v>842</v>
      </c>
      <c r="Q3" s="141">
        <v>2021</v>
      </c>
    </row>
    <row r="4" spans="1:21" ht="26.25" customHeight="1" x14ac:dyDescent="0.2">
      <c r="A4" s="89"/>
      <c r="B4" s="89" t="s">
        <v>933</v>
      </c>
      <c r="C4" s="105"/>
      <c r="D4" s="81"/>
      <c r="E4" s="81"/>
      <c r="F4" s="81"/>
      <c r="G4" s="81"/>
      <c r="H4" s="90">
        <f t="shared" ref="H4:Q4" si="0">+H6+H41+H70+H98+H92</f>
        <v>26486862.2544</v>
      </c>
      <c r="I4" s="90">
        <f t="shared" si="0"/>
        <v>20635879.000000004</v>
      </c>
      <c r="J4" s="90">
        <f t="shared" si="0"/>
        <v>5850983.2544</v>
      </c>
      <c r="K4" s="90">
        <f t="shared" si="0"/>
        <v>918127.55999999982</v>
      </c>
      <c r="L4" s="90">
        <f t="shared" si="0"/>
        <v>2544788.9099999997</v>
      </c>
      <c r="M4" s="90">
        <f t="shared" si="0"/>
        <v>5351903.42</v>
      </c>
      <c r="N4" s="90">
        <f t="shared" si="0"/>
        <v>4419509.4967999998</v>
      </c>
      <c r="O4" s="90">
        <f t="shared" si="0"/>
        <v>3901791.8975999998</v>
      </c>
      <c r="P4" s="90">
        <f t="shared" si="0"/>
        <v>6108256.3400000008</v>
      </c>
      <c r="Q4" s="90">
        <f t="shared" si="0"/>
        <v>3242484.63</v>
      </c>
      <c r="R4" s="113"/>
      <c r="S4" s="113"/>
      <c r="U4" s="113"/>
    </row>
    <row r="5" spans="1:21" ht="26.25" customHeight="1" x14ac:dyDescent="0.2">
      <c r="A5" s="81"/>
      <c r="B5" s="81" t="s">
        <v>932</v>
      </c>
      <c r="C5" s="105"/>
      <c r="D5" s="81"/>
      <c r="E5" s="81"/>
      <c r="F5" s="81"/>
      <c r="G5" s="81"/>
      <c r="H5" s="90">
        <f t="shared" ref="H5:Q5" si="1">+H6+H41+H70+H98</f>
        <v>23992062.2544</v>
      </c>
      <c r="I5" s="90">
        <f t="shared" si="1"/>
        <v>18141079.000000004</v>
      </c>
      <c r="J5" s="90">
        <f t="shared" si="1"/>
        <v>5850983.2544</v>
      </c>
      <c r="K5" s="90">
        <f t="shared" si="1"/>
        <v>918127.55999999982</v>
      </c>
      <c r="L5" s="90">
        <f t="shared" si="1"/>
        <v>2544788.9099999997</v>
      </c>
      <c r="M5" s="90">
        <f t="shared" si="1"/>
        <v>4049903.42</v>
      </c>
      <c r="N5" s="90">
        <f t="shared" si="1"/>
        <v>3863509.4967999998</v>
      </c>
      <c r="O5" s="90">
        <f t="shared" si="1"/>
        <v>3901791.8975999998</v>
      </c>
      <c r="P5" s="90">
        <f t="shared" si="1"/>
        <v>5731456.3400000008</v>
      </c>
      <c r="Q5" s="90">
        <f t="shared" si="1"/>
        <v>2982484.63</v>
      </c>
    </row>
    <row r="6" spans="1:21" ht="26.25" customHeight="1" x14ac:dyDescent="0.2">
      <c r="A6" s="100"/>
      <c r="B6" s="100" t="s">
        <v>0</v>
      </c>
      <c r="C6" s="106" t="s">
        <v>1</v>
      </c>
      <c r="D6" s="100" t="s">
        <v>2</v>
      </c>
      <c r="E6" s="100"/>
      <c r="F6" s="100"/>
      <c r="G6" s="100"/>
      <c r="H6" s="101">
        <f>+H7</f>
        <v>6809361.0763000008</v>
      </c>
      <c r="I6" s="101">
        <f t="shared" ref="I6:Q6" si="2">+I7</f>
        <v>5107020.7200000007</v>
      </c>
      <c r="J6" s="101">
        <f t="shared" si="2"/>
        <v>1702340.3563000003</v>
      </c>
      <c r="K6" s="101">
        <f t="shared" si="2"/>
        <v>326823.92999999993</v>
      </c>
      <c r="L6" s="101">
        <f t="shared" si="2"/>
        <v>644083.63</v>
      </c>
      <c r="M6" s="101">
        <f t="shared" si="2"/>
        <v>1567617.25</v>
      </c>
      <c r="N6" s="101">
        <f t="shared" si="2"/>
        <v>823598.15680000011</v>
      </c>
      <c r="O6" s="101">
        <f t="shared" si="2"/>
        <v>1094630.0995</v>
      </c>
      <c r="P6" s="101">
        <f t="shared" si="2"/>
        <v>1389752.03</v>
      </c>
      <c r="Q6" s="101">
        <f t="shared" si="2"/>
        <v>962855.9800000001</v>
      </c>
      <c r="R6" s="113"/>
    </row>
    <row r="7" spans="1:21" ht="26.25" customHeight="1" x14ac:dyDescent="0.2">
      <c r="A7" s="81"/>
      <c r="B7" s="81" t="s">
        <v>3</v>
      </c>
      <c r="C7" s="105" t="s">
        <v>4</v>
      </c>
      <c r="D7" s="81" t="s">
        <v>5</v>
      </c>
      <c r="E7" s="81"/>
      <c r="F7" s="81"/>
      <c r="G7" s="81">
        <v>75</v>
      </c>
      <c r="H7" s="90">
        <f t="shared" ref="H7:Q7" si="3">+H8+H24+H26+H29+H35+H38</f>
        <v>6809361.0763000008</v>
      </c>
      <c r="I7" s="90">
        <f t="shared" si="3"/>
        <v>5107020.7200000007</v>
      </c>
      <c r="J7" s="90">
        <f t="shared" si="3"/>
        <v>1702340.3563000003</v>
      </c>
      <c r="K7" s="90">
        <f t="shared" si="3"/>
        <v>326823.92999999993</v>
      </c>
      <c r="L7" s="90">
        <f t="shared" si="3"/>
        <v>644083.63</v>
      </c>
      <c r="M7" s="90">
        <f t="shared" si="3"/>
        <v>1567617.25</v>
      </c>
      <c r="N7" s="90">
        <f t="shared" si="3"/>
        <v>823598.15680000011</v>
      </c>
      <c r="O7" s="90">
        <f t="shared" si="3"/>
        <v>1094630.0995</v>
      </c>
      <c r="P7" s="90">
        <f t="shared" si="3"/>
        <v>1389752.03</v>
      </c>
      <c r="Q7" s="90">
        <f t="shared" si="3"/>
        <v>962855.9800000001</v>
      </c>
    </row>
    <row r="8" spans="1:21" ht="26.25" customHeight="1" x14ac:dyDescent="0.2">
      <c r="A8" s="82"/>
      <c r="B8" s="82" t="s">
        <v>6</v>
      </c>
      <c r="C8" s="107" t="s">
        <v>7</v>
      </c>
      <c r="D8" s="82" t="s">
        <v>8</v>
      </c>
      <c r="E8" s="82"/>
      <c r="F8" s="82"/>
      <c r="G8" s="82">
        <v>75</v>
      </c>
      <c r="H8" s="91">
        <f t="shared" ref="H8:Q8" si="4">SUM(H9:H23)</f>
        <v>4868244.9857000001</v>
      </c>
      <c r="I8" s="91">
        <f t="shared" si="4"/>
        <v>3651183.69</v>
      </c>
      <c r="J8" s="91">
        <f t="shared" si="4"/>
        <v>1217061.2957000004</v>
      </c>
      <c r="K8" s="91">
        <f t="shared" si="4"/>
        <v>278623.81999999995</v>
      </c>
      <c r="L8" s="91">
        <f t="shared" si="4"/>
        <v>473584.16</v>
      </c>
      <c r="M8" s="91">
        <f t="shared" si="4"/>
        <v>786584.83</v>
      </c>
      <c r="N8" s="91">
        <f t="shared" si="4"/>
        <v>607838.26500000001</v>
      </c>
      <c r="O8" s="91">
        <f t="shared" si="4"/>
        <v>863632.35069999995</v>
      </c>
      <c r="P8" s="91">
        <f t="shared" si="4"/>
        <v>1055112.24</v>
      </c>
      <c r="Q8" s="91">
        <f t="shared" si="4"/>
        <v>802869.32000000007</v>
      </c>
    </row>
    <row r="9" spans="1:21" s="97" customFormat="1" ht="26.25" customHeight="1" x14ac:dyDescent="0.2">
      <c r="A9" s="114">
        <v>1</v>
      </c>
      <c r="B9" s="114" t="s">
        <v>9</v>
      </c>
      <c r="C9" s="115" t="s">
        <v>10</v>
      </c>
      <c r="D9" s="114" t="s">
        <v>11</v>
      </c>
      <c r="E9" s="114" t="s">
        <v>854</v>
      </c>
      <c r="F9" s="114" t="s">
        <v>905</v>
      </c>
      <c r="G9" s="114">
        <v>75</v>
      </c>
      <c r="H9" s="116">
        <f>+K9+L9+M9+N9+O9+P9+Q9</f>
        <v>866988.43</v>
      </c>
      <c r="I9" s="116">
        <f t="shared" ref="I9:I22" si="5">ROUNDDOWN(H9*0.75,2)</f>
        <v>650241.31999999995</v>
      </c>
      <c r="J9" s="116">
        <f>+H9-I9</f>
        <v>216747.1100000001</v>
      </c>
      <c r="K9" s="116">
        <v>66983.58</v>
      </c>
      <c r="L9" s="116">
        <v>16404.349999999999</v>
      </c>
      <c r="M9" s="117">
        <v>224399.48</v>
      </c>
      <c r="N9" s="117">
        <v>28937.87</v>
      </c>
      <c r="O9" s="117">
        <v>175263.15</v>
      </c>
      <c r="P9" s="117">
        <v>187000</v>
      </c>
      <c r="Q9" s="117">
        <v>168000</v>
      </c>
      <c r="R9" s="143"/>
      <c r="S9" s="143"/>
    </row>
    <row r="10" spans="1:21" s="120" customFormat="1" ht="36" customHeight="1" x14ac:dyDescent="0.2">
      <c r="A10" s="114">
        <v>2</v>
      </c>
      <c r="B10" s="114" t="s">
        <v>16</v>
      </c>
      <c r="C10" s="115" t="s">
        <v>17</v>
      </c>
      <c r="D10" s="114" t="s">
        <v>11</v>
      </c>
      <c r="E10" s="114" t="s">
        <v>854</v>
      </c>
      <c r="F10" s="118" t="s">
        <v>914</v>
      </c>
      <c r="G10" s="118">
        <v>75</v>
      </c>
      <c r="H10" s="119">
        <f t="shared" ref="H10:H22" si="6">+K10+L10+M10+N10+O10+P10+Q10</f>
        <v>262417.16749999998</v>
      </c>
      <c r="I10" s="116">
        <f t="shared" si="5"/>
        <v>196812.87</v>
      </c>
      <c r="J10" s="119">
        <f t="shared" ref="J10:J15" si="7">+H10-I10</f>
        <v>65604.297499999986</v>
      </c>
      <c r="K10" s="119">
        <v>30317.7</v>
      </c>
      <c r="L10" s="119">
        <v>35191.019999999997</v>
      </c>
      <c r="M10" s="117">
        <v>31788.720000000005</v>
      </c>
      <c r="N10" s="117">
        <v>63010.43</v>
      </c>
      <c r="O10" s="117">
        <f>45429.25*1.07</f>
        <v>48609.297500000001</v>
      </c>
      <c r="P10" s="117">
        <v>53500</v>
      </c>
      <c r="Q10" s="117">
        <v>0</v>
      </c>
      <c r="S10" s="144"/>
    </row>
    <row r="11" spans="1:21" s="120" customFormat="1" ht="24" x14ac:dyDescent="0.2">
      <c r="A11" s="114" t="s">
        <v>83</v>
      </c>
      <c r="B11" s="114" t="s">
        <v>21</v>
      </c>
      <c r="C11" s="115" t="s">
        <v>22</v>
      </c>
      <c r="D11" s="114" t="s">
        <v>11</v>
      </c>
      <c r="E11" s="114" t="s">
        <v>900</v>
      </c>
      <c r="F11" s="118" t="s">
        <v>914</v>
      </c>
      <c r="G11" s="118">
        <v>75</v>
      </c>
      <c r="H11" s="119">
        <f t="shared" si="6"/>
        <v>445336.52</v>
      </c>
      <c r="I11" s="116">
        <f t="shared" si="5"/>
        <v>334002.39</v>
      </c>
      <c r="J11" s="119">
        <f t="shared" si="7"/>
        <v>111334.13</v>
      </c>
      <c r="K11" s="119">
        <v>48948.9</v>
      </c>
      <c r="L11" s="119">
        <v>236513.56</v>
      </c>
      <c r="M11" s="117">
        <f>175000-15125.94</f>
        <v>159874.06</v>
      </c>
      <c r="N11" s="117">
        <v>0</v>
      </c>
      <c r="O11" s="117">
        <v>0</v>
      </c>
      <c r="P11" s="117">
        <v>0</v>
      </c>
      <c r="Q11" s="117">
        <v>0</v>
      </c>
    </row>
    <row r="12" spans="1:21" s="120" customFormat="1" x14ac:dyDescent="0.2">
      <c r="A12" s="114">
        <v>3</v>
      </c>
      <c r="B12" s="114" t="s">
        <v>26</v>
      </c>
      <c r="C12" s="115" t="s">
        <v>27</v>
      </c>
      <c r="D12" s="114" t="s">
        <v>11</v>
      </c>
      <c r="E12" s="114" t="s">
        <v>854</v>
      </c>
      <c r="F12" s="118" t="s">
        <v>914</v>
      </c>
      <c r="G12" s="118">
        <v>75</v>
      </c>
      <c r="H12" s="119">
        <f t="shared" si="6"/>
        <v>189598.02160000001</v>
      </c>
      <c r="I12" s="116">
        <f t="shared" si="5"/>
        <v>142198.51</v>
      </c>
      <c r="J12" s="119">
        <f t="shared" si="7"/>
        <v>47399.511599999998</v>
      </c>
      <c r="K12" s="119">
        <v>6689.96</v>
      </c>
      <c r="L12" s="119">
        <f>30430.73+18880.44</f>
        <v>49311.17</v>
      </c>
      <c r="M12" s="119">
        <v>49952.3</v>
      </c>
      <c r="N12" s="117">
        <f>34731.5+7834.33</f>
        <v>42565.83</v>
      </c>
      <c r="O12" s="117">
        <f>15026.88*1.07</f>
        <v>16078.7616</v>
      </c>
      <c r="P12" s="117">
        <v>25000</v>
      </c>
      <c r="Q12" s="117">
        <v>0</v>
      </c>
    </row>
    <row r="13" spans="1:21" s="120" customFormat="1" ht="26.25" customHeight="1" x14ac:dyDescent="0.2">
      <c r="A13" s="114">
        <v>4</v>
      </c>
      <c r="B13" s="114" t="s">
        <v>30</v>
      </c>
      <c r="C13" s="115" t="s">
        <v>31</v>
      </c>
      <c r="D13" s="114" t="s">
        <v>11</v>
      </c>
      <c r="E13" s="114" t="s">
        <v>885</v>
      </c>
      <c r="F13" s="118" t="s">
        <v>905</v>
      </c>
      <c r="G13" s="118">
        <v>75</v>
      </c>
      <c r="H13" s="119">
        <f t="shared" si="6"/>
        <v>148581.32</v>
      </c>
      <c r="I13" s="116">
        <f t="shared" si="5"/>
        <v>111435.99</v>
      </c>
      <c r="J13" s="119">
        <f t="shared" si="7"/>
        <v>37145.33</v>
      </c>
      <c r="K13" s="119">
        <v>46645.62</v>
      </c>
      <c r="L13" s="119">
        <v>0</v>
      </c>
      <c r="M13" s="117">
        <f>108839.78-6271.2-12923.69</f>
        <v>89644.89</v>
      </c>
      <c r="N13" s="117">
        <v>12290.81</v>
      </c>
      <c r="O13" s="117">
        <v>0</v>
      </c>
      <c r="P13" s="117">
        <v>0</v>
      </c>
      <c r="Q13" s="117">
        <v>0</v>
      </c>
    </row>
    <row r="14" spans="1:21" s="120" customFormat="1" ht="24" x14ac:dyDescent="0.2">
      <c r="A14" s="114" t="s">
        <v>83</v>
      </c>
      <c r="B14" s="114" t="s">
        <v>34</v>
      </c>
      <c r="C14" s="115" t="s">
        <v>35</v>
      </c>
      <c r="D14" s="114" t="s">
        <v>11</v>
      </c>
      <c r="E14" s="114" t="s">
        <v>885</v>
      </c>
      <c r="F14" s="118" t="s">
        <v>914</v>
      </c>
      <c r="G14" s="118">
        <v>75</v>
      </c>
      <c r="H14" s="119">
        <f t="shared" si="6"/>
        <v>54233.74</v>
      </c>
      <c r="I14" s="116">
        <f t="shared" si="5"/>
        <v>40675.300000000003</v>
      </c>
      <c r="J14" s="119">
        <f t="shared" si="7"/>
        <v>13558.439999999995</v>
      </c>
      <c r="K14" s="119">
        <v>4721.5600000000004</v>
      </c>
      <c r="L14" s="119">
        <v>20278.439999999999</v>
      </c>
      <c r="M14" s="117">
        <f>20000+9223.89+9.85</f>
        <v>29233.739999999998</v>
      </c>
      <c r="N14" s="117">
        <v>0</v>
      </c>
      <c r="O14" s="117">
        <v>0</v>
      </c>
      <c r="P14" s="117">
        <v>0</v>
      </c>
      <c r="Q14" s="117">
        <v>0</v>
      </c>
    </row>
    <row r="15" spans="1:21" s="120" customFormat="1" ht="26.25" customHeight="1" x14ac:dyDescent="0.2">
      <c r="A15" s="117" t="s">
        <v>83</v>
      </c>
      <c r="B15" s="117" t="s">
        <v>39</v>
      </c>
      <c r="C15" s="117" t="s">
        <v>40</v>
      </c>
      <c r="D15" s="117" t="s">
        <v>11</v>
      </c>
      <c r="E15" s="117" t="s">
        <v>885</v>
      </c>
      <c r="F15" s="117" t="s">
        <v>905</v>
      </c>
      <c r="G15" s="117">
        <v>75</v>
      </c>
      <c r="H15" s="117">
        <f t="shared" si="6"/>
        <v>52389.25</v>
      </c>
      <c r="I15" s="116">
        <f t="shared" si="5"/>
        <v>39291.93</v>
      </c>
      <c r="J15" s="117">
        <f t="shared" si="7"/>
        <v>13097.32</v>
      </c>
      <c r="K15" s="117">
        <v>0</v>
      </c>
      <c r="L15" s="117">
        <v>16715.62</v>
      </c>
      <c r="M15" s="117">
        <v>35673.629999999997</v>
      </c>
      <c r="N15" s="117">
        <v>0</v>
      </c>
      <c r="O15" s="117">
        <v>0</v>
      </c>
      <c r="P15" s="117">
        <v>0</v>
      </c>
      <c r="Q15" s="117">
        <v>0</v>
      </c>
    </row>
    <row r="16" spans="1:21" s="120" customFormat="1" ht="24.75" customHeight="1" x14ac:dyDescent="0.2">
      <c r="A16" s="114" t="s">
        <v>83</v>
      </c>
      <c r="B16" s="114" t="s">
        <v>42</v>
      </c>
      <c r="C16" s="115" t="s">
        <v>43</v>
      </c>
      <c r="D16" s="114" t="s">
        <v>11</v>
      </c>
      <c r="E16" s="114" t="s">
        <v>885</v>
      </c>
      <c r="F16" s="118" t="s">
        <v>914</v>
      </c>
      <c r="G16" s="118">
        <v>75</v>
      </c>
      <c r="H16" s="119">
        <f t="shared" si="6"/>
        <v>188868.38</v>
      </c>
      <c r="I16" s="116">
        <f t="shared" si="5"/>
        <v>141651.28</v>
      </c>
      <c r="J16" s="119">
        <f>+H16-I16</f>
        <v>47217.100000000006</v>
      </c>
      <c r="K16" s="119">
        <v>24316.5</v>
      </c>
      <c r="L16" s="119">
        <v>49170</v>
      </c>
      <c r="M16" s="117">
        <f>50000+65381.88</f>
        <v>115381.88</v>
      </c>
      <c r="N16" s="117">
        <v>0</v>
      </c>
      <c r="O16" s="117">
        <v>0</v>
      </c>
      <c r="P16" s="117">
        <v>0</v>
      </c>
      <c r="Q16" s="117">
        <v>0</v>
      </c>
    </row>
    <row r="17" spans="1:19" s="97" customFormat="1" ht="26.25" customHeight="1" x14ac:dyDescent="0.2">
      <c r="A17" s="114" t="s">
        <v>83</v>
      </c>
      <c r="B17" s="114" t="s">
        <v>886</v>
      </c>
      <c r="C17" s="115" t="s">
        <v>888</v>
      </c>
      <c r="D17" s="114" t="s">
        <v>11</v>
      </c>
      <c r="E17" s="114" t="s">
        <v>885</v>
      </c>
      <c r="F17" s="118" t="s">
        <v>914</v>
      </c>
      <c r="G17" s="118">
        <v>75</v>
      </c>
      <c r="H17" s="119">
        <f t="shared" si="6"/>
        <v>149715.83000000002</v>
      </c>
      <c r="I17" s="116">
        <f t="shared" si="5"/>
        <v>112286.87</v>
      </c>
      <c r="J17" s="119">
        <f>+H17-I17</f>
        <v>37428.960000000021</v>
      </c>
      <c r="K17" s="119">
        <v>50000</v>
      </c>
      <c r="L17" s="119">
        <v>50000</v>
      </c>
      <c r="M17" s="117">
        <v>49715.83</v>
      </c>
      <c r="N17" s="117">
        <v>0</v>
      </c>
      <c r="O17" s="117">
        <v>0</v>
      </c>
      <c r="P17" s="117">
        <v>0</v>
      </c>
      <c r="Q17" s="117">
        <v>0</v>
      </c>
    </row>
    <row r="18" spans="1:19" s="97" customFormat="1" ht="26.25" customHeight="1" x14ac:dyDescent="0.2">
      <c r="A18" s="114" t="s">
        <v>83</v>
      </c>
      <c r="B18" s="114" t="s">
        <v>887</v>
      </c>
      <c r="C18" s="115" t="s">
        <v>889</v>
      </c>
      <c r="D18" s="114" t="s">
        <v>11</v>
      </c>
      <c r="E18" s="114" t="s">
        <v>885</v>
      </c>
      <c r="F18" s="118" t="s">
        <v>914</v>
      </c>
      <c r="G18" s="118">
        <v>75</v>
      </c>
      <c r="H18" s="119">
        <f t="shared" si="6"/>
        <v>920.3</v>
      </c>
      <c r="I18" s="116">
        <f t="shared" si="5"/>
        <v>690.22</v>
      </c>
      <c r="J18" s="119">
        <f>+H18-I18</f>
        <v>230.07999999999993</v>
      </c>
      <c r="K18" s="119">
        <v>0</v>
      </c>
      <c r="L18" s="119">
        <v>0</v>
      </c>
      <c r="M18" s="117">
        <v>920.3</v>
      </c>
      <c r="N18" s="117">
        <v>0</v>
      </c>
      <c r="O18" s="117">
        <v>0</v>
      </c>
      <c r="P18" s="117">
        <v>0</v>
      </c>
      <c r="Q18" s="117">
        <v>0</v>
      </c>
    </row>
    <row r="19" spans="1:19" s="97" customFormat="1" ht="26.25" customHeight="1" x14ac:dyDescent="0.2">
      <c r="A19" s="118">
        <v>5</v>
      </c>
      <c r="B19" s="118" t="s">
        <v>895</v>
      </c>
      <c r="C19" s="121" t="s">
        <v>22</v>
      </c>
      <c r="D19" s="118" t="s">
        <v>11</v>
      </c>
      <c r="E19" s="118" t="s">
        <v>854</v>
      </c>
      <c r="F19" s="118" t="s">
        <v>914</v>
      </c>
      <c r="G19" s="118">
        <v>75</v>
      </c>
      <c r="H19" s="119">
        <f t="shared" si="6"/>
        <v>856820.67660000012</v>
      </c>
      <c r="I19" s="116">
        <f t="shared" si="5"/>
        <v>642615.5</v>
      </c>
      <c r="J19" s="119">
        <f>H19-I19</f>
        <v>214205.17660000012</v>
      </c>
      <c r="K19" s="119">
        <v>0</v>
      </c>
      <c r="L19" s="119">
        <v>0</v>
      </c>
      <c r="M19" s="117">
        <v>0</v>
      </c>
      <c r="N19" s="117">
        <f>170900.5*1.07</f>
        <v>182863.535</v>
      </c>
      <c r="O19" s="117">
        <f>227184.88*1.07</f>
        <v>243087.82160000002</v>
      </c>
      <c r="P19" s="117">
        <v>276000</v>
      </c>
      <c r="Q19" s="117">
        <f>150000+4869.32</f>
        <v>154869.32</v>
      </c>
    </row>
    <row r="20" spans="1:19" s="120" customFormat="1" ht="26.25" customHeight="1" x14ac:dyDescent="0.2">
      <c r="A20" s="118">
        <v>6</v>
      </c>
      <c r="B20" s="122" t="s">
        <v>911</v>
      </c>
      <c r="C20" s="121" t="s">
        <v>31</v>
      </c>
      <c r="D20" s="122" t="s">
        <v>11</v>
      </c>
      <c r="E20" s="122" t="s">
        <v>904</v>
      </c>
      <c r="F20" s="122" t="s">
        <v>905</v>
      </c>
      <c r="G20" s="118">
        <v>75</v>
      </c>
      <c r="H20" s="123">
        <f t="shared" si="6"/>
        <v>284514.59999999998</v>
      </c>
      <c r="I20" s="116">
        <f t="shared" si="5"/>
        <v>213385.95</v>
      </c>
      <c r="J20" s="123">
        <f>H20-I20</f>
        <v>71128.649999999965</v>
      </c>
      <c r="K20" s="123">
        <v>0</v>
      </c>
      <c r="L20" s="123">
        <v>0</v>
      </c>
      <c r="M20" s="123">
        <v>0</v>
      </c>
      <c r="N20" s="123">
        <v>72351.649999999994</v>
      </c>
      <c r="O20" s="123">
        <v>61782.09</v>
      </c>
      <c r="P20" s="123">
        <v>110380.86</v>
      </c>
      <c r="Q20" s="123">
        <v>40000</v>
      </c>
    </row>
    <row r="21" spans="1:19" s="120" customFormat="1" ht="26.25" customHeight="1" x14ac:dyDescent="0.2">
      <c r="A21" s="118">
        <v>7</v>
      </c>
      <c r="B21" s="122" t="s">
        <v>912</v>
      </c>
      <c r="C21" s="121" t="s">
        <v>906</v>
      </c>
      <c r="D21" s="122" t="s">
        <v>11</v>
      </c>
      <c r="E21" s="122" t="s">
        <v>904</v>
      </c>
      <c r="F21" s="118" t="s">
        <v>914</v>
      </c>
      <c r="G21" s="118">
        <v>75</v>
      </c>
      <c r="H21" s="123">
        <f t="shared" si="6"/>
        <v>917887.48</v>
      </c>
      <c r="I21" s="116">
        <f t="shared" si="5"/>
        <v>688415.61</v>
      </c>
      <c r="J21" s="123">
        <f>H21-I21</f>
        <v>229471.87</v>
      </c>
      <c r="K21" s="123">
        <v>0</v>
      </c>
      <c r="L21" s="123">
        <v>0</v>
      </c>
      <c r="M21" s="123">
        <v>0</v>
      </c>
      <c r="N21" s="123">
        <v>152035.24</v>
      </c>
      <c r="O21" s="123">
        <v>235852.24</v>
      </c>
      <c r="P21" s="123">
        <v>230000</v>
      </c>
      <c r="Q21" s="123">
        <v>300000</v>
      </c>
    </row>
    <row r="22" spans="1:19" s="120" customFormat="1" ht="26.25" customHeight="1" x14ac:dyDescent="0.2">
      <c r="A22" s="118">
        <v>8</v>
      </c>
      <c r="B22" s="122" t="s">
        <v>913</v>
      </c>
      <c r="C22" s="121" t="s">
        <v>40</v>
      </c>
      <c r="D22" s="122" t="s">
        <v>11</v>
      </c>
      <c r="E22" s="122" t="s">
        <v>904</v>
      </c>
      <c r="F22" s="118" t="s">
        <v>905</v>
      </c>
      <c r="G22" s="137">
        <v>75</v>
      </c>
      <c r="H22" s="123">
        <f t="shared" si="6"/>
        <v>309973.27</v>
      </c>
      <c r="I22" s="116">
        <f t="shared" si="5"/>
        <v>232479.95</v>
      </c>
      <c r="J22" s="123">
        <f>H22-I22</f>
        <v>77493.320000000007</v>
      </c>
      <c r="K22" s="123">
        <v>0</v>
      </c>
      <c r="L22" s="123">
        <v>0</v>
      </c>
      <c r="M22" s="123">
        <v>0</v>
      </c>
      <c r="N22" s="123">
        <v>53782.9</v>
      </c>
      <c r="O22" s="123">
        <v>82958.990000000005</v>
      </c>
      <c r="P22" s="123">
        <v>103231.38</v>
      </c>
      <c r="Q22" s="123">
        <v>70000</v>
      </c>
    </row>
    <row r="23" spans="1:19" s="120" customFormat="1" ht="24" x14ac:dyDescent="0.2">
      <c r="A23" s="118">
        <v>9</v>
      </c>
      <c r="B23" s="122" t="s">
        <v>942</v>
      </c>
      <c r="C23" s="121" t="s">
        <v>943</v>
      </c>
      <c r="D23" s="122" t="s">
        <v>11</v>
      </c>
      <c r="E23" s="122" t="s">
        <v>944</v>
      </c>
      <c r="F23" s="118" t="s">
        <v>914</v>
      </c>
      <c r="G23" s="137">
        <v>75</v>
      </c>
      <c r="H23" s="123">
        <f>+K23+L23+M23+N23+O23+P23+Q23</f>
        <v>140000</v>
      </c>
      <c r="I23" s="116">
        <f>ROUNDDOWN(H23*0.75,2)</f>
        <v>105000</v>
      </c>
      <c r="J23" s="123">
        <f>H23-I23</f>
        <v>35000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70000</v>
      </c>
      <c r="Q23" s="123">
        <v>70000</v>
      </c>
    </row>
    <row r="24" spans="1:19" s="92" customFormat="1" ht="26.25" customHeight="1" x14ac:dyDescent="0.2">
      <c r="A24" s="82"/>
      <c r="B24" s="82" t="s">
        <v>45</v>
      </c>
      <c r="C24" s="107" t="s">
        <v>46</v>
      </c>
      <c r="D24" s="82" t="s">
        <v>8</v>
      </c>
      <c r="E24" s="82"/>
      <c r="F24" s="82"/>
      <c r="G24" s="82">
        <v>75</v>
      </c>
      <c r="H24" s="91">
        <f>+H25</f>
        <v>7966.37</v>
      </c>
      <c r="I24" s="91">
        <f t="shared" ref="I24:Q24" si="8">+I25</f>
        <v>5974.77</v>
      </c>
      <c r="J24" s="91">
        <f t="shared" si="8"/>
        <v>1991.5999999999995</v>
      </c>
      <c r="K24" s="91">
        <f t="shared" si="8"/>
        <v>0</v>
      </c>
      <c r="L24" s="91">
        <f t="shared" si="8"/>
        <v>5384.29</v>
      </c>
      <c r="M24" s="91">
        <f t="shared" si="8"/>
        <v>0</v>
      </c>
      <c r="N24" s="91">
        <f t="shared" si="8"/>
        <v>582.08000000000004</v>
      </c>
      <c r="O24" s="91">
        <f t="shared" si="8"/>
        <v>0</v>
      </c>
      <c r="P24" s="91">
        <f t="shared" si="8"/>
        <v>2000</v>
      </c>
      <c r="Q24" s="91">
        <f t="shared" si="8"/>
        <v>0</v>
      </c>
    </row>
    <row r="25" spans="1:19" s="97" customFormat="1" ht="26.25" customHeight="1" x14ac:dyDescent="0.2">
      <c r="A25" s="114">
        <v>10</v>
      </c>
      <c r="B25" s="114" t="s">
        <v>47</v>
      </c>
      <c r="C25" s="115" t="s">
        <v>48</v>
      </c>
      <c r="D25" s="114" t="s">
        <v>11</v>
      </c>
      <c r="E25" s="114" t="s">
        <v>854</v>
      </c>
      <c r="F25" s="114" t="s">
        <v>914</v>
      </c>
      <c r="G25" s="114">
        <v>75</v>
      </c>
      <c r="H25" s="123">
        <f>+K25+L25+M25+N25+O25+P25+Q25</f>
        <v>7966.37</v>
      </c>
      <c r="I25" s="116">
        <f t="shared" ref="I25:I40" si="9">ROUNDDOWN(H25*0.75,2)</f>
        <v>5974.77</v>
      </c>
      <c r="J25" s="116">
        <f>+H25-I25</f>
        <v>1991.5999999999995</v>
      </c>
      <c r="K25" s="116"/>
      <c r="L25" s="116">
        <v>5384.29</v>
      </c>
      <c r="M25" s="124">
        <v>0</v>
      </c>
      <c r="N25" s="124">
        <v>582.08000000000004</v>
      </c>
      <c r="O25" s="124">
        <v>0</v>
      </c>
      <c r="P25" s="124">
        <v>2000</v>
      </c>
      <c r="Q25" s="124">
        <v>0</v>
      </c>
    </row>
    <row r="26" spans="1:19" s="92" customFormat="1" ht="26.25" customHeight="1" x14ac:dyDescent="0.2">
      <c r="A26" s="82"/>
      <c r="B26" s="82" t="s">
        <v>53</v>
      </c>
      <c r="C26" s="107" t="s">
        <v>54</v>
      </c>
      <c r="D26" s="82" t="s">
        <v>8</v>
      </c>
      <c r="E26" s="82"/>
      <c r="F26" s="82"/>
      <c r="G26" s="82">
        <v>75</v>
      </c>
      <c r="H26" s="91">
        <f t="shared" ref="H26:Q26" si="10">SUM(H27:H28)</f>
        <v>800007.44</v>
      </c>
      <c r="I26" s="91">
        <f t="shared" si="10"/>
        <v>600005.57000000007</v>
      </c>
      <c r="J26" s="91">
        <f t="shared" si="10"/>
        <v>200001.86999999997</v>
      </c>
      <c r="K26" s="91">
        <f t="shared" si="10"/>
        <v>15626.31</v>
      </c>
      <c r="L26" s="91">
        <f t="shared" si="10"/>
        <v>62041.39</v>
      </c>
      <c r="M26" s="91">
        <f t="shared" si="10"/>
        <v>625963.15</v>
      </c>
      <c r="N26" s="91">
        <f t="shared" si="10"/>
        <v>10582.64</v>
      </c>
      <c r="O26" s="91">
        <f t="shared" si="10"/>
        <v>5793.95</v>
      </c>
      <c r="P26" s="91">
        <f t="shared" si="10"/>
        <v>80000</v>
      </c>
      <c r="Q26" s="91">
        <f t="shared" si="10"/>
        <v>0</v>
      </c>
    </row>
    <row r="27" spans="1:19" s="97" customFormat="1" ht="26.25" customHeight="1" x14ac:dyDescent="0.2">
      <c r="A27" s="114" t="s">
        <v>83</v>
      </c>
      <c r="B27" s="114" t="s">
        <v>55</v>
      </c>
      <c r="C27" s="115" t="s">
        <v>56</v>
      </c>
      <c r="D27" s="114" t="s">
        <v>11</v>
      </c>
      <c r="E27" s="114" t="s">
        <v>885</v>
      </c>
      <c r="F27" s="114" t="s">
        <v>914</v>
      </c>
      <c r="G27" s="114">
        <v>75</v>
      </c>
      <c r="H27" s="116">
        <f>+K27+L27+M27+N27+O27+P27+Q27</f>
        <v>703630.85</v>
      </c>
      <c r="I27" s="116">
        <f t="shared" si="9"/>
        <v>527723.13</v>
      </c>
      <c r="J27" s="116">
        <f>+H27-I27</f>
        <v>175907.71999999997</v>
      </c>
      <c r="K27" s="116">
        <v>15626.31</v>
      </c>
      <c r="L27" s="116">
        <f>26010.64+23437.91+12592.84</f>
        <v>62041.39</v>
      </c>
      <c r="M27" s="117">
        <f>825441.27-199478.12</f>
        <v>625963.15</v>
      </c>
      <c r="N27" s="117">
        <v>0</v>
      </c>
      <c r="O27" s="117">
        <v>0</v>
      </c>
      <c r="P27" s="117">
        <v>0</v>
      </c>
      <c r="Q27" s="117">
        <v>0</v>
      </c>
    </row>
    <row r="28" spans="1:19" s="120" customFormat="1" ht="26.25" customHeight="1" x14ac:dyDescent="0.2">
      <c r="A28" s="118">
        <v>11</v>
      </c>
      <c r="B28" s="122" t="s">
        <v>915</v>
      </c>
      <c r="C28" s="121" t="s">
        <v>907</v>
      </c>
      <c r="D28" s="122" t="s">
        <v>11</v>
      </c>
      <c r="E28" s="122" t="s">
        <v>904</v>
      </c>
      <c r="F28" s="118" t="s">
        <v>914</v>
      </c>
      <c r="G28" s="118">
        <v>75</v>
      </c>
      <c r="H28" s="123">
        <f>+K28+L28+M28+N28+O28+P28+Q28</f>
        <v>96376.59</v>
      </c>
      <c r="I28" s="116">
        <f t="shared" si="9"/>
        <v>72282.44</v>
      </c>
      <c r="J28" s="123">
        <f>H28-I28</f>
        <v>24094.149999999994</v>
      </c>
      <c r="K28" s="119">
        <v>0</v>
      </c>
      <c r="L28" s="119">
        <v>0</v>
      </c>
      <c r="M28" s="117">
        <v>0</v>
      </c>
      <c r="N28" s="123">
        <v>10582.64</v>
      </c>
      <c r="O28" s="123">
        <v>5793.95</v>
      </c>
      <c r="P28" s="123">
        <v>80000</v>
      </c>
      <c r="Q28" s="123">
        <v>0</v>
      </c>
    </row>
    <row r="29" spans="1:19" s="92" customFormat="1" ht="36" x14ac:dyDescent="0.2">
      <c r="A29" s="83"/>
      <c r="B29" s="83" t="s">
        <v>66</v>
      </c>
      <c r="C29" s="108" t="s">
        <v>67</v>
      </c>
      <c r="D29" s="83" t="s">
        <v>8</v>
      </c>
      <c r="E29" s="83"/>
      <c r="F29" s="83"/>
      <c r="G29" s="83">
        <v>75</v>
      </c>
      <c r="H29" s="94">
        <f>SUM(H30:H34)</f>
        <v>701672.10060000001</v>
      </c>
      <c r="I29" s="94">
        <f t="shared" ref="I29:P29" si="11">SUM(I30:I34)</f>
        <v>526254.07000000007</v>
      </c>
      <c r="J29" s="94">
        <f t="shared" si="11"/>
        <v>175418.0306</v>
      </c>
      <c r="K29" s="94">
        <f t="shared" si="11"/>
        <v>11203.8</v>
      </c>
      <c r="L29" s="94">
        <f t="shared" si="11"/>
        <v>58792.020000000004</v>
      </c>
      <c r="M29" s="94">
        <f t="shared" si="11"/>
        <v>104355.28</v>
      </c>
      <c r="N29" s="94">
        <f t="shared" si="11"/>
        <v>87789.721799999999</v>
      </c>
      <c r="O29" s="94">
        <f t="shared" si="11"/>
        <v>136891.48879999999</v>
      </c>
      <c r="P29" s="94">
        <f t="shared" si="11"/>
        <v>162639.78999999998</v>
      </c>
      <c r="Q29" s="94">
        <f>SUM(Q30:Q34)</f>
        <v>140000</v>
      </c>
    </row>
    <row r="30" spans="1:19" s="97" customFormat="1" ht="26.25" customHeight="1" x14ac:dyDescent="0.2">
      <c r="A30" s="118" t="s">
        <v>83</v>
      </c>
      <c r="B30" s="118" t="s">
        <v>68</v>
      </c>
      <c r="C30" s="121" t="s">
        <v>69</v>
      </c>
      <c r="D30" s="118" t="s">
        <v>11</v>
      </c>
      <c r="E30" s="118" t="s">
        <v>904</v>
      </c>
      <c r="F30" s="118" t="s">
        <v>905</v>
      </c>
      <c r="G30" s="118">
        <v>75</v>
      </c>
      <c r="H30" s="119">
        <f>+K30+L30+M30+N30+O30+P30+Q30</f>
        <v>63287.55</v>
      </c>
      <c r="I30" s="116">
        <f t="shared" si="9"/>
        <v>47465.66</v>
      </c>
      <c r="J30" s="123">
        <f>H30-I30</f>
        <v>15821.89</v>
      </c>
      <c r="K30" s="119">
        <v>5993.8</v>
      </c>
      <c r="L30" s="119">
        <v>4792.0200000000004</v>
      </c>
      <c r="M30" s="117">
        <v>8565.2799999999988</v>
      </c>
      <c r="N30" s="117">
        <v>0</v>
      </c>
      <c r="O30" s="117">
        <v>19960.97</v>
      </c>
      <c r="P30" s="117">
        <v>23975.48</v>
      </c>
      <c r="Q30" s="117">
        <v>0</v>
      </c>
      <c r="S30" s="143"/>
    </row>
    <row r="31" spans="1:19" s="120" customFormat="1" ht="48" x14ac:dyDescent="0.2">
      <c r="A31" s="118" t="s">
        <v>83</v>
      </c>
      <c r="B31" s="118" t="s">
        <v>71</v>
      </c>
      <c r="C31" s="121" t="s">
        <v>72</v>
      </c>
      <c r="D31" s="118" t="s">
        <v>11</v>
      </c>
      <c r="E31" s="118" t="s">
        <v>923</v>
      </c>
      <c r="F31" s="118" t="s">
        <v>914</v>
      </c>
      <c r="G31" s="118">
        <v>75</v>
      </c>
      <c r="H31" s="119">
        <f>+K31+L31+M31+N31+O31+P31+Q31</f>
        <v>155000</v>
      </c>
      <c r="I31" s="116">
        <f t="shared" si="9"/>
        <v>116250</v>
      </c>
      <c r="J31" s="119">
        <f>+H31-I31</f>
        <v>38750</v>
      </c>
      <c r="K31" s="119">
        <v>5210</v>
      </c>
      <c r="L31" s="119">
        <v>54000</v>
      </c>
      <c r="M31" s="117">
        <f>65000+30790</f>
        <v>95790</v>
      </c>
      <c r="N31" s="117">
        <v>0</v>
      </c>
      <c r="O31" s="117">
        <v>0</v>
      </c>
      <c r="P31" s="117">
        <v>0</v>
      </c>
      <c r="Q31" s="117">
        <v>0</v>
      </c>
    </row>
    <row r="32" spans="1:19" s="120" customFormat="1" ht="22.5" customHeight="1" x14ac:dyDescent="0.2">
      <c r="A32" s="118">
        <v>12</v>
      </c>
      <c r="B32" s="118" t="s">
        <v>901</v>
      </c>
      <c r="C32" s="121" t="s">
        <v>917</v>
      </c>
      <c r="D32" s="118" t="s">
        <v>11</v>
      </c>
      <c r="E32" s="118" t="s">
        <v>904</v>
      </c>
      <c r="F32" s="118" t="s">
        <v>914</v>
      </c>
      <c r="G32" s="118">
        <v>75</v>
      </c>
      <c r="H32" s="119">
        <f>+K32+L32+M32+N32+O32+P32+Q32</f>
        <v>279990</v>
      </c>
      <c r="I32" s="116">
        <f t="shared" si="9"/>
        <v>209992.5</v>
      </c>
      <c r="J32" s="119">
        <f>+H32-I32</f>
        <v>69997.5</v>
      </c>
      <c r="K32" s="119">
        <v>0</v>
      </c>
      <c r="L32" s="119">
        <v>0</v>
      </c>
      <c r="M32" s="117">
        <v>0</v>
      </c>
      <c r="N32" s="117">
        <v>38339.949999999997</v>
      </c>
      <c r="O32" s="117">
        <v>60985.74</v>
      </c>
      <c r="P32" s="117">
        <v>70664.31</v>
      </c>
      <c r="Q32" s="117">
        <v>110000</v>
      </c>
    </row>
    <row r="33" spans="1:17" s="120" customFormat="1" ht="29.25" customHeight="1" x14ac:dyDescent="0.2">
      <c r="A33" s="118">
        <v>13</v>
      </c>
      <c r="B33" s="118" t="s">
        <v>902</v>
      </c>
      <c r="C33" s="121" t="s">
        <v>903</v>
      </c>
      <c r="D33" s="118" t="s">
        <v>11</v>
      </c>
      <c r="E33" s="118" t="s">
        <v>854</v>
      </c>
      <c r="F33" s="118" t="s">
        <v>914</v>
      </c>
      <c r="G33" s="118">
        <v>75</v>
      </c>
      <c r="H33" s="119">
        <f>+K33+L33+M33+N33+O33+P33+Q33</f>
        <v>168394.55060000002</v>
      </c>
      <c r="I33" s="116">
        <f t="shared" si="9"/>
        <v>126295.91</v>
      </c>
      <c r="J33" s="119">
        <f>+H33-I33</f>
        <v>42098.640600000013</v>
      </c>
      <c r="K33" s="119">
        <v>0</v>
      </c>
      <c r="L33" s="119">
        <v>0</v>
      </c>
      <c r="M33" s="117">
        <v>0</v>
      </c>
      <c r="N33" s="117">
        <f>46214.74*1.07</f>
        <v>49449.771800000002</v>
      </c>
      <c r="O33" s="117">
        <f>52284.84*1.07</f>
        <v>55944.7788</v>
      </c>
      <c r="P33" s="117">
        <v>63000</v>
      </c>
      <c r="Q33" s="117">
        <v>0</v>
      </c>
    </row>
    <row r="34" spans="1:17" s="120" customFormat="1" ht="26.25" customHeight="1" x14ac:dyDescent="0.2">
      <c r="A34" s="118">
        <v>14</v>
      </c>
      <c r="B34" s="122" t="s">
        <v>916</v>
      </c>
      <c r="C34" s="121" t="s">
        <v>69</v>
      </c>
      <c r="D34" s="122" t="s">
        <v>11</v>
      </c>
      <c r="E34" s="122" t="s">
        <v>904</v>
      </c>
      <c r="F34" s="118" t="s">
        <v>905</v>
      </c>
      <c r="G34" s="118">
        <v>75</v>
      </c>
      <c r="H34" s="123">
        <f>+K34+L34+M34+N34+O34+P34+Q34</f>
        <v>35000</v>
      </c>
      <c r="I34" s="116">
        <f t="shared" si="9"/>
        <v>26250</v>
      </c>
      <c r="J34" s="123">
        <f>H34-I34</f>
        <v>8750</v>
      </c>
      <c r="K34" s="119">
        <v>0</v>
      </c>
      <c r="L34" s="119">
        <v>0</v>
      </c>
      <c r="M34" s="117">
        <v>0</v>
      </c>
      <c r="N34" s="117">
        <v>0</v>
      </c>
      <c r="O34" s="117">
        <v>0</v>
      </c>
      <c r="P34" s="117">
        <v>5000</v>
      </c>
      <c r="Q34" s="117">
        <v>30000</v>
      </c>
    </row>
    <row r="35" spans="1:17" s="92" customFormat="1" ht="48" x14ac:dyDescent="0.2">
      <c r="A35" s="83"/>
      <c r="B35" s="83" t="s">
        <v>75</v>
      </c>
      <c r="C35" s="108" t="s">
        <v>76</v>
      </c>
      <c r="D35" s="83" t="s">
        <v>8</v>
      </c>
      <c r="E35" s="83"/>
      <c r="F35" s="83"/>
      <c r="G35" s="83">
        <v>75</v>
      </c>
      <c r="H35" s="94">
        <f>SUM(H36:H37)</f>
        <v>317786.21999999997</v>
      </c>
      <c r="I35" s="94">
        <f t="shared" ref="I35:P35" si="12">SUM(I36:I37)</f>
        <v>238339.65999999997</v>
      </c>
      <c r="J35" s="94">
        <f t="shared" si="12"/>
        <v>79446.559999999998</v>
      </c>
      <c r="K35" s="94">
        <f t="shared" si="12"/>
        <v>21370</v>
      </c>
      <c r="L35" s="94">
        <f t="shared" si="12"/>
        <v>20305</v>
      </c>
      <c r="M35" s="94">
        <f t="shared" si="12"/>
        <v>46704.740000000005</v>
      </c>
      <c r="N35" s="94">
        <f t="shared" si="12"/>
        <v>89090.17</v>
      </c>
      <c r="O35" s="94">
        <f t="shared" si="12"/>
        <v>70316.31</v>
      </c>
      <c r="P35" s="94">
        <f t="shared" si="12"/>
        <v>70000</v>
      </c>
      <c r="Q35" s="94">
        <f>SUM(Q36:Q37)</f>
        <v>0</v>
      </c>
    </row>
    <row r="36" spans="1:17" s="97" customFormat="1" ht="26.25" customHeight="1" x14ac:dyDescent="0.2">
      <c r="A36" s="118" t="s">
        <v>83</v>
      </c>
      <c r="B36" s="118" t="s">
        <v>77</v>
      </c>
      <c r="C36" s="121" t="s">
        <v>78</v>
      </c>
      <c r="D36" s="118" t="s">
        <v>11</v>
      </c>
      <c r="E36" s="118" t="s">
        <v>885</v>
      </c>
      <c r="F36" s="118" t="s">
        <v>914</v>
      </c>
      <c r="G36" s="118">
        <v>75</v>
      </c>
      <c r="H36" s="119">
        <f>+K36+L36+M36+N36+O36+P36+Q36</f>
        <v>88379.74</v>
      </c>
      <c r="I36" s="116">
        <f t="shared" si="9"/>
        <v>66284.800000000003</v>
      </c>
      <c r="J36" s="119">
        <f>H36-I36</f>
        <v>22094.940000000002</v>
      </c>
      <c r="K36" s="119">
        <v>21370</v>
      </c>
      <c r="L36" s="119">
        <v>20305</v>
      </c>
      <c r="M36" s="117">
        <f>25000+21704.74</f>
        <v>46704.740000000005</v>
      </c>
      <c r="N36" s="117">
        <v>0</v>
      </c>
      <c r="O36" s="117">
        <v>0</v>
      </c>
      <c r="P36" s="117">
        <v>0</v>
      </c>
      <c r="Q36" s="117">
        <v>0</v>
      </c>
    </row>
    <row r="37" spans="1:17" s="97" customFormat="1" ht="26.25" customHeight="1" x14ac:dyDescent="0.2">
      <c r="A37" s="118">
        <v>15</v>
      </c>
      <c r="B37" s="122" t="s">
        <v>928</v>
      </c>
      <c r="C37" s="121" t="s">
        <v>908</v>
      </c>
      <c r="D37" s="122" t="s">
        <v>11</v>
      </c>
      <c r="E37" s="122" t="s">
        <v>904</v>
      </c>
      <c r="F37" s="118" t="s">
        <v>914</v>
      </c>
      <c r="G37" s="118">
        <v>75</v>
      </c>
      <c r="H37" s="123">
        <f>+K37+L37+M37+N37+O37+P37+Q37</f>
        <v>229406.47999999998</v>
      </c>
      <c r="I37" s="116">
        <f t="shared" si="9"/>
        <v>172054.86</v>
      </c>
      <c r="J37" s="123">
        <f>H37-I37</f>
        <v>57351.619999999995</v>
      </c>
      <c r="K37" s="119">
        <v>0</v>
      </c>
      <c r="L37" s="119">
        <v>0</v>
      </c>
      <c r="M37" s="117">
        <v>0</v>
      </c>
      <c r="N37" s="123">
        <v>89090.17</v>
      </c>
      <c r="O37" s="123">
        <v>70316.31</v>
      </c>
      <c r="P37" s="123">
        <v>70000</v>
      </c>
      <c r="Q37" s="123">
        <v>0</v>
      </c>
    </row>
    <row r="38" spans="1:17" s="92" customFormat="1" ht="36" x14ac:dyDescent="0.2">
      <c r="A38" s="83"/>
      <c r="B38" s="83" t="s">
        <v>81</v>
      </c>
      <c r="C38" s="108" t="s">
        <v>82</v>
      </c>
      <c r="D38" s="83" t="s">
        <v>8</v>
      </c>
      <c r="E38" s="83"/>
      <c r="F38" s="83"/>
      <c r="G38" s="83">
        <v>75</v>
      </c>
      <c r="H38" s="94">
        <f>SUM(H39:H40)</f>
        <v>113683.96</v>
      </c>
      <c r="I38" s="94">
        <f t="shared" ref="I38:O38" si="13">SUM(I39:I40)</f>
        <v>85262.959999999992</v>
      </c>
      <c r="J38" s="94">
        <f t="shared" si="13"/>
        <v>28421.000000000007</v>
      </c>
      <c r="K38" s="94">
        <f t="shared" si="13"/>
        <v>0</v>
      </c>
      <c r="L38" s="94">
        <f t="shared" si="13"/>
        <v>23976.77</v>
      </c>
      <c r="M38" s="94">
        <f t="shared" si="13"/>
        <v>4009.25</v>
      </c>
      <c r="N38" s="94">
        <f t="shared" si="13"/>
        <v>27715.279999999999</v>
      </c>
      <c r="O38" s="94">
        <f t="shared" si="13"/>
        <v>17996</v>
      </c>
      <c r="P38" s="94">
        <f>SUM(P39:P40)</f>
        <v>20000</v>
      </c>
      <c r="Q38" s="94">
        <f>SUM(Q39:Q40)</f>
        <v>19986.66</v>
      </c>
    </row>
    <row r="39" spans="1:17" s="97" customFormat="1" ht="24" x14ac:dyDescent="0.2">
      <c r="A39" s="118" t="s">
        <v>83</v>
      </c>
      <c r="B39" s="118" t="s">
        <v>84</v>
      </c>
      <c r="C39" s="121" t="s">
        <v>85</v>
      </c>
      <c r="D39" s="118" t="s">
        <v>11</v>
      </c>
      <c r="E39" s="118" t="s">
        <v>885</v>
      </c>
      <c r="F39" s="118" t="s">
        <v>905</v>
      </c>
      <c r="G39" s="118">
        <v>75</v>
      </c>
      <c r="H39" s="119">
        <v>55701.3</v>
      </c>
      <c r="I39" s="119">
        <f t="shared" si="9"/>
        <v>41775.97</v>
      </c>
      <c r="J39" s="119">
        <f>+H39-I39</f>
        <v>13925.330000000002</v>
      </c>
      <c r="K39" s="119">
        <v>0</v>
      </c>
      <c r="L39" s="119">
        <v>23976.77</v>
      </c>
      <c r="M39" s="117">
        <v>4009.25</v>
      </c>
      <c r="N39" s="123">
        <v>27715.279999999999</v>
      </c>
      <c r="O39" s="117">
        <v>0</v>
      </c>
      <c r="P39" s="117">
        <v>0</v>
      </c>
      <c r="Q39" s="117">
        <v>0</v>
      </c>
    </row>
    <row r="40" spans="1:17" s="97" customFormat="1" ht="26.25" customHeight="1" x14ac:dyDescent="0.2">
      <c r="A40" s="118">
        <v>16</v>
      </c>
      <c r="B40" s="122" t="s">
        <v>929</v>
      </c>
      <c r="C40" s="121" t="s">
        <v>85</v>
      </c>
      <c r="D40" s="122" t="s">
        <v>11</v>
      </c>
      <c r="E40" s="122" t="s">
        <v>904</v>
      </c>
      <c r="F40" s="118" t="s">
        <v>905</v>
      </c>
      <c r="G40" s="118">
        <v>75</v>
      </c>
      <c r="H40" s="123">
        <f>+K40+L40+M40+N40+O40+P40+Q40</f>
        <v>57982.66</v>
      </c>
      <c r="I40" s="119">
        <f t="shared" si="9"/>
        <v>43486.99</v>
      </c>
      <c r="J40" s="123">
        <f>H40-I40</f>
        <v>14495.670000000006</v>
      </c>
      <c r="K40" s="119">
        <v>0</v>
      </c>
      <c r="L40" s="119">
        <v>0</v>
      </c>
      <c r="M40" s="117">
        <v>0</v>
      </c>
      <c r="N40" s="123">
        <v>0</v>
      </c>
      <c r="O40" s="123">
        <v>17996</v>
      </c>
      <c r="P40" s="123">
        <v>20000</v>
      </c>
      <c r="Q40" s="123">
        <v>19986.66</v>
      </c>
    </row>
    <row r="41" spans="1:17" ht="26.25" customHeight="1" x14ac:dyDescent="0.2">
      <c r="A41" s="100"/>
      <c r="B41" s="100" t="s">
        <v>102</v>
      </c>
      <c r="C41" s="106" t="s">
        <v>103</v>
      </c>
      <c r="D41" s="100" t="s">
        <v>2</v>
      </c>
      <c r="E41" s="100"/>
      <c r="F41" s="100"/>
      <c r="G41" s="100">
        <v>75</v>
      </c>
      <c r="H41" s="101">
        <f t="shared" ref="H41:Q41" si="14">+H42+H61+H47</f>
        <v>11080287.885899998</v>
      </c>
      <c r="I41" s="101">
        <f t="shared" si="14"/>
        <v>8310215.8500000015</v>
      </c>
      <c r="J41" s="101">
        <f t="shared" si="14"/>
        <v>2770072.0358999996</v>
      </c>
      <c r="K41" s="101">
        <f t="shared" si="14"/>
        <v>265603.20000000001</v>
      </c>
      <c r="L41" s="101">
        <f t="shared" si="14"/>
        <v>1274158.3999999999</v>
      </c>
      <c r="M41" s="102">
        <f t="shared" si="14"/>
        <v>1607795.2400000002</v>
      </c>
      <c r="N41" s="102">
        <f t="shared" si="14"/>
        <v>1792861.9</v>
      </c>
      <c r="O41" s="102">
        <f t="shared" si="14"/>
        <v>2174569.3859000001</v>
      </c>
      <c r="P41" s="102">
        <f t="shared" si="14"/>
        <v>2719801.1100000003</v>
      </c>
      <c r="Q41" s="102">
        <f t="shared" si="14"/>
        <v>1245498.6499999999</v>
      </c>
    </row>
    <row r="42" spans="1:17" ht="26.25" customHeight="1" x14ac:dyDescent="0.2">
      <c r="A42" s="81"/>
      <c r="B42" s="81" t="s">
        <v>104</v>
      </c>
      <c r="C42" s="105" t="s">
        <v>105</v>
      </c>
      <c r="D42" s="81" t="s">
        <v>5</v>
      </c>
      <c r="E42" s="81"/>
      <c r="F42" s="81"/>
      <c r="G42" s="81">
        <v>75</v>
      </c>
      <c r="H42" s="90">
        <f>+H45+H43</f>
        <v>682264.02839999995</v>
      </c>
      <c r="I42" s="90">
        <f t="shared" ref="I42:Q42" si="15">+I45+I43</f>
        <v>511698.02</v>
      </c>
      <c r="J42" s="90">
        <f t="shared" si="15"/>
        <v>170566.00839999999</v>
      </c>
      <c r="K42" s="90">
        <f t="shared" si="15"/>
        <v>0</v>
      </c>
      <c r="L42" s="90">
        <f t="shared" si="15"/>
        <v>1000</v>
      </c>
      <c r="M42" s="90">
        <f t="shared" si="15"/>
        <v>1219.17</v>
      </c>
      <c r="N42" s="90">
        <f t="shared" si="15"/>
        <v>13314.01</v>
      </c>
      <c r="O42" s="90">
        <f t="shared" si="15"/>
        <v>11230.848400000001</v>
      </c>
      <c r="P42" s="90">
        <f t="shared" si="15"/>
        <v>655500</v>
      </c>
      <c r="Q42" s="90">
        <f t="shared" si="15"/>
        <v>0</v>
      </c>
    </row>
    <row r="43" spans="1:17" ht="36" x14ac:dyDescent="0.2">
      <c r="A43" s="82"/>
      <c r="B43" s="82" t="s">
        <v>106</v>
      </c>
      <c r="C43" s="107" t="s">
        <v>107</v>
      </c>
      <c r="D43" s="82" t="s">
        <v>8</v>
      </c>
      <c r="E43" s="82"/>
      <c r="F43" s="82"/>
      <c r="G43" s="82">
        <v>75</v>
      </c>
      <c r="H43" s="91">
        <f t="shared" ref="H43:Q43" si="16">+H44</f>
        <v>32264.028400000003</v>
      </c>
      <c r="I43" s="91">
        <f t="shared" si="16"/>
        <v>24198.02</v>
      </c>
      <c r="J43" s="91">
        <f t="shared" si="16"/>
        <v>8066.0084000000024</v>
      </c>
      <c r="K43" s="91">
        <f t="shared" si="16"/>
        <v>0</v>
      </c>
      <c r="L43" s="91">
        <f t="shared" si="16"/>
        <v>1000</v>
      </c>
      <c r="M43" s="91">
        <f t="shared" si="16"/>
        <v>1219.17</v>
      </c>
      <c r="N43" s="91">
        <f t="shared" si="16"/>
        <v>13314.01</v>
      </c>
      <c r="O43" s="91">
        <f t="shared" si="16"/>
        <v>11230.848400000001</v>
      </c>
      <c r="P43" s="91">
        <f t="shared" si="16"/>
        <v>5500</v>
      </c>
      <c r="Q43" s="91">
        <f t="shared" si="16"/>
        <v>0</v>
      </c>
    </row>
    <row r="44" spans="1:17" s="97" customFormat="1" ht="36.75" customHeight="1" x14ac:dyDescent="0.2">
      <c r="A44" s="114">
        <v>17</v>
      </c>
      <c r="B44" s="114" t="s">
        <v>108</v>
      </c>
      <c r="C44" s="121" t="s">
        <v>109</v>
      </c>
      <c r="D44" s="114" t="s">
        <v>11</v>
      </c>
      <c r="E44" s="114" t="s">
        <v>854</v>
      </c>
      <c r="F44" s="114" t="s">
        <v>914</v>
      </c>
      <c r="G44" s="114">
        <v>75</v>
      </c>
      <c r="H44" s="116">
        <f>+K44+L44+M44+N44+O44+P44+Q44</f>
        <v>32264.028400000003</v>
      </c>
      <c r="I44" s="116">
        <f>ROUNDDOWN(H44*0.75,2)</f>
        <v>24198.02</v>
      </c>
      <c r="J44" s="116">
        <f>+H44-I44</f>
        <v>8066.0084000000024</v>
      </c>
      <c r="K44" s="116">
        <v>0</v>
      </c>
      <c r="L44" s="116">
        <v>1000</v>
      </c>
      <c r="M44" s="117">
        <v>1219.17</v>
      </c>
      <c r="N44" s="117">
        <v>13314.01</v>
      </c>
      <c r="O44" s="117">
        <f>10496.12*1.07</f>
        <v>11230.848400000001</v>
      </c>
      <c r="P44" s="117">
        <v>5500</v>
      </c>
      <c r="Q44" s="117">
        <v>0</v>
      </c>
    </row>
    <row r="45" spans="1:17" s="146" customFormat="1" x14ac:dyDescent="0.2">
      <c r="A45" s="83"/>
      <c r="B45" s="83" t="s">
        <v>937</v>
      </c>
      <c r="C45" s="108" t="s">
        <v>940</v>
      </c>
      <c r="D45" s="83" t="s">
        <v>8</v>
      </c>
      <c r="E45" s="83"/>
      <c r="F45" s="83"/>
      <c r="G45" s="83">
        <v>75</v>
      </c>
      <c r="H45" s="94">
        <f t="shared" ref="H45:Q45" si="17">+H46</f>
        <v>650000</v>
      </c>
      <c r="I45" s="94">
        <f t="shared" si="17"/>
        <v>487500</v>
      </c>
      <c r="J45" s="94">
        <f t="shared" si="17"/>
        <v>162500</v>
      </c>
      <c r="K45" s="94">
        <f t="shared" si="17"/>
        <v>0</v>
      </c>
      <c r="L45" s="94">
        <f t="shared" si="17"/>
        <v>0</v>
      </c>
      <c r="M45" s="94">
        <f t="shared" si="17"/>
        <v>0</v>
      </c>
      <c r="N45" s="94">
        <f t="shared" si="17"/>
        <v>0</v>
      </c>
      <c r="O45" s="94">
        <f t="shared" si="17"/>
        <v>0</v>
      </c>
      <c r="P45" s="94">
        <f t="shared" si="17"/>
        <v>650000</v>
      </c>
      <c r="Q45" s="94">
        <f t="shared" si="17"/>
        <v>0</v>
      </c>
    </row>
    <row r="46" spans="1:17" s="142" customFormat="1" ht="36.75" customHeight="1" x14ac:dyDescent="0.2">
      <c r="A46" s="118">
        <v>18</v>
      </c>
      <c r="B46" s="118" t="s">
        <v>938</v>
      </c>
      <c r="C46" s="121" t="s">
        <v>939</v>
      </c>
      <c r="D46" s="118" t="s">
        <v>11</v>
      </c>
      <c r="E46" s="118" t="s">
        <v>941</v>
      </c>
      <c r="F46" s="118" t="s">
        <v>914</v>
      </c>
      <c r="G46" s="118">
        <v>75</v>
      </c>
      <c r="H46" s="119">
        <f>+K46+L46+M46+N46+O46+P46+Q46</f>
        <v>650000</v>
      </c>
      <c r="I46" s="119">
        <f>ROUNDDOWN(H46*0.75,2)</f>
        <v>487500</v>
      </c>
      <c r="J46" s="119">
        <f>+H46-I46</f>
        <v>162500</v>
      </c>
      <c r="K46" s="119">
        <v>0</v>
      </c>
      <c r="L46" s="119">
        <v>0</v>
      </c>
      <c r="M46" s="117">
        <v>0</v>
      </c>
      <c r="N46" s="117">
        <v>0</v>
      </c>
      <c r="O46" s="117">
        <v>0</v>
      </c>
      <c r="P46" s="117">
        <v>650000</v>
      </c>
      <c r="Q46" s="117">
        <v>0</v>
      </c>
    </row>
    <row r="47" spans="1:17" ht="26.25" customHeight="1" x14ac:dyDescent="0.2">
      <c r="A47" s="81"/>
      <c r="B47" s="81" t="s">
        <v>112</v>
      </c>
      <c r="C47" s="105" t="s">
        <v>113</v>
      </c>
      <c r="D47" s="81"/>
      <c r="E47" s="81"/>
      <c r="F47" s="81"/>
      <c r="G47" s="81">
        <v>75</v>
      </c>
      <c r="H47" s="90">
        <f>+H48+H52+H59</f>
        <v>10106046.873599999</v>
      </c>
      <c r="I47" s="90">
        <f t="shared" ref="I47:Q47" si="18">+I48+I52+I59</f>
        <v>7579535.1100000013</v>
      </c>
      <c r="J47" s="90">
        <f t="shared" si="18"/>
        <v>2526511.7635999997</v>
      </c>
      <c r="K47" s="90">
        <f t="shared" si="18"/>
        <v>265603.20000000001</v>
      </c>
      <c r="L47" s="90">
        <f t="shared" si="18"/>
        <v>1247669.45</v>
      </c>
      <c r="M47" s="90">
        <f t="shared" si="18"/>
        <v>1504111.37</v>
      </c>
      <c r="N47" s="90">
        <f t="shared" si="18"/>
        <v>1733951.63</v>
      </c>
      <c r="O47" s="90">
        <f t="shared" si="18"/>
        <v>2084911.4636000001</v>
      </c>
      <c r="P47" s="90">
        <f t="shared" si="18"/>
        <v>2024301.11</v>
      </c>
      <c r="Q47" s="90">
        <f t="shared" si="18"/>
        <v>1245498.6499999999</v>
      </c>
    </row>
    <row r="48" spans="1:17" ht="39" customHeight="1" x14ac:dyDescent="0.2">
      <c r="A48" s="82"/>
      <c r="B48" s="82" t="s">
        <v>114</v>
      </c>
      <c r="C48" s="107" t="s">
        <v>115</v>
      </c>
      <c r="D48" s="82" t="s">
        <v>8</v>
      </c>
      <c r="E48" s="82"/>
      <c r="F48" s="82"/>
      <c r="G48" s="82">
        <v>75</v>
      </c>
      <c r="H48" s="91">
        <f>SUM(H49:H51)</f>
        <v>5182256.8335999995</v>
      </c>
      <c r="I48" s="91">
        <f>SUM(I49:I51)</f>
        <v>3886692.6100000003</v>
      </c>
      <c r="J48" s="91">
        <f t="shared" ref="J48:P48" si="19">SUM(J49:J51)</f>
        <v>1295564.2235999997</v>
      </c>
      <c r="K48" s="91">
        <f t="shared" si="19"/>
        <v>68862.600000000006</v>
      </c>
      <c r="L48" s="91">
        <f t="shared" si="19"/>
        <v>871247.4</v>
      </c>
      <c r="M48" s="91">
        <f t="shared" si="19"/>
        <v>694000</v>
      </c>
      <c r="N48" s="91">
        <f t="shared" si="19"/>
        <v>808257.38</v>
      </c>
      <c r="O48" s="91">
        <f t="shared" si="19"/>
        <v>939889.45360000001</v>
      </c>
      <c r="P48" s="91">
        <f t="shared" si="19"/>
        <v>1010000</v>
      </c>
      <c r="Q48" s="91">
        <f>SUM(Q49:Q51)</f>
        <v>790000</v>
      </c>
    </row>
    <row r="49" spans="1:17" s="97" customFormat="1" x14ac:dyDescent="0.2">
      <c r="A49" s="114">
        <v>19</v>
      </c>
      <c r="B49" s="114" t="s">
        <v>116</v>
      </c>
      <c r="C49" s="115" t="s">
        <v>117</v>
      </c>
      <c r="D49" s="114" t="s">
        <v>11</v>
      </c>
      <c r="E49" s="114" t="s">
        <v>854</v>
      </c>
      <c r="F49" s="114" t="s">
        <v>914</v>
      </c>
      <c r="G49" s="114">
        <v>75</v>
      </c>
      <c r="H49" s="116">
        <f>+K49+L49+M49+N49+O49+P49+Q49</f>
        <v>4253190.2895999998</v>
      </c>
      <c r="I49" s="116">
        <f>ROUNDDOWN(H49*0.75,2)</f>
        <v>3189892.71</v>
      </c>
      <c r="J49" s="116">
        <f>+H49-I49</f>
        <v>1063297.5795999998</v>
      </c>
      <c r="K49" s="116">
        <v>34110</v>
      </c>
      <c r="L49" s="116">
        <v>736000</v>
      </c>
      <c r="M49" s="124">
        <v>600000</v>
      </c>
      <c r="N49" s="124">
        <v>600000</v>
      </c>
      <c r="O49" s="124">
        <f>661757.28*1.07</f>
        <v>708080.28960000002</v>
      </c>
      <c r="P49" s="124">
        <v>785000</v>
      </c>
      <c r="Q49" s="124">
        <v>790000</v>
      </c>
    </row>
    <row r="50" spans="1:17" s="120" customFormat="1" x14ac:dyDescent="0.2">
      <c r="A50" s="114">
        <v>20</v>
      </c>
      <c r="B50" s="114" t="s">
        <v>120</v>
      </c>
      <c r="C50" s="115" t="s">
        <v>121</v>
      </c>
      <c r="D50" s="114" t="s">
        <v>11</v>
      </c>
      <c r="E50" s="114" t="s">
        <v>854</v>
      </c>
      <c r="F50" s="114" t="s">
        <v>914</v>
      </c>
      <c r="G50" s="114">
        <v>75</v>
      </c>
      <c r="H50" s="116">
        <f>+K50+L50+M50+N50+O50+P50+Q50</f>
        <v>550333.04399999999</v>
      </c>
      <c r="I50" s="116">
        <f>ROUNDDOWN(H50*0.75,2)</f>
        <v>412749.78</v>
      </c>
      <c r="J50" s="116">
        <f>+H50-I50</f>
        <v>137583.26399999997</v>
      </c>
      <c r="K50" s="116">
        <v>34752.6</v>
      </c>
      <c r="L50" s="116">
        <v>135247.4</v>
      </c>
      <c r="M50" s="124">
        <v>94000</v>
      </c>
      <c r="N50" s="124">
        <v>81000</v>
      </c>
      <c r="O50" s="124">
        <f>93769.2*1.07</f>
        <v>100333.04400000001</v>
      </c>
      <c r="P50" s="124">
        <v>105000</v>
      </c>
      <c r="Q50" s="124">
        <v>0</v>
      </c>
    </row>
    <row r="51" spans="1:17" s="120" customFormat="1" ht="24" x14ac:dyDescent="0.2">
      <c r="A51" s="118">
        <v>21</v>
      </c>
      <c r="B51" s="118" t="s">
        <v>918</v>
      </c>
      <c r="C51" s="121" t="s">
        <v>919</v>
      </c>
      <c r="D51" s="122" t="s">
        <v>11</v>
      </c>
      <c r="E51" s="122" t="s">
        <v>904</v>
      </c>
      <c r="F51" s="118" t="s">
        <v>914</v>
      </c>
      <c r="G51" s="114">
        <v>75</v>
      </c>
      <c r="H51" s="123">
        <f>+K51+L51+M51+N51+O51+P51+Q51</f>
        <v>378733.5</v>
      </c>
      <c r="I51" s="116">
        <f>ROUNDDOWN(H51*0.75,2)</f>
        <v>284050.12</v>
      </c>
      <c r="J51" s="123">
        <f>H51-I51</f>
        <v>94683.38</v>
      </c>
      <c r="K51" s="119">
        <v>0</v>
      </c>
      <c r="L51" s="119">
        <v>0</v>
      </c>
      <c r="M51" s="117">
        <v>0</v>
      </c>
      <c r="N51" s="123">
        <v>127257.38</v>
      </c>
      <c r="O51" s="123">
        <v>131476.12</v>
      </c>
      <c r="P51" s="123">
        <v>120000</v>
      </c>
      <c r="Q51" s="123">
        <v>0</v>
      </c>
    </row>
    <row r="52" spans="1:17" s="92" customFormat="1" ht="48" x14ac:dyDescent="0.2">
      <c r="A52" s="82"/>
      <c r="B52" s="82" t="s">
        <v>128</v>
      </c>
      <c r="C52" s="107" t="s">
        <v>129</v>
      </c>
      <c r="D52" s="82" t="s">
        <v>8</v>
      </c>
      <c r="E52" s="82"/>
      <c r="F52" s="82"/>
      <c r="G52" s="82">
        <v>75</v>
      </c>
      <c r="H52" s="91">
        <f t="shared" ref="H52:Q52" si="20">SUM(H53:H58)</f>
        <v>4638789.2699999996</v>
      </c>
      <c r="I52" s="91">
        <f t="shared" si="20"/>
        <v>3479091.93</v>
      </c>
      <c r="J52" s="91">
        <f t="shared" si="20"/>
        <v>1159697.3399999999</v>
      </c>
      <c r="K52" s="91">
        <f t="shared" si="20"/>
        <v>170000</v>
      </c>
      <c r="L52" s="91">
        <f t="shared" si="20"/>
        <v>320325</v>
      </c>
      <c r="M52" s="91">
        <f t="shared" si="20"/>
        <v>810111.37</v>
      </c>
      <c r="N52" s="91">
        <f t="shared" si="20"/>
        <v>851569.25</v>
      </c>
      <c r="O52" s="91">
        <f t="shared" si="20"/>
        <v>1081285</v>
      </c>
      <c r="P52" s="91">
        <f t="shared" si="20"/>
        <v>950000</v>
      </c>
      <c r="Q52" s="91">
        <f t="shared" si="20"/>
        <v>455498.65</v>
      </c>
    </row>
    <row r="53" spans="1:17" s="97" customFormat="1" ht="24" x14ac:dyDescent="0.2">
      <c r="A53" s="114" t="s">
        <v>83</v>
      </c>
      <c r="B53" s="114" t="s">
        <v>130</v>
      </c>
      <c r="C53" s="115" t="s">
        <v>131</v>
      </c>
      <c r="D53" s="114" t="s">
        <v>11</v>
      </c>
      <c r="E53" s="114" t="s">
        <v>935</v>
      </c>
      <c r="F53" s="114" t="s">
        <v>905</v>
      </c>
      <c r="G53" s="114">
        <v>75</v>
      </c>
      <c r="H53" s="119">
        <f t="shared" ref="H53:H58" si="21">+K53+L53+M53+N53+O53+P53+Q53</f>
        <v>433582.81999999995</v>
      </c>
      <c r="I53" s="119">
        <f t="shared" ref="I53:I58" si="22">ROUNDDOWN(H53*0.75,2)</f>
        <v>325187.11</v>
      </c>
      <c r="J53" s="119">
        <f>+H53-I53</f>
        <v>108395.70999999996</v>
      </c>
      <c r="K53" s="119">
        <v>47000</v>
      </c>
      <c r="L53" s="119">
        <v>39225</v>
      </c>
      <c r="M53" s="117">
        <v>137640.29999999999</v>
      </c>
      <c r="N53" s="123">
        <v>60003.94</v>
      </c>
      <c r="O53" s="123">
        <v>149713.57999999999</v>
      </c>
      <c r="P53" s="123">
        <v>0</v>
      </c>
      <c r="Q53" s="123">
        <v>0</v>
      </c>
    </row>
    <row r="54" spans="1:17" s="120" customFormat="1" ht="24" x14ac:dyDescent="0.2">
      <c r="A54" s="114" t="s">
        <v>83</v>
      </c>
      <c r="B54" s="114" t="s">
        <v>134</v>
      </c>
      <c r="C54" s="115" t="s">
        <v>135</v>
      </c>
      <c r="D54" s="114" t="s">
        <v>11</v>
      </c>
      <c r="E54" s="114" t="s">
        <v>936</v>
      </c>
      <c r="F54" s="114" t="s">
        <v>914</v>
      </c>
      <c r="G54" s="114">
        <v>75</v>
      </c>
      <c r="H54" s="119">
        <f t="shared" si="21"/>
        <v>739088.34000000008</v>
      </c>
      <c r="I54" s="119">
        <f t="shared" si="22"/>
        <v>554316.25</v>
      </c>
      <c r="J54" s="119">
        <f>+H54-I54</f>
        <v>184772.09000000008</v>
      </c>
      <c r="K54" s="119">
        <v>120000</v>
      </c>
      <c r="L54" s="119">
        <v>175000</v>
      </c>
      <c r="M54" s="117">
        <v>444088.34</v>
      </c>
      <c r="N54" s="117">
        <v>0</v>
      </c>
      <c r="O54" s="117">
        <v>0</v>
      </c>
      <c r="P54" s="117">
        <v>0</v>
      </c>
      <c r="Q54" s="117">
        <v>0</v>
      </c>
    </row>
    <row r="55" spans="1:17" s="120" customFormat="1" ht="48" x14ac:dyDescent="0.2">
      <c r="A55" s="114" t="s">
        <v>83</v>
      </c>
      <c r="B55" s="114" t="s">
        <v>137</v>
      </c>
      <c r="C55" s="115" t="s">
        <v>138</v>
      </c>
      <c r="D55" s="114" t="s">
        <v>11</v>
      </c>
      <c r="E55" s="114" t="s">
        <v>885</v>
      </c>
      <c r="F55" s="114" t="s">
        <v>914</v>
      </c>
      <c r="G55" s="114">
        <v>75</v>
      </c>
      <c r="H55" s="119">
        <f t="shared" si="21"/>
        <v>16641.23</v>
      </c>
      <c r="I55" s="119">
        <f t="shared" si="22"/>
        <v>12480.92</v>
      </c>
      <c r="J55" s="119">
        <f>+H55-I55</f>
        <v>4160.3099999999995</v>
      </c>
      <c r="K55" s="119">
        <v>3000</v>
      </c>
      <c r="L55" s="119">
        <v>6100</v>
      </c>
      <c r="M55" s="117">
        <v>7541.23</v>
      </c>
      <c r="N55" s="117">
        <v>0</v>
      </c>
      <c r="O55" s="117">
        <v>0</v>
      </c>
      <c r="P55" s="117">
        <v>0</v>
      </c>
      <c r="Q55" s="117">
        <v>0</v>
      </c>
    </row>
    <row r="56" spans="1:17" s="120" customFormat="1" ht="26.25" customHeight="1" x14ac:dyDescent="0.2">
      <c r="A56" s="114" t="s">
        <v>83</v>
      </c>
      <c r="B56" s="114" t="s">
        <v>140</v>
      </c>
      <c r="C56" s="115" t="s">
        <v>141</v>
      </c>
      <c r="D56" s="114" t="s">
        <v>11</v>
      </c>
      <c r="E56" s="122" t="s">
        <v>904</v>
      </c>
      <c r="F56" s="114" t="s">
        <v>905</v>
      </c>
      <c r="G56" s="114">
        <v>75</v>
      </c>
      <c r="H56" s="119">
        <f t="shared" si="21"/>
        <v>439409.37</v>
      </c>
      <c r="I56" s="119">
        <f t="shared" si="22"/>
        <v>329557.02</v>
      </c>
      <c r="J56" s="119">
        <f>+H56-I56</f>
        <v>109852.34999999998</v>
      </c>
      <c r="K56" s="119">
        <v>0</v>
      </c>
      <c r="L56" s="119">
        <v>100000</v>
      </c>
      <c r="M56" s="117">
        <v>220841.5</v>
      </c>
      <c r="N56" s="123">
        <v>118567.87</v>
      </c>
      <c r="O56" s="117">
        <v>0</v>
      </c>
      <c r="P56" s="117">
        <v>0</v>
      </c>
      <c r="Q56" s="117">
        <v>0</v>
      </c>
    </row>
    <row r="57" spans="1:17" s="120" customFormat="1" ht="26.25" customHeight="1" x14ac:dyDescent="0.2">
      <c r="A57" s="118">
        <v>22</v>
      </c>
      <c r="B57" s="122" t="s">
        <v>921</v>
      </c>
      <c r="C57" s="121" t="s">
        <v>131</v>
      </c>
      <c r="D57" s="122" t="s">
        <v>11</v>
      </c>
      <c r="E57" s="122" t="s">
        <v>904</v>
      </c>
      <c r="F57" s="118" t="s">
        <v>905</v>
      </c>
      <c r="G57" s="114">
        <v>75</v>
      </c>
      <c r="H57" s="123">
        <f t="shared" si="21"/>
        <v>359889.11</v>
      </c>
      <c r="I57" s="119">
        <f t="shared" si="22"/>
        <v>269916.83</v>
      </c>
      <c r="J57" s="123">
        <f>H57-I57</f>
        <v>89972.27999999997</v>
      </c>
      <c r="K57" s="119">
        <v>0</v>
      </c>
      <c r="L57" s="119">
        <v>0</v>
      </c>
      <c r="M57" s="117">
        <v>0</v>
      </c>
      <c r="N57" s="123">
        <v>0</v>
      </c>
      <c r="O57" s="123">
        <v>107966.73</v>
      </c>
      <c r="P57" s="123">
        <v>150000</v>
      </c>
      <c r="Q57" s="123">
        <v>101922.38</v>
      </c>
    </row>
    <row r="58" spans="1:17" s="120" customFormat="1" ht="26.25" customHeight="1" x14ac:dyDescent="0.2">
      <c r="A58" s="118">
        <v>23</v>
      </c>
      <c r="B58" s="122" t="s">
        <v>922</v>
      </c>
      <c r="C58" s="121" t="s">
        <v>909</v>
      </c>
      <c r="D58" s="122" t="s">
        <v>11</v>
      </c>
      <c r="E58" s="122" t="s">
        <v>904</v>
      </c>
      <c r="F58" s="118" t="s">
        <v>914</v>
      </c>
      <c r="G58" s="114">
        <v>75</v>
      </c>
      <c r="H58" s="123">
        <f t="shared" si="21"/>
        <v>2650178.4</v>
      </c>
      <c r="I58" s="119">
        <f t="shared" si="22"/>
        <v>1987633.8</v>
      </c>
      <c r="J58" s="123">
        <f>H58-I58</f>
        <v>662544.59999999986</v>
      </c>
      <c r="K58" s="119">
        <v>0</v>
      </c>
      <c r="L58" s="119">
        <v>0</v>
      </c>
      <c r="M58" s="117">
        <v>0</v>
      </c>
      <c r="N58" s="123">
        <v>672997.44</v>
      </c>
      <c r="O58" s="123">
        <v>823604.69</v>
      </c>
      <c r="P58" s="123">
        <v>800000</v>
      </c>
      <c r="Q58" s="123">
        <v>353576.27</v>
      </c>
    </row>
    <row r="59" spans="1:17" ht="48" x14ac:dyDescent="0.2">
      <c r="A59" s="82"/>
      <c r="B59" s="82" t="s">
        <v>147</v>
      </c>
      <c r="C59" s="135" t="s">
        <v>148</v>
      </c>
      <c r="D59" s="82" t="s">
        <v>8</v>
      </c>
      <c r="E59" s="82"/>
      <c r="F59" s="82"/>
      <c r="G59" s="82">
        <v>75</v>
      </c>
      <c r="H59" s="91">
        <f>+H60</f>
        <v>285000.77</v>
      </c>
      <c r="I59" s="91">
        <f t="shared" ref="I59:Q59" si="23">+I60</f>
        <v>213750.57</v>
      </c>
      <c r="J59" s="91">
        <f t="shared" si="23"/>
        <v>71250.200000000012</v>
      </c>
      <c r="K59" s="91">
        <f t="shared" si="23"/>
        <v>26740.6</v>
      </c>
      <c r="L59" s="91">
        <f t="shared" si="23"/>
        <v>56097.05</v>
      </c>
      <c r="M59" s="91">
        <f t="shared" si="23"/>
        <v>0</v>
      </c>
      <c r="N59" s="91">
        <f t="shared" si="23"/>
        <v>74125</v>
      </c>
      <c r="O59" s="91">
        <f t="shared" si="23"/>
        <v>63737.01</v>
      </c>
      <c r="P59" s="91">
        <f t="shared" si="23"/>
        <v>64301.110000000008</v>
      </c>
      <c r="Q59" s="91">
        <f t="shared" si="23"/>
        <v>0</v>
      </c>
    </row>
    <row r="60" spans="1:17" s="97" customFormat="1" ht="51" customHeight="1" x14ac:dyDescent="0.2">
      <c r="A60" s="114">
        <v>24</v>
      </c>
      <c r="B60" s="114" t="s">
        <v>149</v>
      </c>
      <c r="C60" s="121" t="s">
        <v>930</v>
      </c>
      <c r="D60" s="114" t="s">
        <v>11</v>
      </c>
      <c r="E60" s="114" t="s">
        <v>854</v>
      </c>
      <c r="F60" s="114" t="s">
        <v>905</v>
      </c>
      <c r="G60" s="114">
        <v>75</v>
      </c>
      <c r="H60" s="116">
        <f>+K60+L60+M60+N60+O60+P60+Q60</f>
        <v>285000.77</v>
      </c>
      <c r="I60" s="116">
        <f>ROUNDDOWN(H60*0.75,2)</f>
        <v>213750.57</v>
      </c>
      <c r="J60" s="116">
        <f>+H60-I60</f>
        <v>71250.200000000012</v>
      </c>
      <c r="K60" s="116">
        <v>26740.6</v>
      </c>
      <c r="L60" s="116">
        <v>56097.05</v>
      </c>
      <c r="M60" s="117">
        <v>0</v>
      </c>
      <c r="N60" s="117">
        <v>74125</v>
      </c>
      <c r="O60" s="117">
        <v>63737.01</v>
      </c>
      <c r="P60" s="117">
        <v>64301.110000000008</v>
      </c>
      <c r="Q60" s="117">
        <v>0</v>
      </c>
    </row>
    <row r="61" spans="1:17" ht="26.25" customHeight="1" x14ac:dyDescent="0.2">
      <c r="A61" s="81"/>
      <c r="B61" s="81" t="s">
        <v>158</v>
      </c>
      <c r="C61" s="105" t="s">
        <v>159</v>
      </c>
      <c r="D61" s="81" t="s">
        <v>5</v>
      </c>
      <c r="E61" s="81"/>
      <c r="F61" s="81"/>
      <c r="G61" s="81">
        <v>75</v>
      </c>
      <c r="H61" s="90">
        <f>+H62+H64+H68</f>
        <v>291976.98389999999</v>
      </c>
      <c r="I61" s="90">
        <f t="shared" ref="I61:Q61" si="24">+I62+I64+I68</f>
        <v>218982.72</v>
      </c>
      <c r="J61" s="90">
        <f t="shared" si="24"/>
        <v>72994.263900000005</v>
      </c>
      <c r="K61" s="90">
        <f t="shared" si="24"/>
        <v>0</v>
      </c>
      <c r="L61" s="90">
        <f t="shared" si="24"/>
        <v>25488.95</v>
      </c>
      <c r="M61" s="90">
        <f t="shared" si="24"/>
        <v>102464.7</v>
      </c>
      <c r="N61" s="90">
        <f t="shared" si="24"/>
        <v>45596.259999999995</v>
      </c>
      <c r="O61" s="90">
        <f t="shared" si="24"/>
        <v>78427.073900000003</v>
      </c>
      <c r="P61" s="90">
        <f t="shared" si="24"/>
        <v>40000</v>
      </c>
      <c r="Q61" s="90">
        <f t="shared" si="24"/>
        <v>0</v>
      </c>
    </row>
    <row r="62" spans="1:17" s="92" customFormat="1" ht="48" x14ac:dyDescent="0.2">
      <c r="A62" s="82"/>
      <c r="B62" s="82" t="s">
        <v>164</v>
      </c>
      <c r="C62" s="107" t="s">
        <v>165</v>
      </c>
      <c r="D62" s="82" t="s">
        <v>8</v>
      </c>
      <c r="E62" s="82"/>
      <c r="F62" s="82"/>
      <c r="G62" s="82"/>
      <c r="H62" s="91">
        <f>+H63</f>
        <v>0</v>
      </c>
      <c r="I62" s="91">
        <f>+I63</f>
        <v>0</v>
      </c>
      <c r="J62" s="91">
        <f t="shared" ref="J62:Q62" si="25">+J63</f>
        <v>0</v>
      </c>
      <c r="K62" s="91">
        <f t="shared" si="25"/>
        <v>0</v>
      </c>
      <c r="L62" s="91">
        <f t="shared" si="25"/>
        <v>0</v>
      </c>
      <c r="M62" s="91">
        <f t="shared" si="25"/>
        <v>0</v>
      </c>
      <c r="N62" s="91">
        <f t="shared" si="25"/>
        <v>0</v>
      </c>
      <c r="O62" s="94">
        <f t="shared" si="25"/>
        <v>0</v>
      </c>
      <c r="P62" s="94">
        <f t="shared" si="25"/>
        <v>0</v>
      </c>
      <c r="Q62" s="91">
        <f t="shared" si="25"/>
        <v>0</v>
      </c>
    </row>
    <row r="63" spans="1:17" s="97" customFormat="1" ht="48" x14ac:dyDescent="0.2">
      <c r="A63" s="114">
        <v>25</v>
      </c>
      <c r="B63" s="114" t="s">
        <v>166</v>
      </c>
      <c r="C63" s="115" t="s">
        <v>167</v>
      </c>
      <c r="D63" s="114" t="s">
        <v>11</v>
      </c>
      <c r="E63" s="114" t="s">
        <v>854</v>
      </c>
      <c r="F63" s="114" t="s">
        <v>905</v>
      </c>
      <c r="G63" s="114">
        <v>75</v>
      </c>
      <c r="H63" s="116">
        <f>+K63+L63+M63+N63+O63+Q63</f>
        <v>0</v>
      </c>
      <c r="I63" s="116">
        <f>ROUNDDOWN(H63*0.75,2)</f>
        <v>0</v>
      </c>
      <c r="J63" s="116">
        <f>+H63-I63</f>
        <v>0</v>
      </c>
      <c r="K63" s="116">
        <v>0</v>
      </c>
      <c r="L63" s="116">
        <v>0</v>
      </c>
      <c r="M63" s="124">
        <v>0</v>
      </c>
      <c r="N63" s="124">
        <v>0</v>
      </c>
      <c r="O63" s="117">
        <v>0</v>
      </c>
      <c r="P63" s="128"/>
      <c r="Q63" s="124">
        <v>0</v>
      </c>
    </row>
    <row r="64" spans="1:17" s="92" customFormat="1" ht="36" x14ac:dyDescent="0.2">
      <c r="A64" s="82"/>
      <c r="B64" s="82" t="s">
        <v>168</v>
      </c>
      <c r="C64" s="107" t="s">
        <v>169</v>
      </c>
      <c r="D64" s="82" t="s">
        <v>8</v>
      </c>
      <c r="E64" s="82"/>
      <c r="F64" s="82"/>
      <c r="G64" s="82">
        <v>75</v>
      </c>
      <c r="H64" s="91">
        <f>SUM(H65:H67)</f>
        <v>259955.34</v>
      </c>
      <c r="I64" s="91">
        <f>SUM(I65:I67)</f>
        <v>194966.49</v>
      </c>
      <c r="J64" s="91">
        <f t="shared" ref="J64:P64" si="26">SUM(J65:J67)</f>
        <v>64988.850000000006</v>
      </c>
      <c r="K64" s="91">
        <f t="shared" si="26"/>
        <v>0</v>
      </c>
      <c r="L64" s="91">
        <f t="shared" si="26"/>
        <v>25488.95</v>
      </c>
      <c r="M64" s="91">
        <f t="shared" si="26"/>
        <v>102464.7</v>
      </c>
      <c r="N64" s="91">
        <f t="shared" si="26"/>
        <v>45596.259999999995</v>
      </c>
      <c r="O64" s="91">
        <f t="shared" si="26"/>
        <v>46405.43</v>
      </c>
      <c r="P64" s="91">
        <f t="shared" si="26"/>
        <v>40000</v>
      </c>
      <c r="Q64" s="91">
        <f>SUM(Q65:Q67)</f>
        <v>0</v>
      </c>
    </row>
    <row r="65" spans="1:17" s="97" customFormat="1" ht="24" x14ac:dyDescent="0.2">
      <c r="A65" s="118" t="s">
        <v>83</v>
      </c>
      <c r="B65" s="118" t="s">
        <v>170</v>
      </c>
      <c r="C65" s="121" t="s">
        <v>896</v>
      </c>
      <c r="D65" s="118" t="s">
        <v>11</v>
      </c>
      <c r="E65" s="118" t="s">
        <v>885</v>
      </c>
      <c r="F65" s="118" t="s">
        <v>914</v>
      </c>
      <c r="G65" s="118">
        <v>75</v>
      </c>
      <c r="H65" s="119">
        <f>+K65+L65+M65+N65+O65+P65+Q65</f>
        <v>53910.7</v>
      </c>
      <c r="I65" s="116">
        <f>ROUNDDOWN(H65*0.75,2)</f>
        <v>40433.019999999997</v>
      </c>
      <c r="J65" s="119">
        <f>+H65-I65</f>
        <v>13477.68</v>
      </c>
      <c r="K65" s="119">
        <v>0</v>
      </c>
      <c r="L65" s="119">
        <v>10603</v>
      </c>
      <c r="M65" s="117">
        <f>19397+23910.7</f>
        <v>43307.7</v>
      </c>
      <c r="N65" s="117">
        <v>0</v>
      </c>
      <c r="O65" s="117">
        <v>0</v>
      </c>
      <c r="P65" s="117">
        <v>0</v>
      </c>
      <c r="Q65" s="117">
        <v>0</v>
      </c>
    </row>
    <row r="66" spans="1:17" s="97" customFormat="1" ht="26.25" customHeight="1" x14ac:dyDescent="0.2">
      <c r="A66" s="118">
        <v>26</v>
      </c>
      <c r="B66" s="114" t="s">
        <v>174</v>
      </c>
      <c r="C66" s="115" t="s">
        <v>175</v>
      </c>
      <c r="D66" s="114" t="s">
        <v>11</v>
      </c>
      <c r="E66" s="114" t="s">
        <v>854</v>
      </c>
      <c r="F66" s="114" t="s">
        <v>905</v>
      </c>
      <c r="G66" s="114">
        <v>75</v>
      </c>
      <c r="H66" s="116">
        <f>+K66+L66+M66+N66+O66+P66+Q66</f>
        <v>84108.14</v>
      </c>
      <c r="I66" s="116">
        <f>ROUNDDOWN(H66*0.75,2)</f>
        <v>63081.1</v>
      </c>
      <c r="J66" s="116">
        <f>+H66-I66</f>
        <v>21027.040000000001</v>
      </c>
      <c r="K66" s="116">
        <v>0</v>
      </c>
      <c r="L66" s="116">
        <v>14885.95</v>
      </c>
      <c r="M66" s="124">
        <v>59157</v>
      </c>
      <c r="N66" s="124">
        <v>10065.189999999999</v>
      </c>
      <c r="O66" s="124">
        <v>0</v>
      </c>
      <c r="P66" s="124">
        <v>0</v>
      </c>
      <c r="Q66" s="124">
        <v>0</v>
      </c>
    </row>
    <row r="67" spans="1:17" s="97" customFormat="1" ht="35.25" customHeight="1" x14ac:dyDescent="0.2">
      <c r="A67" s="118">
        <v>27</v>
      </c>
      <c r="B67" s="118" t="s">
        <v>920</v>
      </c>
      <c r="C67" s="121" t="s">
        <v>910</v>
      </c>
      <c r="D67" s="122" t="s">
        <v>11</v>
      </c>
      <c r="E67" s="122" t="s">
        <v>904</v>
      </c>
      <c r="F67" s="118" t="s">
        <v>914</v>
      </c>
      <c r="G67" s="118"/>
      <c r="H67" s="123">
        <f>+K67+L67+M67+N67+O67+P67+Q67</f>
        <v>121936.5</v>
      </c>
      <c r="I67" s="116">
        <f>ROUNDDOWN(H67*0.75,2)</f>
        <v>91452.37</v>
      </c>
      <c r="J67" s="123">
        <f>H67-I67</f>
        <v>30484.130000000005</v>
      </c>
      <c r="K67" s="119">
        <v>0</v>
      </c>
      <c r="L67" s="119">
        <v>0</v>
      </c>
      <c r="M67" s="117">
        <v>0</v>
      </c>
      <c r="N67" s="123">
        <v>35531.07</v>
      </c>
      <c r="O67" s="123">
        <v>46405.43</v>
      </c>
      <c r="P67" s="123">
        <v>40000</v>
      </c>
      <c r="Q67" s="123">
        <v>0</v>
      </c>
    </row>
    <row r="68" spans="1:17" s="92" customFormat="1" ht="34.5" customHeight="1" x14ac:dyDescent="0.2">
      <c r="A68" s="82"/>
      <c r="B68" s="82" t="s">
        <v>177</v>
      </c>
      <c r="C68" s="107" t="s">
        <v>178</v>
      </c>
      <c r="D68" s="82" t="s">
        <v>8</v>
      </c>
      <c r="E68" s="82"/>
      <c r="F68" s="82"/>
      <c r="G68" s="82">
        <v>75</v>
      </c>
      <c r="H68" s="91">
        <f>+H69</f>
        <v>32021.643900000003</v>
      </c>
      <c r="I68" s="91">
        <f>+I69</f>
        <v>24016.23</v>
      </c>
      <c r="J68" s="91">
        <f t="shared" ref="J68:Q68" si="27">+J69</f>
        <v>8005.4139000000032</v>
      </c>
      <c r="K68" s="91">
        <f t="shared" si="27"/>
        <v>0</v>
      </c>
      <c r="L68" s="91">
        <f t="shared" si="27"/>
        <v>0</v>
      </c>
      <c r="M68" s="93">
        <f t="shared" si="27"/>
        <v>0</v>
      </c>
      <c r="N68" s="93">
        <f t="shared" si="27"/>
        <v>0</v>
      </c>
      <c r="O68" s="93">
        <f t="shared" si="27"/>
        <v>32021.643900000003</v>
      </c>
      <c r="P68" s="93">
        <f t="shared" si="27"/>
        <v>0</v>
      </c>
      <c r="Q68" s="93">
        <f t="shared" si="27"/>
        <v>0</v>
      </c>
    </row>
    <row r="69" spans="1:17" s="97" customFormat="1" ht="26.25" customHeight="1" x14ac:dyDescent="0.2">
      <c r="A69" s="114">
        <v>28</v>
      </c>
      <c r="B69" s="114" t="s">
        <v>179</v>
      </c>
      <c r="C69" s="115" t="s">
        <v>180</v>
      </c>
      <c r="D69" s="114" t="s">
        <v>11</v>
      </c>
      <c r="E69" s="114" t="s">
        <v>854</v>
      </c>
      <c r="F69" s="114" t="s">
        <v>914</v>
      </c>
      <c r="G69" s="114">
        <v>75</v>
      </c>
      <c r="H69" s="116">
        <f>+K69+L69+M69+N69+O69+P69+Q69</f>
        <v>32021.643900000003</v>
      </c>
      <c r="I69" s="116">
        <f>ROUNDDOWN(H69*0.75,2)</f>
        <v>24016.23</v>
      </c>
      <c r="J69" s="116">
        <f>+H69-I69</f>
        <v>8005.4139000000032</v>
      </c>
      <c r="K69" s="116">
        <v>0</v>
      </c>
      <c r="L69" s="116">
        <v>0</v>
      </c>
      <c r="M69" s="124">
        <v>0</v>
      </c>
      <c r="N69" s="124">
        <v>0</v>
      </c>
      <c r="O69" s="124">
        <f>29926.77*1.07</f>
        <v>32021.643900000003</v>
      </c>
      <c r="P69" s="124">
        <v>0</v>
      </c>
      <c r="Q69" s="124">
        <v>0</v>
      </c>
    </row>
    <row r="70" spans="1:17" s="92" customFormat="1" ht="26.25" customHeight="1" x14ac:dyDescent="0.2">
      <c r="A70" s="104"/>
      <c r="B70" s="104" t="s">
        <v>184</v>
      </c>
      <c r="C70" s="109" t="s">
        <v>185</v>
      </c>
      <c r="D70" s="104" t="s">
        <v>2</v>
      </c>
      <c r="E70" s="104"/>
      <c r="F70" s="104"/>
      <c r="G70" s="104">
        <v>75</v>
      </c>
      <c r="H70" s="102">
        <f>+H71+H84+H89</f>
        <v>5514283.2921999991</v>
      </c>
      <c r="I70" s="102">
        <f t="shared" ref="I70:P70" si="28">+I71+I84+I89</f>
        <v>4135712.43</v>
      </c>
      <c r="J70" s="102">
        <f t="shared" si="28"/>
        <v>1378570.8622000001</v>
      </c>
      <c r="K70" s="102">
        <f t="shared" si="28"/>
        <v>325700.42999999993</v>
      </c>
      <c r="L70" s="102">
        <f t="shared" si="28"/>
        <v>591546.88</v>
      </c>
      <c r="M70" s="102">
        <f t="shared" si="28"/>
        <v>777490.92999999993</v>
      </c>
      <c r="N70" s="102">
        <f t="shared" si="28"/>
        <v>1130049.44</v>
      </c>
      <c r="O70" s="102">
        <f t="shared" si="28"/>
        <v>525092.4121999999</v>
      </c>
      <c r="P70" s="102">
        <f t="shared" si="28"/>
        <v>1514403.2</v>
      </c>
      <c r="Q70" s="102">
        <f>+Q71+Q84+Q89</f>
        <v>650000</v>
      </c>
    </row>
    <row r="71" spans="1:17" s="97" customFormat="1" ht="26.25" customHeight="1" x14ac:dyDescent="0.2">
      <c r="A71" s="84"/>
      <c r="B71" s="84" t="s">
        <v>186</v>
      </c>
      <c r="C71" s="110" t="s">
        <v>187</v>
      </c>
      <c r="D71" s="84" t="s">
        <v>5</v>
      </c>
      <c r="E71" s="84"/>
      <c r="F71" s="84"/>
      <c r="G71" s="84">
        <v>75</v>
      </c>
      <c r="H71" s="96">
        <f t="shared" ref="H71:P71" si="29">+H72+H74+H76+H80+H82</f>
        <v>4925855.3070999989</v>
      </c>
      <c r="I71" s="96">
        <f t="shared" si="29"/>
        <v>3694391.45</v>
      </c>
      <c r="J71" s="96">
        <f t="shared" si="29"/>
        <v>1231463.8570999999</v>
      </c>
      <c r="K71" s="96">
        <f t="shared" si="29"/>
        <v>307474.47999999992</v>
      </c>
      <c r="L71" s="96">
        <f t="shared" si="29"/>
        <v>444889.41000000003</v>
      </c>
      <c r="M71" s="96">
        <f t="shared" si="29"/>
        <v>686093.5199999999</v>
      </c>
      <c r="N71" s="96">
        <f t="shared" si="29"/>
        <v>1076940.6499999999</v>
      </c>
      <c r="O71" s="96">
        <f t="shared" si="29"/>
        <v>401054.04709999997</v>
      </c>
      <c r="P71" s="96">
        <f t="shared" si="29"/>
        <v>1409403.2</v>
      </c>
      <c r="Q71" s="96">
        <f>+Q72+Q74+Q76+Q80+Q82</f>
        <v>600000</v>
      </c>
    </row>
    <row r="72" spans="1:17" s="97" customFormat="1" ht="48" x14ac:dyDescent="0.2">
      <c r="A72" s="85"/>
      <c r="B72" s="85" t="s">
        <v>188</v>
      </c>
      <c r="C72" s="111" t="s">
        <v>189</v>
      </c>
      <c r="D72" s="85" t="s">
        <v>8</v>
      </c>
      <c r="E72" s="85"/>
      <c r="F72" s="85"/>
      <c r="G72" s="85">
        <v>75</v>
      </c>
      <c r="H72" s="93">
        <f>+H73</f>
        <v>50893.130000000005</v>
      </c>
      <c r="I72" s="93">
        <f>+I73</f>
        <v>38169.839999999997</v>
      </c>
      <c r="J72" s="93">
        <f t="shared" ref="J72:Q72" si="30">+J73</f>
        <v>12723.290000000008</v>
      </c>
      <c r="K72" s="93">
        <f t="shared" si="30"/>
        <v>18877.75</v>
      </c>
      <c r="L72" s="93">
        <f t="shared" si="30"/>
        <v>0</v>
      </c>
      <c r="M72" s="93">
        <f t="shared" si="30"/>
        <v>0</v>
      </c>
      <c r="N72" s="93">
        <f t="shared" si="30"/>
        <v>7612.18</v>
      </c>
      <c r="O72" s="93">
        <f t="shared" si="30"/>
        <v>0</v>
      </c>
      <c r="P72" s="93">
        <f t="shared" si="30"/>
        <v>24403.200000000001</v>
      </c>
      <c r="Q72" s="93">
        <f t="shared" si="30"/>
        <v>0</v>
      </c>
    </row>
    <row r="73" spans="1:17" s="97" customFormat="1" ht="26.25" customHeight="1" x14ac:dyDescent="0.2">
      <c r="A73" s="125">
        <v>29</v>
      </c>
      <c r="B73" s="125" t="s">
        <v>190</v>
      </c>
      <c r="C73" s="126" t="s">
        <v>191</v>
      </c>
      <c r="D73" s="125" t="s">
        <v>11</v>
      </c>
      <c r="E73" s="125" t="s">
        <v>858</v>
      </c>
      <c r="F73" s="125" t="s">
        <v>905</v>
      </c>
      <c r="G73" s="125">
        <v>75</v>
      </c>
      <c r="H73" s="127">
        <f>+K73+L73+M73+N73+O73+P73+Q73</f>
        <v>50893.130000000005</v>
      </c>
      <c r="I73" s="127">
        <f>ROUNDDOWN(H73*0.75,2)</f>
        <v>38169.839999999997</v>
      </c>
      <c r="J73" s="127">
        <f>+H73-I73</f>
        <v>12723.290000000008</v>
      </c>
      <c r="K73" s="127">
        <v>18877.75</v>
      </c>
      <c r="L73" s="127">
        <v>0</v>
      </c>
      <c r="M73" s="124">
        <v>0</v>
      </c>
      <c r="N73" s="124">
        <v>7612.18</v>
      </c>
      <c r="O73" s="124">
        <v>0</v>
      </c>
      <c r="P73" s="124">
        <v>24403.200000000001</v>
      </c>
      <c r="Q73" s="124">
        <v>0</v>
      </c>
    </row>
    <row r="74" spans="1:17" s="97" customFormat="1" ht="48" x14ac:dyDescent="0.2">
      <c r="A74" s="85"/>
      <c r="B74" s="85" t="s">
        <v>194</v>
      </c>
      <c r="C74" s="111" t="s">
        <v>195</v>
      </c>
      <c r="D74" s="85" t="s">
        <v>8</v>
      </c>
      <c r="E74" s="85"/>
      <c r="F74" s="85"/>
      <c r="G74" s="85">
        <v>75</v>
      </c>
      <c r="H74" s="93">
        <f>+H75</f>
        <v>27706.12</v>
      </c>
      <c r="I74" s="93">
        <f t="shared" ref="I74:Q74" si="31">+I75</f>
        <v>20779.59</v>
      </c>
      <c r="J74" s="93">
        <f t="shared" si="31"/>
        <v>6926.5299999999988</v>
      </c>
      <c r="K74" s="93">
        <f t="shared" si="31"/>
        <v>0</v>
      </c>
      <c r="L74" s="93">
        <f t="shared" si="31"/>
        <v>1023.76</v>
      </c>
      <c r="M74" s="93">
        <f t="shared" si="31"/>
        <v>1349</v>
      </c>
      <c r="N74" s="93">
        <f t="shared" si="31"/>
        <v>2996.12</v>
      </c>
      <c r="O74" s="93">
        <f t="shared" si="31"/>
        <v>2337.2399999999998</v>
      </c>
      <c r="P74" s="93">
        <f t="shared" si="31"/>
        <v>20000</v>
      </c>
      <c r="Q74" s="93">
        <f t="shared" si="31"/>
        <v>0</v>
      </c>
    </row>
    <row r="75" spans="1:17" s="97" customFormat="1" ht="26.25" customHeight="1" x14ac:dyDescent="0.2">
      <c r="A75" s="125">
        <v>30</v>
      </c>
      <c r="B75" s="125" t="s">
        <v>196</v>
      </c>
      <c r="C75" s="126" t="s">
        <v>197</v>
      </c>
      <c r="D75" s="125" t="s">
        <v>11</v>
      </c>
      <c r="E75" s="125" t="s">
        <v>859</v>
      </c>
      <c r="F75" s="125" t="s">
        <v>905</v>
      </c>
      <c r="G75" s="125">
        <v>75</v>
      </c>
      <c r="H75" s="127">
        <f>+K75+L75+M75+N75+O75+P75+Q75</f>
        <v>27706.12</v>
      </c>
      <c r="I75" s="127">
        <f>ROUNDDOWN(H75*0.75,2)</f>
        <v>20779.59</v>
      </c>
      <c r="J75" s="127">
        <f>+H75-I75</f>
        <v>6926.5299999999988</v>
      </c>
      <c r="K75" s="127">
        <v>0</v>
      </c>
      <c r="L75" s="127">
        <v>1023.76</v>
      </c>
      <c r="M75" s="124">
        <v>1349</v>
      </c>
      <c r="N75" s="124">
        <v>2996.12</v>
      </c>
      <c r="O75" s="124">
        <v>2337.2399999999998</v>
      </c>
      <c r="P75" s="117">
        <v>20000</v>
      </c>
      <c r="Q75" s="124">
        <v>0</v>
      </c>
    </row>
    <row r="76" spans="1:17" ht="48" x14ac:dyDescent="0.2">
      <c r="A76" s="85"/>
      <c r="B76" s="85" t="s">
        <v>198</v>
      </c>
      <c r="C76" s="111" t="s">
        <v>199</v>
      </c>
      <c r="D76" s="85" t="s">
        <v>8</v>
      </c>
      <c r="E76" s="85"/>
      <c r="F76" s="85"/>
      <c r="G76" s="85">
        <v>75</v>
      </c>
      <c r="H76" s="93">
        <f>+H77+H78+H79</f>
        <v>4531072.1261999989</v>
      </c>
      <c r="I76" s="93">
        <f t="shared" ref="I76:P76" si="32">+I77+I78+I79</f>
        <v>3398304.08</v>
      </c>
      <c r="J76" s="93">
        <f t="shared" si="32"/>
        <v>1132768.0462</v>
      </c>
      <c r="K76" s="93">
        <f t="shared" si="32"/>
        <v>258327.71</v>
      </c>
      <c r="L76" s="93">
        <f t="shared" si="32"/>
        <v>376693.42000000004</v>
      </c>
      <c r="M76" s="93">
        <f t="shared" si="32"/>
        <v>645838.44999999995</v>
      </c>
      <c r="N76" s="93">
        <f t="shared" si="32"/>
        <v>1034702.26</v>
      </c>
      <c r="O76" s="93">
        <f t="shared" si="32"/>
        <v>362510.28619999997</v>
      </c>
      <c r="P76" s="93">
        <f t="shared" si="32"/>
        <v>1265000</v>
      </c>
      <c r="Q76" s="93">
        <f>+Q77+Q78+Q79</f>
        <v>588000</v>
      </c>
    </row>
    <row r="77" spans="1:17" s="97" customFormat="1" ht="26.25" customHeight="1" x14ac:dyDescent="0.2">
      <c r="A77" s="125">
        <v>31</v>
      </c>
      <c r="B77" s="125" t="s">
        <v>200</v>
      </c>
      <c r="C77" s="126" t="s">
        <v>201</v>
      </c>
      <c r="D77" s="125" t="s">
        <v>11</v>
      </c>
      <c r="E77" s="125" t="s">
        <v>859</v>
      </c>
      <c r="F77" s="125" t="s">
        <v>914</v>
      </c>
      <c r="G77" s="125">
        <v>75</v>
      </c>
      <c r="H77" s="127">
        <f>+K77+L77+M77+N77+O77+P77+Q77</f>
        <v>1966713.0063999998</v>
      </c>
      <c r="I77" s="127">
        <f>ROUNDDOWN(H77*0.75,2)</f>
        <v>1475034.75</v>
      </c>
      <c r="J77" s="127">
        <f>+H77-I77</f>
        <v>491678.25639999984</v>
      </c>
      <c r="K77" s="127">
        <v>245284.65</v>
      </c>
      <c r="L77" s="127">
        <v>324823.75</v>
      </c>
      <c r="M77" s="124">
        <v>224448.86</v>
      </c>
      <c r="N77" s="124">
        <v>260024.4</v>
      </c>
      <c r="O77" s="124">
        <f>256197.52*1.07</f>
        <v>274131.34639999998</v>
      </c>
      <c r="P77" s="124">
        <v>350000</v>
      </c>
      <c r="Q77" s="124">
        <v>288000</v>
      </c>
    </row>
    <row r="78" spans="1:17" s="97" customFormat="1" ht="26.25" customHeight="1" x14ac:dyDescent="0.2">
      <c r="A78" s="125">
        <v>32</v>
      </c>
      <c r="B78" s="125" t="s">
        <v>202</v>
      </c>
      <c r="C78" s="126" t="s">
        <v>203</v>
      </c>
      <c r="D78" s="125" t="s">
        <v>11</v>
      </c>
      <c r="E78" s="125" t="s">
        <v>859</v>
      </c>
      <c r="F78" s="125" t="s">
        <v>914</v>
      </c>
      <c r="G78" s="125">
        <v>75</v>
      </c>
      <c r="H78" s="127">
        <f>+K78+L78+M78+N78+O78+P78+Q78</f>
        <v>2302895.1825999999</v>
      </c>
      <c r="I78" s="127">
        <f>ROUNDDOWN(H78*0.75,2)</f>
        <v>1727171.38</v>
      </c>
      <c r="J78" s="127">
        <f>+H78-I78</f>
        <v>575723.80260000005</v>
      </c>
      <c r="K78" s="127"/>
      <c r="L78" s="127">
        <v>4568.8999999999996</v>
      </c>
      <c r="M78" s="124">
        <v>372208.72</v>
      </c>
      <c r="N78" s="124">
        <v>723698.4</v>
      </c>
      <c r="O78" s="124">
        <f>34971.18*1.07</f>
        <v>37419.162600000003</v>
      </c>
      <c r="P78" s="117">
        <v>865000</v>
      </c>
      <c r="Q78" s="124">
        <v>300000</v>
      </c>
    </row>
    <row r="79" spans="1:17" s="97" customFormat="1" ht="26.25" customHeight="1" x14ac:dyDescent="0.2">
      <c r="A79" s="125">
        <v>33</v>
      </c>
      <c r="B79" s="125" t="s">
        <v>204</v>
      </c>
      <c r="C79" s="126" t="s">
        <v>205</v>
      </c>
      <c r="D79" s="125" t="s">
        <v>11</v>
      </c>
      <c r="E79" s="125" t="s">
        <v>934</v>
      </c>
      <c r="F79" s="125" t="s">
        <v>914</v>
      </c>
      <c r="G79" s="125">
        <v>75</v>
      </c>
      <c r="H79" s="127">
        <f>+K79+L79+M79+N79+O79+P79+Q79</f>
        <v>261463.93720000001</v>
      </c>
      <c r="I79" s="127">
        <f>ROUNDDOWN(H79*0.75,2)</f>
        <v>196097.95</v>
      </c>
      <c r="J79" s="127">
        <f>+H79-I79</f>
        <v>65365.987200000003</v>
      </c>
      <c r="K79" s="127">
        <v>13043.06</v>
      </c>
      <c r="L79" s="127">
        <v>47300.77</v>
      </c>
      <c r="M79" s="124">
        <v>49180.87</v>
      </c>
      <c r="N79" s="124">
        <v>50979.46</v>
      </c>
      <c r="O79" s="124">
        <f>47625.96*1.07</f>
        <v>50959.777200000004</v>
      </c>
      <c r="P79" s="124">
        <v>50000</v>
      </c>
      <c r="Q79" s="124">
        <v>0</v>
      </c>
    </row>
    <row r="80" spans="1:17" ht="26.25" customHeight="1" x14ac:dyDescent="0.2">
      <c r="A80" s="85"/>
      <c r="B80" s="85" t="s">
        <v>206</v>
      </c>
      <c r="C80" s="111" t="s">
        <v>207</v>
      </c>
      <c r="D80" s="85" t="s">
        <v>8</v>
      </c>
      <c r="E80" s="85"/>
      <c r="F80" s="85"/>
      <c r="G80" s="85">
        <v>75</v>
      </c>
      <c r="H80" s="93">
        <f>+H81</f>
        <v>187849.9247</v>
      </c>
      <c r="I80" s="93">
        <f t="shared" ref="I80:Q80" si="33">+I81</f>
        <v>140887.44</v>
      </c>
      <c r="J80" s="93">
        <f t="shared" si="33"/>
        <v>46962.484700000001</v>
      </c>
      <c r="K80" s="93">
        <f t="shared" si="33"/>
        <v>24275.040000000001</v>
      </c>
      <c r="L80" s="93">
        <f t="shared" si="33"/>
        <v>34430.589999999997</v>
      </c>
      <c r="M80" s="93">
        <f t="shared" si="33"/>
        <v>26247.86</v>
      </c>
      <c r="N80" s="93">
        <f t="shared" si="33"/>
        <v>24230.91</v>
      </c>
      <c r="O80" s="93">
        <f t="shared" si="33"/>
        <v>28665.524700000002</v>
      </c>
      <c r="P80" s="93">
        <f t="shared" si="33"/>
        <v>50000</v>
      </c>
      <c r="Q80" s="93">
        <f t="shared" si="33"/>
        <v>0</v>
      </c>
    </row>
    <row r="81" spans="1:19" s="97" customFormat="1" ht="26.25" customHeight="1" x14ac:dyDescent="0.2">
      <c r="A81" s="125">
        <v>34</v>
      </c>
      <c r="B81" s="125" t="s">
        <v>208</v>
      </c>
      <c r="C81" s="126" t="s">
        <v>209</v>
      </c>
      <c r="D81" s="125" t="s">
        <v>11</v>
      </c>
      <c r="E81" s="125" t="s">
        <v>859</v>
      </c>
      <c r="F81" s="125" t="s">
        <v>914</v>
      </c>
      <c r="G81" s="125">
        <v>75</v>
      </c>
      <c r="H81" s="127">
        <f>+K81+L81+M81+N81+O81+P81+Q81</f>
        <v>187849.9247</v>
      </c>
      <c r="I81" s="127">
        <f>ROUNDDOWN(H81*0.75,2)</f>
        <v>140887.44</v>
      </c>
      <c r="J81" s="127">
        <f>+H81-I81</f>
        <v>46962.484700000001</v>
      </c>
      <c r="K81" s="127">
        <v>24275.040000000001</v>
      </c>
      <c r="L81" s="127">
        <v>34430.589999999997</v>
      </c>
      <c r="M81" s="124">
        <v>26247.86</v>
      </c>
      <c r="N81" s="124">
        <v>24230.91</v>
      </c>
      <c r="O81" s="124">
        <f>26790.21*1.07</f>
        <v>28665.524700000002</v>
      </c>
      <c r="P81" s="124">
        <v>50000</v>
      </c>
      <c r="Q81" s="124">
        <v>0</v>
      </c>
    </row>
    <row r="82" spans="1:19" ht="24" x14ac:dyDescent="0.2">
      <c r="A82" s="85"/>
      <c r="B82" s="85" t="s">
        <v>210</v>
      </c>
      <c r="C82" s="111" t="s">
        <v>211</v>
      </c>
      <c r="D82" s="85" t="s">
        <v>8</v>
      </c>
      <c r="E82" s="85"/>
      <c r="F82" s="85"/>
      <c r="G82" s="85">
        <v>75</v>
      </c>
      <c r="H82" s="93">
        <f>+H83</f>
        <v>128334.00619999999</v>
      </c>
      <c r="I82" s="93">
        <f t="shared" ref="I82:Q82" si="34">+I83</f>
        <v>96250.5</v>
      </c>
      <c r="J82" s="93">
        <f t="shared" si="34"/>
        <v>32083.506199999989</v>
      </c>
      <c r="K82" s="93">
        <f t="shared" si="34"/>
        <v>5993.98</v>
      </c>
      <c r="L82" s="93">
        <f t="shared" si="34"/>
        <v>32741.64</v>
      </c>
      <c r="M82" s="93">
        <f t="shared" si="34"/>
        <v>12658.21</v>
      </c>
      <c r="N82" s="93">
        <f t="shared" si="34"/>
        <v>7399.18</v>
      </c>
      <c r="O82" s="93">
        <f t="shared" si="34"/>
        <v>7540.9962000000005</v>
      </c>
      <c r="P82" s="93">
        <f t="shared" si="34"/>
        <v>50000</v>
      </c>
      <c r="Q82" s="93">
        <f t="shared" si="34"/>
        <v>12000</v>
      </c>
    </row>
    <row r="83" spans="1:19" s="97" customFormat="1" ht="26.25" customHeight="1" x14ac:dyDescent="0.2">
      <c r="A83" s="125">
        <v>35</v>
      </c>
      <c r="B83" s="125" t="s">
        <v>212</v>
      </c>
      <c r="C83" s="126" t="s">
        <v>211</v>
      </c>
      <c r="D83" s="125" t="s">
        <v>11</v>
      </c>
      <c r="E83" s="125" t="s">
        <v>859</v>
      </c>
      <c r="F83" s="125" t="s">
        <v>914</v>
      </c>
      <c r="G83" s="125">
        <v>75</v>
      </c>
      <c r="H83" s="127">
        <f>+K83+L83+M83+N83+O83+P83+Q83</f>
        <v>128334.00619999999</v>
      </c>
      <c r="I83" s="127">
        <f>ROUNDDOWN(H83*0.75,2)</f>
        <v>96250.5</v>
      </c>
      <c r="J83" s="127">
        <f>+H83-I83</f>
        <v>32083.506199999989</v>
      </c>
      <c r="K83" s="127">
        <v>5993.98</v>
      </c>
      <c r="L83" s="127">
        <v>32741.64</v>
      </c>
      <c r="M83" s="124">
        <v>12658.21</v>
      </c>
      <c r="N83" s="124">
        <v>7399.18</v>
      </c>
      <c r="O83" s="124">
        <f>7047.66*1.07</f>
        <v>7540.9962000000005</v>
      </c>
      <c r="P83" s="124">
        <v>50000</v>
      </c>
      <c r="Q83" s="124">
        <v>12000</v>
      </c>
    </row>
    <row r="84" spans="1:19" ht="26.25" customHeight="1" x14ac:dyDescent="0.2">
      <c r="A84" s="84"/>
      <c r="B84" s="84" t="s">
        <v>213</v>
      </c>
      <c r="C84" s="110" t="s">
        <v>214</v>
      </c>
      <c r="D84" s="84" t="s">
        <v>5</v>
      </c>
      <c r="E84" s="84"/>
      <c r="F84" s="84"/>
      <c r="G84" s="84">
        <v>75</v>
      </c>
      <c r="H84" s="96">
        <f>+H85+H87</f>
        <v>580841.58510000003</v>
      </c>
      <c r="I84" s="96">
        <f t="shared" ref="I84:P84" si="35">+I85+I87</f>
        <v>435631.18</v>
      </c>
      <c r="J84" s="96">
        <f t="shared" si="35"/>
        <v>145210.40510000003</v>
      </c>
      <c r="K84" s="96">
        <f t="shared" si="35"/>
        <v>18225.95</v>
      </c>
      <c r="L84" s="96">
        <f t="shared" si="35"/>
        <v>145260.57</v>
      </c>
      <c r="M84" s="96">
        <f t="shared" si="35"/>
        <v>90599.64</v>
      </c>
      <c r="N84" s="96">
        <f t="shared" si="35"/>
        <v>52717.06</v>
      </c>
      <c r="O84" s="96">
        <f t="shared" si="35"/>
        <v>124038.3651</v>
      </c>
      <c r="P84" s="96">
        <f t="shared" si="35"/>
        <v>100000</v>
      </c>
      <c r="Q84" s="96">
        <f>+Q85+Q87</f>
        <v>50000</v>
      </c>
    </row>
    <row r="85" spans="1:19" ht="48" x14ac:dyDescent="0.2">
      <c r="A85" s="85"/>
      <c r="B85" s="85" t="s">
        <v>215</v>
      </c>
      <c r="C85" s="111" t="s">
        <v>216</v>
      </c>
      <c r="D85" s="85" t="s">
        <v>8</v>
      </c>
      <c r="E85" s="85"/>
      <c r="F85" s="85"/>
      <c r="G85" s="85">
        <v>75</v>
      </c>
      <c r="H85" s="93">
        <f>+H86</f>
        <v>313924.37</v>
      </c>
      <c r="I85" s="93">
        <f t="shared" ref="I85:Q85" si="36">+I86</f>
        <v>235443.27</v>
      </c>
      <c r="J85" s="93">
        <f t="shared" si="36"/>
        <v>78481.100000000006</v>
      </c>
      <c r="K85" s="93">
        <f t="shared" si="36"/>
        <v>0</v>
      </c>
      <c r="L85" s="93">
        <f t="shared" si="36"/>
        <v>105210.56</v>
      </c>
      <c r="M85" s="93">
        <f t="shared" si="36"/>
        <v>51239.92</v>
      </c>
      <c r="N85" s="93">
        <f t="shared" si="36"/>
        <v>9793.86</v>
      </c>
      <c r="O85" s="93">
        <f t="shared" si="36"/>
        <v>47680.03</v>
      </c>
      <c r="P85" s="93">
        <f t="shared" si="36"/>
        <v>50000</v>
      </c>
      <c r="Q85" s="93">
        <f t="shared" si="36"/>
        <v>50000</v>
      </c>
    </row>
    <row r="86" spans="1:19" s="97" customFormat="1" ht="36.75" customHeight="1" x14ac:dyDescent="0.2">
      <c r="A86" s="125">
        <v>36</v>
      </c>
      <c r="B86" s="125" t="s">
        <v>217</v>
      </c>
      <c r="C86" s="126" t="s">
        <v>218</v>
      </c>
      <c r="D86" s="125" t="s">
        <v>11</v>
      </c>
      <c r="E86" s="125" t="s">
        <v>859</v>
      </c>
      <c r="F86" s="125" t="s">
        <v>905</v>
      </c>
      <c r="G86" s="125">
        <v>75</v>
      </c>
      <c r="H86" s="127">
        <f>+K86+L86+M86+N86+O86+P86+Q86</f>
        <v>313924.37</v>
      </c>
      <c r="I86" s="116">
        <f>ROUNDDOWN(H86*0.75,2)</f>
        <v>235443.27</v>
      </c>
      <c r="J86" s="127">
        <f>+H86-I86</f>
        <v>78481.100000000006</v>
      </c>
      <c r="K86" s="127">
        <v>0</v>
      </c>
      <c r="L86" s="127">
        <v>105210.56</v>
      </c>
      <c r="M86" s="127">
        <v>51239.92</v>
      </c>
      <c r="N86" s="127">
        <v>9793.86</v>
      </c>
      <c r="O86" s="127">
        <v>47680.03</v>
      </c>
      <c r="P86" s="131">
        <f>100000-50000</f>
        <v>50000</v>
      </c>
      <c r="Q86" s="131">
        <f>50000</f>
        <v>50000</v>
      </c>
      <c r="S86" s="97" t="s">
        <v>946</v>
      </c>
    </row>
    <row r="87" spans="1:19" ht="36" x14ac:dyDescent="0.2">
      <c r="A87" s="85"/>
      <c r="B87" s="85" t="s">
        <v>219</v>
      </c>
      <c r="C87" s="111" t="s">
        <v>220</v>
      </c>
      <c r="D87" s="85" t="s">
        <v>8</v>
      </c>
      <c r="E87" s="85"/>
      <c r="F87" s="85"/>
      <c r="G87" s="85">
        <v>75</v>
      </c>
      <c r="H87" s="93">
        <f>+H88</f>
        <v>266917.21510000003</v>
      </c>
      <c r="I87" s="93">
        <f t="shared" ref="I87:Q87" si="37">+I88</f>
        <v>200187.91</v>
      </c>
      <c r="J87" s="93">
        <f t="shared" si="37"/>
        <v>66729.305100000027</v>
      </c>
      <c r="K87" s="93">
        <f t="shared" si="37"/>
        <v>18225.95</v>
      </c>
      <c r="L87" s="93">
        <f t="shared" si="37"/>
        <v>40050.01</v>
      </c>
      <c r="M87" s="93">
        <f t="shared" si="37"/>
        <v>39359.72</v>
      </c>
      <c r="N87" s="93">
        <f t="shared" si="37"/>
        <v>42923.199999999997</v>
      </c>
      <c r="O87" s="93">
        <f t="shared" si="37"/>
        <v>76358.335099999997</v>
      </c>
      <c r="P87" s="93">
        <f t="shared" si="37"/>
        <v>50000</v>
      </c>
      <c r="Q87" s="93">
        <f t="shared" si="37"/>
        <v>0</v>
      </c>
    </row>
    <row r="88" spans="1:19" s="97" customFormat="1" x14ac:dyDescent="0.2">
      <c r="A88" s="125">
        <v>37</v>
      </c>
      <c r="B88" s="125" t="s">
        <v>221</v>
      </c>
      <c r="C88" s="126" t="s">
        <v>222</v>
      </c>
      <c r="D88" s="125" t="s">
        <v>11</v>
      </c>
      <c r="E88" s="125" t="s">
        <v>859</v>
      </c>
      <c r="F88" s="125" t="s">
        <v>914</v>
      </c>
      <c r="G88" s="125">
        <v>75</v>
      </c>
      <c r="H88" s="127">
        <f>+K88+L88+M88+N88+O88+P88+Q88</f>
        <v>266917.21510000003</v>
      </c>
      <c r="I88" s="116">
        <f>ROUNDDOWN(H88*0.75,2)</f>
        <v>200187.91</v>
      </c>
      <c r="J88" s="127">
        <f>+H88-I88</f>
        <v>66729.305100000027</v>
      </c>
      <c r="K88" s="127">
        <v>18225.95</v>
      </c>
      <c r="L88" s="127">
        <v>40050.01</v>
      </c>
      <c r="M88" s="127">
        <v>39359.72</v>
      </c>
      <c r="N88" s="127">
        <v>42923.199999999997</v>
      </c>
      <c r="O88" s="127">
        <f>71362.93*1.07</f>
        <v>76358.335099999997</v>
      </c>
      <c r="P88" s="127">
        <v>50000</v>
      </c>
      <c r="Q88" s="127">
        <v>0</v>
      </c>
    </row>
    <row r="89" spans="1:19" ht="26.25" customHeight="1" x14ac:dyDescent="0.2">
      <c r="A89" s="84"/>
      <c r="B89" s="84" t="s">
        <v>223</v>
      </c>
      <c r="C89" s="110" t="s">
        <v>224</v>
      </c>
      <c r="D89" s="84" t="s">
        <v>5</v>
      </c>
      <c r="E89" s="84"/>
      <c r="F89" s="84"/>
      <c r="G89" s="84">
        <v>75</v>
      </c>
      <c r="H89" s="96">
        <f>+H90</f>
        <v>7586.4</v>
      </c>
      <c r="I89" s="96">
        <f t="shared" ref="I89:Q90" si="38">+I90</f>
        <v>5689.8</v>
      </c>
      <c r="J89" s="96">
        <f t="shared" si="38"/>
        <v>1896.5999999999995</v>
      </c>
      <c r="K89" s="96">
        <f t="shared" si="38"/>
        <v>0</v>
      </c>
      <c r="L89" s="96">
        <f t="shared" si="38"/>
        <v>1396.9</v>
      </c>
      <c r="M89" s="96">
        <f t="shared" si="38"/>
        <v>797.77</v>
      </c>
      <c r="N89" s="96">
        <f t="shared" si="38"/>
        <v>391.73</v>
      </c>
      <c r="O89" s="96">
        <f t="shared" si="38"/>
        <v>0</v>
      </c>
      <c r="P89" s="96">
        <f t="shared" si="38"/>
        <v>5000</v>
      </c>
      <c r="Q89" s="96">
        <f t="shared" si="38"/>
        <v>0</v>
      </c>
    </row>
    <row r="90" spans="1:19" ht="48" x14ac:dyDescent="0.2">
      <c r="A90" s="85"/>
      <c r="B90" s="85" t="s">
        <v>225</v>
      </c>
      <c r="C90" s="111" t="s">
        <v>226</v>
      </c>
      <c r="D90" s="85" t="s">
        <v>8</v>
      </c>
      <c r="E90" s="85"/>
      <c r="F90" s="85"/>
      <c r="G90" s="85">
        <v>75</v>
      </c>
      <c r="H90" s="93">
        <f>+H91</f>
        <v>7586.4</v>
      </c>
      <c r="I90" s="93">
        <f t="shared" si="38"/>
        <v>5689.8</v>
      </c>
      <c r="J90" s="93">
        <f t="shared" si="38"/>
        <v>1896.5999999999995</v>
      </c>
      <c r="K90" s="93">
        <f t="shared" si="38"/>
        <v>0</v>
      </c>
      <c r="L90" s="93">
        <f t="shared" si="38"/>
        <v>1396.9</v>
      </c>
      <c r="M90" s="93">
        <f t="shared" si="38"/>
        <v>797.77</v>
      </c>
      <c r="N90" s="93">
        <f t="shared" si="38"/>
        <v>391.73</v>
      </c>
      <c r="O90" s="93">
        <f t="shared" si="38"/>
        <v>0</v>
      </c>
      <c r="P90" s="93">
        <f t="shared" si="38"/>
        <v>5000</v>
      </c>
      <c r="Q90" s="93">
        <f t="shared" si="38"/>
        <v>0</v>
      </c>
    </row>
    <row r="91" spans="1:19" s="97" customFormat="1" ht="24" x14ac:dyDescent="0.2">
      <c r="A91" s="125">
        <v>38</v>
      </c>
      <c r="B91" s="125" t="s">
        <v>227</v>
      </c>
      <c r="C91" s="126" t="s">
        <v>228</v>
      </c>
      <c r="D91" s="125" t="s">
        <v>11</v>
      </c>
      <c r="E91" s="125" t="s">
        <v>859</v>
      </c>
      <c r="F91" s="125" t="s">
        <v>914</v>
      </c>
      <c r="G91" s="125">
        <v>75</v>
      </c>
      <c r="H91" s="127">
        <f>+K91+L91+M91+N91+O91+P91+Q91</f>
        <v>7586.4</v>
      </c>
      <c r="I91" s="116">
        <f>ROUNDDOWN(H91*0.75,2)</f>
        <v>5689.8</v>
      </c>
      <c r="J91" s="127">
        <f>+H91-I91</f>
        <v>1896.5999999999995</v>
      </c>
      <c r="K91" s="127"/>
      <c r="L91" s="127">
        <v>1396.9</v>
      </c>
      <c r="M91" s="127">
        <v>797.77</v>
      </c>
      <c r="N91" s="127">
        <v>391.73</v>
      </c>
      <c r="O91" s="127">
        <v>0</v>
      </c>
      <c r="P91" s="127">
        <v>5000</v>
      </c>
      <c r="Q91" s="127">
        <v>0</v>
      </c>
    </row>
    <row r="92" spans="1:19" s="92" customFormat="1" ht="24" x14ac:dyDescent="0.2">
      <c r="A92" s="104"/>
      <c r="B92" s="104" t="s">
        <v>890</v>
      </c>
      <c r="C92" s="109" t="s">
        <v>926</v>
      </c>
      <c r="D92" s="104" t="s">
        <v>2</v>
      </c>
      <c r="E92" s="104"/>
      <c r="F92" s="104"/>
      <c r="G92" s="104">
        <v>75</v>
      </c>
      <c r="H92" s="102">
        <f>+H93</f>
        <v>2494800</v>
      </c>
      <c r="I92" s="102">
        <f>+H92</f>
        <v>2494800</v>
      </c>
      <c r="J92" s="102">
        <v>0</v>
      </c>
      <c r="K92" s="102">
        <f t="shared" ref="I92:Q94" si="39">+K93</f>
        <v>0</v>
      </c>
      <c r="L92" s="102">
        <f t="shared" si="39"/>
        <v>0</v>
      </c>
      <c r="M92" s="102">
        <f t="shared" si="39"/>
        <v>1302000</v>
      </c>
      <c r="N92" s="102">
        <f t="shared" si="39"/>
        <v>556000</v>
      </c>
      <c r="O92" s="102">
        <f t="shared" si="39"/>
        <v>0</v>
      </c>
      <c r="P92" s="102">
        <f t="shared" si="39"/>
        <v>376800</v>
      </c>
      <c r="Q92" s="102">
        <f t="shared" si="39"/>
        <v>260000</v>
      </c>
    </row>
    <row r="93" spans="1:19" s="97" customFormat="1" ht="24" x14ac:dyDescent="0.2">
      <c r="A93" s="84"/>
      <c r="B93" s="84" t="s">
        <v>892</v>
      </c>
      <c r="C93" s="110" t="s">
        <v>891</v>
      </c>
      <c r="D93" s="84" t="s">
        <v>5</v>
      </c>
      <c r="E93" s="84"/>
      <c r="F93" s="84"/>
      <c r="G93" s="84">
        <v>75</v>
      </c>
      <c r="H93" s="96">
        <f>+H94+H96</f>
        <v>2494800</v>
      </c>
      <c r="I93" s="96">
        <f>+H93</f>
        <v>2494800</v>
      </c>
      <c r="J93" s="96">
        <v>0</v>
      </c>
      <c r="K93" s="96">
        <f t="shared" ref="K93:P93" si="40">+K94+K96</f>
        <v>0</v>
      </c>
      <c r="L93" s="96">
        <f t="shared" si="40"/>
        <v>0</v>
      </c>
      <c r="M93" s="96">
        <f t="shared" si="40"/>
        <v>1302000</v>
      </c>
      <c r="N93" s="96">
        <f t="shared" si="40"/>
        <v>556000</v>
      </c>
      <c r="O93" s="96">
        <f t="shared" si="40"/>
        <v>0</v>
      </c>
      <c r="P93" s="96">
        <f t="shared" si="40"/>
        <v>376800</v>
      </c>
      <c r="Q93" s="96">
        <f>+Q94+Q96</f>
        <v>260000</v>
      </c>
    </row>
    <row r="94" spans="1:19" s="97" customFormat="1" x14ac:dyDescent="0.2">
      <c r="A94" s="85"/>
      <c r="B94" s="85" t="s">
        <v>893</v>
      </c>
      <c r="C94" s="111" t="s">
        <v>891</v>
      </c>
      <c r="D94" s="85" t="s">
        <v>8</v>
      </c>
      <c r="E94" s="85"/>
      <c r="F94" s="85"/>
      <c r="G94" s="85">
        <v>75</v>
      </c>
      <c r="H94" s="93">
        <f>+H95</f>
        <v>1894800</v>
      </c>
      <c r="I94" s="93">
        <f t="shared" si="39"/>
        <v>1894800</v>
      </c>
      <c r="J94" s="93">
        <f t="shared" si="39"/>
        <v>0</v>
      </c>
      <c r="K94" s="93">
        <f t="shared" si="39"/>
        <v>0</v>
      </c>
      <c r="L94" s="93">
        <f t="shared" si="39"/>
        <v>0</v>
      </c>
      <c r="M94" s="93">
        <f t="shared" si="39"/>
        <v>1302000</v>
      </c>
      <c r="N94" s="93">
        <f t="shared" si="39"/>
        <v>216000</v>
      </c>
      <c r="O94" s="93">
        <f t="shared" si="39"/>
        <v>0</v>
      </c>
      <c r="P94" s="93">
        <f t="shared" si="39"/>
        <v>376800</v>
      </c>
      <c r="Q94" s="93">
        <f t="shared" si="39"/>
        <v>0</v>
      </c>
    </row>
    <row r="95" spans="1:19" s="97" customFormat="1" x14ac:dyDescent="0.2">
      <c r="A95" s="125">
        <v>39</v>
      </c>
      <c r="B95" s="125" t="s">
        <v>894</v>
      </c>
      <c r="C95" s="126" t="s">
        <v>891</v>
      </c>
      <c r="D95" s="125" t="s">
        <v>11</v>
      </c>
      <c r="E95" s="129" t="s">
        <v>854</v>
      </c>
      <c r="F95" s="125" t="s">
        <v>914</v>
      </c>
      <c r="G95" s="125">
        <v>100</v>
      </c>
      <c r="H95" s="127">
        <f>+K95+L95+M95+N95+O95+P95+Q95</f>
        <v>1894800</v>
      </c>
      <c r="I95" s="127">
        <v>1894800</v>
      </c>
      <c r="J95" s="127">
        <f>+H95-I95</f>
        <v>0</v>
      </c>
      <c r="K95" s="127">
        <v>0</v>
      </c>
      <c r="L95" s="127">
        <v>0</v>
      </c>
      <c r="M95" s="124">
        <v>1302000</v>
      </c>
      <c r="N95" s="124">
        <v>216000</v>
      </c>
      <c r="O95" s="124">
        <v>0</v>
      </c>
      <c r="P95" s="124">
        <v>376800</v>
      </c>
      <c r="Q95" s="124">
        <v>0</v>
      </c>
    </row>
    <row r="96" spans="1:19" s="97" customFormat="1" x14ac:dyDescent="0.2">
      <c r="A96" s="82"/>
      <c r="B96" s="82" t="s">
        <v>924</v>
      </c>
      <c r="C96" s="107" t="s">
        <v>97</v>
      </c>
      <c r="D96" s="82" t="s">
        <v>8</v>
      </c>
      <c r="E96" s="82"/>
      <c r="F96" s="82"/>
      <c r="G96" s="82">
        <v>100</v>
      </c>
      <c r="H96" s="91">
        <f>+H97</f>
        <v>600000</v>
      </c>
      <c r="I96" s="91">
        <f t="shared" ref="I96:Q96" si="41">+I97</f>
        <v>600000</v>
      </c>
      <c r="J96" s="91">
        <f t="shared" si="41"/>
        <v>0</v>
      </c>
      <c r="K96" s="91">
        <f t="shared" si="41"/>
        <v>0</v>
      </c>
      <c r="L96" s="91">
        <f t="shared" si="41"/>
        <v>0</v>
      </c>
      <c r="M96" s="91">
        <f t="shared" si="41"/>
        <v>0</v>
      </c>
      <c r="N96" s="91">
        <f t="shared" si="41"/>
        <v>340000</v>
      </c>
      <c r="O96" s="91">
        <f t="shared" si="41"/>
        <v>0</v>
      </c>
      <c r="P96" s="91">
        <f t="shared" si="41"/>
        <v>0</v>
      </c>
      <c r="Q96" s="91">
        <f t="shared" si="41"/>
        <v>260000</v>
      </c>
    </row>
    <row r="97" spans="1:17" s="97" customFormat="1" ht="36" x14ac:dyDescent="0.2">
      <c r="A97" s="125">
        <v>40</v>
      </c>
      <c r="B97" s="114" t="s">
        <v>925</v>
      </c>
      <c r="C97" s="115" t="s">
        <v>100</v>
      </c>
      <c r="D97" s="114" t="s">
        <v>11</v>
      </c>
      <c r="E97" s="114" t="s">
        <v>854</v>
      </c>
      <c r="F97" s="114" t="s">
        <v>914</v>
      </c>
      <c r="G97" s="114">
        <v>100</v>
      </c>
      <c r="H97" s="127">
        <f>+K97+L97+M97+N97+O97+P97+Q97</f>
        <v>600000</v>
      </c>
      <c r="I97" s="116">
        <v>600000</v>
      </c>
      <c r="J97" s="116">
        <f>+H97-I97</f>
        <v>0</v>
      </c>
      <c r="K97" s="116">
        <v>0</v>
      </c>
      <c r="L97" s="116">
        <v>0</v>
      </c>
      <c r="M97" s="116">
        <v>0</v>
      </c>
      <c r="N97" s="116">
        <v>340000</v>
      </c>
      <c r="O97" s="116">
        <v>0</v>
      </c>
      <c r="P97" s="116">
        <v>0</v>
      </c>
      <c r="Q97" s="116">
        <v>260000</v>
      </c>
    </row>
    <row r="98" spans="1:17" ht="24" x14ac:dyDescent="0.2">
      <c r="A98" s="103"/>
      <c r="B98" s="104" t="s">
        <v>875</v>
      </c>
      <c r="C98" s="109" t="s">
        <v>876</v>
      </c>
      <c r="D98" s="104" t="s">
        <v>2</v>
      </c>
      <c r="E98" s="104"/>
      <c r="F98" s="104"/>
      <c r="G98" s="104">
        <v>100</v>
      </c>
      <c r="H98" s="102">
        <f>+H99</f>
        <v>588130</v>
      </c>
      <c r="I98" s="102">
        <f t="shared" ref="I98:Q99" si="42">+I99</f>
        <v>588130</v>
      </c>
      <c r="J98" s="102">
        <f t="shared" si="42"/>
        <v>0</v>
      </c>
      <c r="K98" s="102">
        <f t="shared" si="42"/>
        <v>0</v>
      </c>
      <c r="L98" s="102">
        <f t="shared" si="42"/>
        <v>35000</v>
      </c>
      <c r="M98" s="102">
        <f t="shared" si="42"/>
        <v>97000</v>
      </c>
      <c r="N98" s="102">
        <f t="shared" si="42"/>
        <v>117000</v>
      </c>
      <c r="O98" s="102">
        <f t="shared" si="42"/>
        <v>107500</v>
      </c>
      <c r="P98" s="102">
        <f t="shared" si="42"/>
        <v>107500</v>
      </c>
      <c r="Q98" s="102">
        <f t="shared" si="42"/>
        <v>124130</v>
      </c>
    </row>
    <row r="99" spans="1:17" ht="24" x14ac:dyDescent="0.2">
      <c r="A99" s="98"/>
      <c r="B99" s="86" t="s">
        <v>877</v>
      </c>
      <c r="C99" s="112" t="s">
        <v>876</v>
      </c>
      <c r="D99" s="86" t="s">
        <v>5</v>
      </c>
      <c r="E99" s="86"/>
      <c r="F99" s="86"/>
      <c r="G99" s="86">
        <v>100</v>
      </c>
      <c r="H99" s="95">
        <f>+H100</f>
        <v>588130</v>
      </c>
      <c r="I99" s="95">
        <f t="shared" si="42"/>
        <v>588130</v>
      </c>
      <c r="J99" s="95">
        <f t="shared" si="42"/>
        <v>0</v>
      </c>
      <c r="K99" s="95">
        <f t="shared" si="42"/>
        <v>0</v>
      </c>
      <c r="L99" s="95">
        <f t="shared" si="42"/>
        <v>35000</v>
      </c>
      <c r="M99" s="95">
        <f t="shared" si="42"/>
        <v>97000</v>
      </c>
      <c r="N99" s="95">
        <f t="shared" si="42"/>
        <v>117000</v>
      </c>
      <c r="O99" s="138">
        <f t="shared" si="42"/>
        <v>107500</v>
      </c>
      <c r="P99" s="138">
        <f t="shared" si="42"/>
        <v>107500</v>
      </c>
      <c r="Q99" s="138">
        <f t="shared" si="42"/>
        <v>124130</v>
      </c>
    </row>
    <row r="100" spans="1:17" x14ac:dyDescent="0.2">
      <c r="A100" s="82"/>
      <c r="B100" s="82" t="s">
        <v>878</v>
      </c>
      <c r="C100" s="107" t="s">
        <v>876</v>
      </c>
      <c r="D100" s="82" t="s">
        <v>8</v>
      </c>
      <c r="E100" s="82"/>
      <c r="F100" s="82"/>
      <c r="G100" s="82">
        <v>100</v>
      </c>
      <c r="H100" s="91">
        <f>+H101+H102</f>
        <v>588130</v>
      </c>
      <c r="I100" s="91">
        <f t="shared" ref="I100:P100" si="43">+I101+I102</f>
        <v>588130</v>
      </c>
      <c r="J100" s="91">
        <f t="shared" si="43"/>
        <v>0</v>
      </c>
      <c r="K100" s="91">
        <f t="shared" si="43"/>
        <v>0</v>
      </c>
      <c r="L100" s="91">
        <f t="shared" si="43"/>
        <v>35000</v>
      </c>
      <c r="M100" s="91">
        <f t="shared" si="43"/>
        <v>97000</v>
      </c>
      <c r="N100" s="91">
        <f t="shared" si="43"/>
        <v>117000</v>
      </c>
      <c r="O100" s="91">
        <f t="shared" si="43"/>
        <v>107500</v>
      </c>
      <c r="P100" s="91">
        <f t="shared" si="43"/>
        <v>107500</v>
      </c>
      <c r="Q100" s="82">
        <f>+Q101+Q102</f>
        <v>124130</v>
      </c>
    </row>
    <row r="101" spans="1:17" s="97" customFormat="1" ht="24" x14ac:dyDescent="0.2">
      <c r="A101" s="128">
        <v>41</v>
      </c>
      <c r="B101" s="129" t="s">
        <v>879</v>
      </c>
      <c r="C101" s="130" t="s">
        <v>880</v>
      </c>
      <c r="D101" s="129" t="s">
        <v>11</v>
      </c>
      <c r="E101" s="129" t="s">
        <v>881</v>
      </c>
      <c r="F101" s="129" t="s">
        <v>914</v>
      </c>
      <c r="G101" s="129">
        <v>100</v>
      </c>
      <c r="H101" s="131">
        <f>+K101+L101+M101+N101+O101+P101+Q101</f>
        <v>486630</v>
      </c>
      <c r="I101" s="131">
        <f>+H101</f>
        <v>486630</v>
      </c>
      <c r="J101" s="131">
        <v>0</v>
      </c>
      <c r="K101" s="131"/>
      <c r="L101" s="131">
        <v>20000</v>
      </c>
      <c r="M101" s="131">
        <v>80000</v>
      </c>
      <c r="N101" s="131">
        <v>100000</v>
      </c>
      <c r="O101" s="131">
        <v>90000</v>
      </c>
      <c r="P101" s="131">
        <v>90000</v>
      </c>
      <c r="Q101" s="131">
        <f>93146.23+13483.77</f>
        <v>106630</v>
      </c>
    </row>
    <row r="102" spans="1:17" s="97" customFormat="1" ht="24" x14ac:dyDescent="0.2">
      <c r="A102" s="128">
        <v>42</v>
      </c>
      <c r="B102" s="129" t="s">
        <v>882</v>
      </c>
      <c r="C102" s="130" t="s">
        <v>883</v>
      </c>
      <c r="D102" s="129" t="s">
        <v>11</v>
      </c>
      <c r="E102" s="129" t="s">
        <v>884</v>
      </c>
      <c r="F102" s="129" t="s">
        <v>914</v>
      </c>
      <c r="G102" s="129">
        <v>100</v>
      </c>
      <c r="H102" s="131">
        <f>+K102+L102+M102+N102+O102+P102+Q102</f>
        <v>101500</v>
      </c>
      <c r="I102" s="131">
        <f>+H102</f>
        <v>101500</v>
      </c>
      <c r="J102" s="131">
        <v>0</v>
      </c>
      <c r="K102" s="131"/>
      <c r="L102" s="131">
        <v>15000</v>
      </c>
      <c r="M102" s="131">
        <v>17000</v>
      </c>
      <c r="N102" s="131">
        <v>17000</v>
      </c>
      <c r="O102" s="131">
        <f>34000-16500</f>
        <v>17500</v>
      </c>
      <c r="P102" s="131">
        <f>34000-16500</f>
        <v>17500</v>
      </c>
      <c r="Q102" s="131">
        <f>34000-16500</f>
        <v>17500</v>
      </c>
    </row>
    <row r="103" spans="1:17" x14ac:dyDescent="0.2">
      <c r="P103" s="113"/>
      <c r="Q103" s="113"/>
    </row>
    <row r="104" spans="1:17" x14ac:dyDescent="0.2">
      <c r="H104" s="113"/>
      <c r="P104" s="113"/>
      <c r="Q104" s="113"/>
    </row>
    <row r="107" spans="1:17" x14ac:dyDescent="0.2">
      <c r="A107" s="136"/>
      <c r="M107" s="113"/>
    </row>
    <row r="108" spans="1:17" x14ac:dyDescent="0.2">
      <c r="O108" s="113"/>
    </row>
    <row r="109" spans="1:17" x14ac:dyDescent="0.2">
      <c r="K109" s="113"/>
    </row>
    <row r="110" spans="1:17" x14ac:dyDescent="0.2">
      <c r="H110" s="113"/>
    </row>
  </sheetData>
  <sheetProtection selectLockedCells="1" selectUnlockedCells="1"/>
  <autoFilter ref="A3:Q102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ISF MEJE</vt:lpstr>
      <vt:lpstr>ISFP</vt:lpstr>
      <vt:lpstr>List1</vt:lpstr>
      <vt:lpstr>AN</vt:lpstr>
      <vt:lpstr>AN!Področje_tiskanja</vt:lpstr>
      <vt:lpstr>AN!Tiskanje_naslovov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2020-06-23T08:25:23Z</cp:lastPrinted>
  <dcterms:created xsi:type="dcterms:W3CDTF">2017-02-15T08:56:09Z</dcterms:created>
  <dcterms:modified xsi:type="dcterms:W3CDTF">2023-04-24T08:05:00Z</dcterms:modified>
</cp:coreProperties>
</file>