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G-FS\Users\gkovacic\Documents\MG - GORAZD\Word\CRP - Prestrukturiranje 2019 - 2020\"/>
    </mc:Choice>
  </mc:AlternateContent>
  <bookViews>
    <workbookView xWindow="-120" yWindow="-120" windowWidth="38640" windowHeight="21240"/>
  </bookViews>
  <sheets>
    <sheet name="Navodila" sheetId="5" r:id="rId1"/>
    <sheet name="BS_za_VSE_poslov.subjekte" sheetId="1" r:id="rId2"/>
    <sheet name="IPI_za_VSE_poslov.subjekte" sheetId="2" r:id="rId3"/>
    <sheet name="Ocena" sheetId="4" r:id="rId4"/>
    <sheet name="Sheet3" sheetId="3" state="hidden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" i="3" l="1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22" i="3"/>
  <c r="N46" i="3"/>
  <c r="C43" i="3"/>
  <c r="D43" i="3" s="1"/>
  <c r="E43" i="3" s="1"/>
  <c r="F43" i="3" s="1"/>
  <c r="N43" i="3" s="1"/>
  <c r="B44" i="3"/>
  <c r="B43" i="3"/>
  <c r="C41" i="3"/>
  <c r="D41" i="3" s="1"/>
  <c r="E41" i="3" s="1"/>
  <c r="F41" i="3" s="1"/>
  <c r="N41" i="3" s="1"/>
  <c r="B41" i="3"/>
  <c r="C42" i="3" s="1"/>
  <c r="B39" i="3"/>
  <c r="C39" i="3" s="1"/>
  <c r="D39" i="3" s="1"/>
  <c r="E39" i="3" s="1"/>
  <c r="F39" i="3" s="1"/>
  <c r="N39" i="3" s="1"/>
  <c r="B38" i="3"/>
  <c r="B36" i="3"/>
  <c r="B35" i="3"/>
  <c r="B45" i="3" s="1"/>
  <c r="C45" i="3" s="1"/>
  <c r="D45" i="3" s="1"/>
  <c r="E45" i="3" s="1"/>
  <c r="F45" i="3" s="1"/>
  <c r="N45" i="3" s="1"/>
  <c r="C34" i="3"/>
  <c r="C33" i="3" s="1"/>
  <c r="D33" i="3" s="1"/>
  <c r="F33" i="3" s="1"/>
  <c r="N33" i="3" s="1"/>
  <c r="B34" i="3"/>
  <c r="B33" i="3"/>
  <c r="B31" i="3"/>
  <c r="C32" i="3" s="1"/>
  <c r="B29" i="3"/>
  <c r="B37" i="3" s="1"/>
  <c r="B28" i="3"/>
  <c r="C28" i="3" s="1"/>
  <c r="D28" i="3" s="1"/>
  <c r="F28" i="3" s="1"/>
  <c r="N28" i="3" s="1"/>
  <c r="C27" i="3"/>
  <c r="D27" i="3" s="1"/>
  <c r="E27" i="3" s="1"/>
  <c r="F27" i="3" s="1"/>
  <c r="N27" i="3" s="1"/>
  <c r="B27" i="3"/>
  <c r="F26" i="3"/>
  <c r="N26" i="3" s="1"/>
  <c r="B26" i="3"/>
  <c r="C26" i="3" s="1"/>
  <c r="C24" i="3"/>
  <c r="B25" i="3"/>
  <c r="B24" i="3"/>
  <c r="B23" i="3"/>
  <c r="B22" i="3"/>
  <c r="C22" i="3" s="1"/>
  <c r="D22" i="3" s="1"/>
  <c r="F22" i="3" s="1"/>
  <c r="N22" i="3" s="1"/>
  <c r="C37" i="3" l="1"/>
  <c r="C38" i="3"/>
  <c r="D37" i="3" s="1"/>
  <c r="E37" i="3" s="1"/>
  <c r="E38" i="3" s="1"/>
  <c r="F37" i="3" s="1"/>
  <c r="N37" i="3" s="1"/>
  <c r="C36" i="3"/>
  <c r="C29" i="3"/>
  <c r="D29" i="3" s="1"/>
  <c r="E29" i="3" s="1"/>
  <c r="E30" i="3" s="1"/>
  <c r="F29" i="3" s="1"/>
  <c r="N29" i="3" s="1"/>
  <c r="C35" i="3"/>
  <c r="D35" i="3" s="1"/>
  <c r="E35" i="3" s="1"/>
  <c r="E36" i="3" s="1"/>
  <c r="F35" i="3" s="1"/>
  <c r="N35" i="3" s="1"/>
  <c r="C30" i="3"/>
  <c r="D24" i="3"/>
  <c r="E24" i="3" s="1"/>
  <c r="F24" i="3" s="1"/>
  <c r="N24" i="3" s="1"/>
  <c r="C31" i="3"/>
  <c r="D31" i="3" s="1"/>
  <c r="E31" i="3" s="1"/>
  <c r="F31" i="3" s="1"/>
  <c r="N31" i="3" s="1"/>
  <c r="F21" i="3"/>
  <c r="N21" i="3" s="1"/>
  <c r="B20" i="3"/>
  <c r="B19" i="3"/>
  <c r="B18" i="3"/>
  <c r="B16" i="3"/>
  <c r="B17" i="3"/>
  <c r="C15" i="3"/>
  <c r="F14" i="3" s="1"/>
  <c r="N14" i="3" s="1"/>
  <c r="B13" i="3"/>
  <c r="F13" i="3" s="1"/>
  <c r="N13" i="3" s="1"/>
  <c r="B12" i="3"/>
  <c r="F12" i="3" s="1"/>
  <c r="N12" i="3" s="1"/>
  <c r="F11" i="3"/>
  <c r="N11" i="3" s="1"/>
  <c r="F10" i="3"/>
  <c r="N10" i="3" s="1"/>
  <c r="F9" i="3"/>
  <c r="N9" i="3" s="1"/>
  <c r="F8" i="3"/>
  <c r="N8" i="3" s="1"/>
  <c r="F7" i="3"/>
  <c r="N7" i="3" s="1"/>
  <c r="F6" i="3"/>
  <c r="N6" i="3" s="1"/>
  <c r="B3" i="3"/>
  <c r="F3" i="3" s="1"/>
  <c r="N3" i="3" s="1"/>
  <c r="F19" i="3" l="1"/>
  <c r="N19" i="3" s="1"/>
  <c r="B40" i="3"/>
  <c r="C40" i="3" s="1"/>
  <c r="D40" i="3" s="1"/>
  <c r="F40" i="3" s="1"/>
  <c r="N40" i="3" s="1"/>
  <c r="C16" i="3"/>
  <c r="F16" i="3"/>
  <c r="N16" i="3" s="1"/>
  <c r="P3" i="3" s="1"/>
  <c r="R3" i="3" s="1"/>
  <c r="AS53" i="3" l="1"/>
  <c r="P50" i="3"/>
  <c r="R22" i="3"/>
  <c r="S13" i="3"/>
  <c r="X13" i="3" s="1"/>
  <c r="S15" i="3"/>
  <c r="X15" i="3" s="1"/>
  <c r="S7" i="3"/>
  <c r="S10" i="3"/>
  <c r="X10" i="3" s="1"/>
  <c r="S8" i="3"/>
  <c r="U8" i="3" s="1"/>
  <c r="S11" i="3"/>
  <c r="U11" i="3" s="1"/>
  <c r="S9" i="3"/>
  <c r="U9" i="3" s="1"/>
  <c r="S14" i="3"/>
  <c r="X14" i="3" s="1"/>
  <c r="S16" i="3"/>
  <c r="X16" i="3" s="1"/>
  <c r="S12" i="3"/>
  <c r="X12" i="3" s="1"/>
  <c r="X7" i="3"/>
  <c r="U7" i="3"/>
  <c r="V7" i="3"/>
  <c r="V10" i="3" l="1"/>
  <c r="U10" i="3"/>
  <c r="V16" i="3"/>
  <c r="X8" i="3"/>
  <c r="U16" i="3"/>
  <c r="V13" i="3"/>
  <c r="U13" i="3"/>
  <c r="V14" i="3"/>
  <c r="U14" i="3"/>
  <c r="V15" i="3"/>
  <c r="U15" i="3"/>
  <c r="V8" i="3"/>
  <c r="X9" i="3"/>
  <c r="X11" i="3"/>
  <c r="V11" i="3"/>
  <c r="V12" i="3"/>
  <c r="U12" i="3"/>
  <c r="V9" i="3"/>
  <c r="V17" i="3" a="1"/>
  <c r="V17" i="3" s="1"/>
  <c r="X17" i="3" l="1"/>
  <c r="U17" i="3"/>
  <c r="AB9" i="3" s="1"/>
  <c r="F3" i="4" s="1"/>
  <c r="AB10" i="3"/>
  <c r="F4" i="4" s="1"/>
  <c r="AB11" i="3" l="1"/>
  <c r="F5" i="4" s="1"/>
  <c r="AA8" i="3"/>
  <c r="E2" i="4" s="1"/>
  <c r="B8" i="4"/>
  <c r="AA6" i="3"/>
  <c r="C6" i="4" s="1"/>
  <c r="AB8" i="3"/>
  <c r="F2" i="4" s="1"/>
  <c r="C3" i="4" l="1"/>
  <c r="C5" i="4"/>
  <c r="C2" i="4"/>
  <c r="C4" i="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<sst xmlns="http://schemas.openxmlformats.org/spreadsheetml/2006/main" count="854" uniqueCount="573">
  <si>
    <t>Podatki iz bilance stanja</t>
  </si>
  <si>
    <t>v EUR s centi</t>
  </si>
  <si>
    <t>Uporablja
vrsta poslovnega subjekta</t>
  </si>
  <si>
    <t>Konto</t>
  </si>
  <si>
    <t>Postavka</t>
  </si>
  <si>
    <t>Oznaka 
za AOP</t>
  </si>
  <si>
    <t>Znesek</t>
  </si>
  <si>
    <t>Tekočega leta</t>
  </si>
  <si>
    <t>Prejšnjega leta</t>
  </si>
  <si>
    <r>
      <t>G</t>
    </r>
    <r>
      <rPr>
        <b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-gospodarska družba
</t>
    </r>
    <r>
      <rPr>
        <b/>
        <sz val="8"/>
        <rFont val="Arial"/>
        <family val="2"/>
        <charset val="238"/>
      </rPr>
      <t>SP</t>
    </r>
    <r>
      <rPr>
        <sz val="8"/>
        <rFont val="Arial"/>
        <family val="2"/>
        <charset val="238"/>
      </rPr>
      <t xml:space="preserve">-samostojni podjetnik
</t>
    </r>
    <r>
      <rPr>
        <b/>
        <sz val="8"/>
        <rFont val="Arial"/>
        <family val="2"/>
        <charset val="238"/>
      </rPr>
      <t>Z</t>
    </r>
    <r>
      <rPr>
        <sz val="8"/>
        <rFont val="Arial"/>
        <family val="2"/>
        <charset val="238"/>
      </rPr>
      <t xml:space="preserve">-zadruga
</t>
    </r>
    <r>
      <rPr>
        <b/>
        <sz val="8"/>
        <rFont val="Arial"/>
        <family val="2"/>
        <charset val="238"/>
      </rPr>
      <t>N</t>
    </r>
    <r>
      <rPr>
        <sz val="8"/>
        <rFont val="Arial"/>
        <family val="2"/>
        <charset val="238"/>
      </rPr>
      <t xml:space="preserve">-nepridobitna organizacija
</t>
    </r>
    <r>
      <rPr>
        <b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>-društvo</t>
    </r>
  </si>
  <si>
    <t>GD, Z, N</t>
  </si>
  <si>
    <t>00, 01, 02, 03, 04, 05, 06, 07, 08, 09, 10, 11, 12, 13, 14, 15, 16, 17, 18, 19, 30, 31, 32, 60, 61, 63, 65, 66, 67</t>
  </si>
  <si>
    <t>SREDSTVA
(002+032+053)</t>
  </si>
  <si>
    <t>001</t>
  </si>
  <si>
    <t>00, 01, 02, 03, 04, 05, 06, del 07, del 08, 09, del 13</t>
  </si>
  <si>
    <t>A. DOLGOROČNA SREDSTVA
(003+010+018+019+027+031)</t>
  </si>
  <si>
    <t>002</t>
  </si>
  <si>
    <t>GD, Z, SP, D, N</t>
  </si>
  <si>
    <t>del 00, del 08, del 13</t>
  </si>
  <si>
    <t>I. Neopredmetena sredstva in dolgoročne aktivne časovne razmejitve
(004+009)</t>
  </si>
  <si>
    <t>003</t>
  </si>
  <si>
    <t>GD, Z</t>
  </si>
  <si>
    <t>1. Neopredmetena sredstva
(005 do 008)</t>
  </si>
  <si>
    <t>004</t>
  </si>
  <si>
    <t>del 00</t>
  </si>
  <si>
    <t>a) Dolgoročne premoženjske pravice</t>
  </si>
  <si>
    <t>005</t>
  </si>
  <si>
    <t>b) Dobro ime</t>
  </si>
  <si>
    <t>006</t>
  </si>
  <si>
    <t>c) Dolgoročno odloženi stroški razvijanja</t>
  </si>
  <si>
    <t>007</t>
  </si>
  <si>
    <t>č) Druga neopredmetena sredstva</t>
  </si>
  <si>
    <t>008</t>
  </si>
  <si>
    <t>2. Dolgoročne aktivne časovne razmejitve</t>
  </si>
  <si>
    <t>009</t>
  </si>
  <si>
    <t>del 00, 02, 03, 04, 05, del 08, del 13</t>
  </si>
  <si>
    <t>II. Opredmetena osnovna sredstva
(011 do 017)</t>
  </si>
  <si>
    <t>010</t>
  </si>
  <si>
    <t>del 00, del 02, del 03</t>
  </si>
  <si>
    <t>1. Zemljišča</t>
  </si>
  <si>
    <t>011</t>
  </si>
  <si>
    <t>2. Zgradbe</t>
  </si>
  <si>
    <t>012</t>
  </si>
  <si>
    <t>del 04, del 05</t>
  </si>
  <si>
    <t>3. Proizvajalne naprave in stroji</t>
  </si>
  <si>
    <t>013</t>
  </si>
  <si>
    <t>4. Druge naprave in oprema, drobni inventar in druga opredmetena osnovna sredstva</t>
  </si>
  <si>
    <t>014</t>
  </si>
  <si>
    <t>5. Biološka sredstva</t>
  </si>
  <si>
    <t>015</t>
  </si>
  <si>
    <t>del 02, del 04</t>
  </si>
  <si>
    <t>6. Opredmetena osnovna sredstva v gradnji in izdelavi</t>
  </si>
  <si>
    <t>016</t>
  </si>
  <si>
    <t>del 08, del 13</t>
  </si>
  <si>
    <t>7. Predujmi za pridobitev opredmetenih osnovnih sredstev</t>
  </si>
  <si>
    <t>017</t>
  </si>
  <si>
    <t>01</t>
  </si>
  <si>
    <t>III. Naložbene nepremičnine</t>
  </si>
  <si>
    <t>018</t>
  </si>
  <si>
    <t>06, del 07</t>
  </si>
  <si>
    <t>IV. Dolgoročne finančne naložbe
(020+024)</t>
  </si>
  <si>
    <t>019</t>
  </si>
  <si>
    <t>06</t>
  </si>
  <si>
    <t>1. Dolgoročne finančne naložbe, razen posojil
(021 do 023)</t>
  </si>
  <si>
    <t>020</t>
  </si>
  <si>
    <t>del 06</t>
  </si>
  <si>
    <t>a) Delnice in deleži v družbah v skupini</t>
  </si>
  <si>
    <t>021</t>
  </si>
  <si>
    <t>b) Druge delnice in deleži</t>
  </si>
  <si>
    <t>022</t>
  </si>
  <si>
    <t>c) Druge dolgoročne finančne naložbe</t>
  </si>
  <si>
    <t>023</t>
  </si>
  <si>
    <t>del 07</t>
  </si>
  <si>
    <t>2. Dolgoročna posojila
(025+026)</t>
  </si>
  <si>
    <t>024</t>
  </si>
  <si>
    <t>a) Dolgoročna posojila družbam v skupini</t>
  </si>
  <si>
    <t>025</t>
  </si>
  <si>
    <t>b) Druga dolgoročna posojila</t>
  </si>
  <si>
    <t>026</t>
  </si>
  <si>
    <t>del 08</t>
  </si>
  <si>
    <t>V. Dolgoročne poslovne terjatve
(028 do 030)</t>
  </si>
  <si>
    <t>027</t>
  </si>
  <si>
    <t>1. Dolgoročne poslovne terjatve do družb v skupini</t>
  </si>
  <si>
    <t>028</t>
  </si>
  <si>
    <t>2. Dolgoročne poslovne terjatve do kupcev</t>
  </si>
  <si>
    <t>029</t>
  </si>
  <si>
    <t>3. Dolgoročne poslovne terjatve do drugih</t>
  </si>
  <si>
    <t>030</t>
  </si>
  <si>
    <t>09</t>
  </si>
  <si>
    <t>VI. Odložene terjatve za davek</t>
  </si>
  <si>
    <t>031</t>
  </si>
  <si>
    <t>del 07, del 08, 10, 11, 12, del 13, 14, 15, 16, 17, 18, 30, 31, 32, 60, 61, 63, 65, 66, 67</t>
  </si>
  <si>
    <t>B. KRATKOROČNA SREDSTVA
(033+034+040+048+052)</t>
  </si>
  <si>
    <t>032</t>
  </si>
  <si>
    <t>67</t>
  </si>
  <si>
    <t>I. Sredstva (skupine za odtujitev) za prodajo</t>
  </si>
  <si>
    <t>033</t>
  </si>
  <si>
    <t>GD, Z, SP, N</t>
  </si>
  <si>
    <t>del 13, 30, 31, 32, 60, 61, 63, 65, 66</t>
  </si>
  <si>
    <t>II. Zaloge
(035 do 039)</t>
  </si>
  <si>
    <t>034</t>
  </si>
  <si>
    <t>30, 31, 32</t>
  </si>
  <si>
    <t>1. Material</t>
  </si>
  <si>
    <t>035</t>
  </si>
  <si>
    <t>60</t>
  </si>
  <si>
    <t>2. Nedokončana proizvodnja</t>
  </si>
  <si>
    <t>036</t>
  </si>
  <si>
    <t>61,  63</t>
  </si>
  <si>
    <t>3. Proizvodi</t>
  </si>
  <si>
    <t>037</t>
  </si>
  <si>
    <t>65, 66</t>
  </si>
  <si>
    <t>4. Trgovsko blago</t>
  </si>
  <si>
    <t>038</t>
  </si>
  <si>
    <t>del 13</t>
  </si>
  <si>
    <t>5. Predujmi za zaloge</t>
  </si>
  <si>
    <t>039</t>
  </si>
  <si>
    <t>del 07, 17, 18</t>
  </si>
  <si>
    <t>III. Kratkoročne finančne naložbe
(041+045)</t>
  </si>
  <si>
    <t>040</t>
  </si>
  <si>
    <t>17</t>
  </si>
  <si>
    <t>1. Kratkoročne finančne naložbe, razen posojil
(042 do 044)</t>
  </si>
  <si>
    <t>041</t>
  </si>
  <si>
    <t>del 17</t>
  </si>
  <si>
    <t>042</t>
  </si>
  <si>
    <t>043</t>
  </si>
  <si>
    <t>c) Druge kratkoročne finančne naložbe</t>
  </si>
  <si>
    <t>044</t>
  </si>
  <si>
    <t>del 07, 18</t>
  </si>
  <si>
    <t>2. Kratkoročna posojila
(046+047)</t>
  </si>
  <si>
    <t>045</t>
  </si>
  <si>
    <t>del 07, del 18</t>
  </si>
  <si>
    <t>a) Kratkoročna posojila družbam v skupini</t>
  </si>
  <si>
    <t>046</t>
  </si>
  <si>
    <t>b) Druga kratkoročna posojila</t>
  </si>
  <si>
    <t>047</t>
  </si>
  <si>
    <t>del 08, 12, del 13, 14, 15, 16</t>
  </si>
  <si>
    <t>IV. Kratkoročne poslovne terjatve
(049 do 051)</t>
  </si>
  <si>
    <t>048</t>
  </si>
  <si>
    <t>del 08, del 12, del 13, del 15</t>
  </si>
  <si>
    <t>1. Kratkoročne poslovne terjatve do družb v skupini</t>
  </si>
  <si>
    <t>049</t>
  </si>
  <si>
    <t>2. Kratkoročne poslovne terjatve do kupcev</t>
  </si>
  <si>
    <t>050</t>
  </si>
  <si>
    <t>del 08, del 13, 14, del 15, 16</t>
  </si>
  <si>
    <t>3. Kratkoročne poslovne terjatve do drugih</t>
  </si>
  <si>
    <t>051</t>
  </si>
  <si>
    <t>10, 11</t>
  </si>
  <si>
    <t>V. Denarna sredstva</t>
  </si>
  <si>
    <t>052</t>
  </si>
  <si>
    <t>19</t>
  </si>
  <si>
    <t>C. KRATKOROČNE AKTIVNE ČASOVNE RAZMEJITVE</t>
  </si>
  <si>
    <t>053</t>
  </si>
  <si>
    <t>del 99</t>
  </si>
  <si>
    <t>Zunajbilančna sredstva</t>
  </si>
  <si>
    <t>054</t>
  </si>
  <si>
    <t>21, 22, 23, 24, 25, 26, 27, 28, 29, 90, 91, 92, 93, 94, 95, 96, 97, 98</t>
  </si>
  <si>
    <t>OBVEZNOSTI DO VIROV SREDSTEV
(056+072+075+085+095)</t>
  </si>
  <si>
    <t>055</t>
  </si>
  <si>
    <t>90, 91, 92, 93, 94, 95</t>
  </si>
  <si>
    <t>A. KAPITAL
(057+060+061+067+301+068-069+070-071)</t>
  </si>
  <si>
    <t>056</t>
  </si>
  <si>
    <t>GD,</t>
  </si>
  <si>
    <t>90</t>
  </si>
  <si>
    <t>I. Vpoklicani kapital
(058-059)</t>
  </si>
  <si>
    <t>057</t>
  </si>
  <si>
    <t>del 90</t>
  </si>
  <si>
    <t>1. Osnovni kapital</t>
  </si>
  <si>
    <t>058</t>
  </si>
  <si>
    <t>2. Nevpoklicani kapital (kot odbitna postavka)</t>
  </si>
  <si>
    <t>059</t>
  </si>
  <si>
    <t>91</t>
  </si>
  <si>
    <t>II. Kapitalske  rezerve</t>
  </si>
  <si>
    <t>060</t>
  </si>
  <si>
    <t>92</t>
  </si>
  <si>
    <t>III. Rezerve iz dobička
(062+063-064+065+066)</t>
  </si>
  <si>
    <t>061</t>
  </si>
  <si>
    <t>del 92</t>
  </si>
  <si>
    <t>1. Zakonske rezerve</t>
  </si>
  <si>
    <t>062</t>
  </si>
  <si>
    <t>2. Rezerve za lastne delnice in lastne poslovne deleže</t>
  </si>
  <si>
    <t>063</t>
  </si>
  <si>
    <t>3. Lastne delnice in lastni poslovni deleži (kot odbitna postavka)</t>
  </si>
  <si>
    <t>064</t>
  </si>
  <si>
    <t>4. Statutarne rezerve</t>
  </si>
  <si>
    <t>065</t>
  </si>
  <si>
    <t>5. Druge rezerve iz dobička</t>
  </si>
  <si>
    <t>066</t>
  </si>
  <si>
    <t>GD, Z, SP</t>
  </si>
  <si>
    <t>94</t>
  </si>
  <si>
    <t>IV. Revalorizacijske rezerve</t>
  </si>
  <si>
    <t>067</t>
  </si>
  <si>
    <t>95</t>
  </si>
  <si>
    <t>V. Rezerve, nastale zaradi vrednotenja po pošteni vrednosti</t>
  </si>
  <si>
    <t>301</t>
  </si>
  <si>
    <t>del 93</t>
  </si>
  <si>
    <t>VI. Preneseni čisti dobiček</t>
  </si>
  <si>
    <t>068</t>
  </si>
  <si>
    <t>VII. Prenesena čista izguba</t>
  </si>
  <si>
    <t>069</t>
  </si>
  <si>
    <t>VIII. Čisti dobiček poslovnega leta</t>
  </si>
  <si>
    <t>070</t>
  </si>
  <si>
    <t>IX. Čista izguba poslovnega leta</t>
  </si>
  <si>
    <t>071</t>
  </si>
  <si>
    <t>96</t>
  </si>
  <si>
    <t>B. REZERVACIJE IN DOLGOROČNE PASIVNE ČASOVNE RAZMEJITVE
(073+074)</t>
  </si>
  <si>
    <t>072</t>
  </si>
  <si>
    <t>del 96</t>
  </si>
  <si>
    <t>1. Rezervacije</t>
  </si>
  <si>
    <t>073</t>
  </si>
  <si>
    <t>2. Dolgoročne pasivne časovne razmejitve</t>
  </si>
  <si>
    <t>074</t>
  </si>
  <si>
    <t>del 97, del 98</t>
  </si>
  <si>
    <t>C. DOLGOROČNE OBVEZNOSTI
(076+080+084)</t>
  </si>
  <si>
    <t>075</t>
  </si>
  <si>
    <t>del 97</t>
  </si>
  <si>
    <t>I. Dolgoročne finančne obveznosti
(077 do 079)</t>
  </si>
  <si>
    <t>076</t>
  </si>
  <si>
    <t>1. Dolgoročne finančne obveznosti do družb v skupini</t>
  </si>
  <si>
    <t>077</t>
  </si>
  <si>
    <t>2. Dolgoročne finančne obveznosti do bank</t>
  </si>
  <si>
    <t>078</t>
  </si>
  <si>
    <t>3. Druge dolgoročne finančne obveznosti</t>
  </si>
  <si>
    <t>079</t>
  </si>
  <si>
    <t>del 98</t>
  </si>
  <si>
    <t>II. Dolgoročne poslovne obveznosti
(081 do 083)</t>
  </si>
  <si>
    <t>080</t>
  </si>
  <si>
    <t>1. Dolgoročne poslovne obveznosti do družb v skupini</t>
  </si>
  <si>
    <t>081</t>
  </si>
  <si>
    <t>2. Dolgoročne poslovne obveznosti do dobaviteljev</t>
  </si>
  <si>
    <t>082</t>
  </si>
  <si>
    <t>3. Druge dolgoročne poslovne obveznosti</t>
  </si>
  <si>
    <t>083</t>
  </si>
  <si>
    <t>III. Odložene obveznosti za davek</t>
  </si>
  <si>
    <t>084</t>
  </si>
  <si>
    <t>21, 22, 23, 24, 25, 26, 27, 28, del 97, del 98</t>
  </si>
  <si>
    <t>Č. KRATKOROČNE OBVEZNOSTI
(086+087+091)</t>
  </si>
  <si>
    <t>085</t>
  </si>
  <si>
    <t>21</t>
  </si>
  <si>
    <t>I. Obveznosti, vključene v skupine za odtujitev</t>
  </si>
  <si>
    <t>086</t>
  </si>
  <si>
    <t>27, del 97</t>
  </si>
  <si>
    <t>II. Kratkoročne finančne obveznosti
(088 do 090)</t>
  </si>
  <si>
    <t>087</t>
  </si>
  <si>
    <t>del 27, del 97</t>
  </si>
  <si>
    <t>1. Kratkoročne finančne obveznosti do družb v skupini</t>
  </si>
  <si>
    <t>088</t>
  </si>
  <si>
    <t>2. Kratkoročne finančne obveznosti do bank</t>
  </si>
  <si>
    <t>089</t>
  </si>
  <si>
    <t>3. Druge kratkoročne finančne obveznosti</t>
  </si>
  <si>
    <t>090</t>
  </si>
  <si>
    <t>22, 23, 24, 25, 26, 28, del 98</t>
  </si>
  <si>
    <t>III. Kratkoročne poslovne obveznosti
(092 do 094)</t>
  </si>
  <si>
    <t>091</t>
  </si>
  <si>
    <t>del 22, del 23, del 28, del 98</t>
  </si>
  <si>
    <t>1. Kratkoročne poslovne obveznosti do družb v skupini</t>
  </si>
  <si>
    <t>092</t>
  </si>
  <si>
    <t>2. Kratkoročne poslovne obveznosti do dobaviteljev</t>
  </si>
  <si>
    <t>093</t>
  </si>
  <si>
    <t>del 23, 24, 25, 26, del 28, del 98</t>
  </si>
  <si>
    <t>3. Druge kratkoročne poslovne obveznosti</t>
  </si>
  <si>
    <t>094</t>
  </si>
  <si>
    <t>29</t>
  </si>
  <si>
    <t>D. KRATKOROČNE PASIVNE ČASOVNE RAZMEJITVE</t>
  </si>
  <si>
    <t>095</t>
  </si>
  <si>
    <t>Zunajbilančne obveznosti</t>
  </si>
  <si>
    <t>096</t>
  </si>
  <si>
    <t>na dan 31.12.</t>
  </si>
  <si>
    <t>Podatki iz izkaza poslovnega izida</t>
  </si>
  <si>
    <t>del 76</t>
  </si>
  <si>
    <t>A. ČISTI PRIHODKI OD PRODAJE
(111+115+118)</t>
  </si>
  <si>
    <t>110</t>
  </si>
  <si>
    <t>I. Čisti prihodki od prodaje na domačem trgu
(112 do 114)</t>
  </si>
  <si>
    <t>111</t>
  </si>
  <si>
    <t>1. Čisti prihodki od prodaje proizvodov in storitev razen najemnin</t>
  </si>
  <si>
    <t>112</t>
  </si>
  <si>
    <t>2. Čisti prihodki od najemnin</t>
  </si>
  <si>
    <t>113</t>
  </si>
  <si>
    <t>3. Čisti prihodki od prodaje blaga in materiala</t>
  </si>
  <si>
    <t>114</t>
  </si>
  <si>
    <t>II. Čisti prihodki od prodaje na trgu EU
(116+117)</t>
  </si>
  <si>
    <t>115</t>
  </si>
  <si>
    <t>1. Čisti prihodki od prodaje proizvodov in storitev</t>
  </si>
  <si>
    <t>116</t>
  </si>
  <si>
    <t>2. Čisti prihodki od prodaje blaga in materiala</t>
  </si>
  <si>
    <t>117</t>
  </si>
  <si>
    <t>III. Čisti prihodki od prodaje na trgu izven EU
(119+120)</t>
  </si>
  <si>
    <t>118</t>
  </si>
  <si>
    <t>119</t>
  </si>
  <si>
    <t>120</t>
  </si>
  <si>
    <t>60, 61, 63</t>
  </si>
  <si>
    <t>B. POVEČANJE VREDNOSTI ZALOG PROIZVODOV IN NEDOKONČANE PROIZVODNJE</t>
  </si>
  <si>
    <t>121</t>
  </si>
  <si>
    <t>C. ZMANJŠANJE VREDNOSTI ZALOG PROIZVODOV IN NEDOKONČANE PROIZVODNJE</t>
  </si>
  <si>
    <t>122</t>
  </si>
  <si>
    <t>79</t>
  </si>
  <si>
    <t>Č. USREDSTVENI LASTNI PROIZVODI IN LASTNE STORITVE</t>
  </si>
  <si>
    <t>123</t>
  </si>
  <si>
    <t>D. SUBVENCIJE, DOTACIJE, REGRESI, KOMPENZACIJE IN DRUGI PRIHODKI, KI SO POVEZANI S POSLOVNIMI UČINKI</t>
  </si>
  <si>
    <t>124</t>
  </si>
  <si>
    <t>E. DRUGI POSLOVNI PRIHODKI</t>
  </si>
  <si>
    <t>125</t>
  </si>
  <si>
    <t>60, 61, 63, 76, 79</t>
  </si>
  <si>
    <t>F. KOSMATI DONOS OD POSLOVANJA
(110+121-122+123+124+125)</t>
  </si>
  <si>
    <t>126</t>
  </si>
  <si>
    <t>40, 41, 43, 44, 47, 48, del 70, 72</t>
  </si>
  <si>
    <t>G. POSLOVNI ODHODKI
(128+139+144+148)</t>
  </si>
  <si>
    <t>127</t>
  </si>
  <si>
    <t>40, 41, del 70</t>
  </si>
  <si>
    <t>I. Stroški blaga, materiala in storitev
(129+130+134)</t>
  </si>
  <si>
    <t>128</t>
  </si>
  <si>
    <t>del 70</t>
  </si>
  <si>
    <t>1. Nabavna vrednost prodanega blaga in materiala</t>
  </si>
  <si>
    <t>129</t>
  </si>
  <si>
    <t>40</t>
  </si>
  <si>
    <t>2. Stroški porabljenega materiala
(131 do 133)</t>
  </si>
  <si>
    <t>130</t>
  </si>
  <si>
    <t>del 40</t>
  </si>
  <si>
    <t>a) stroški materiala</t>
  </si>
  <si>
    <t>131</t>
  </si>
  <si>
    <t>b) stroški energije</t>
  </si>
  <si>
    <t>132</t>
  </si>
  <si>
    <t>c) drugi stroški materiala</t>
  </si>
  <si>
    <t>133</t>
  </si>
  <si>
    <t>41</t>
  </si>
  <si>
    <t>3. Stroški storitev
(135 do 138)</t>
  </si>
  <si>
    <t>134</t>
  </si>
  <si>
    <t>del 41</t>
  </si>
  <si>
    <t>a) transportne storitve</t>
  </si>
  <si>
    <t>135</t>
  </si>
  <si>
    <t>b) najemnine</t>
  </si>
  <si>
    <t>136</t>
  </si>
  <si>
    <t>c) povračila stroškov zaposlenim v zvezi z delom</t>
  </si>
  <si>
    <t>137</t>
  </si>
  <si>
    <t>č) drugi stroški storitev</t>
  </si>
  <si>
    <t>138</t>
  </si>
  <si>
    <t>47</t>
  </si>
  <si>
    <t>II. Stroški dela
(140 do 143)</t>
  </si>
  <si>
    <t>139</t>
  </si>
  <si>
    <t>del 47</t>
  </si>
  <si>
    <t>1. Stroški plač</t>
  </si>
  <si>
    <t>140</t>
  </si>
  <si>
    <t>2. Stroški pokojninskih zavarovanj</t>
  </si>
  <si>
    <t>141</t>
  </si>
  <si>
    <t>3. Stroški drugih socialnih zavarovanj</t>
  </si>
  <si>
    <t>142</t>
  </si>
  <si>
    <t>4. Drugi stroški dela</t>
  </si>
  <si>
    <t>143</t>
  </si>
  <si>
    <t>43, 72</t>
  </si>
  <si>
    <t>III. Odpisi vrednosti
(145 do 147)</t>
  </si>
  <si>
    <t>144</t>
  </si>
  <si>
    <t>43</t>
  </si>
  <si>
    <t>1. Amortizacija</t>
  </si>
  <si>
    <t>145</t>
  </si>
  <si>
    <t>del 72</t>
  </si>
  <si>
    <t>2. Prevrednotovalni poslovni odhodki pri neopredmetenih sredstvih in opredmetenih osnovnih sredstvih</t>
  </si>
  <si>
    <t>146</t>
  </si>
  <si>
    <t>3. Prevrednotovalni poslovni odhodki pri obratnih sredstvih</t>
  </si>
  <si>
    <t>147</t>
  </si>
  <si>
    <t>44, 48</t>
  </si>
  <si>
    <t>IV. Drugi poslovni odhodki
(149+150)</t>
  </si>
  <si>
    <t>148</t>
  </si>
  <si>
    <t>44</t>
  </si>
  <si>
    <t>149</t>
  </si>
  <si>
    <t>48</t>
  </si>
  <si>
    <t>2. Drugi stroški</t>
  </si>
  <si>
    <t>150</t>
  </si>
  <si>
    <t>60, 61, 63, 76, 79, 40, 41, 43, 44, 47, 48, del 70, 72</t>
  </si>
  <si>
    <t>H. DOBIČEK IZ POSLOVANJA
(126-127)</t>
  </si>
  <si>
    <t>151</t>
  </si>
  <si>
    <t>I. IZGUBA IZ POSLOVANJA
(127-126)</t>
  </si>
  <si>
    <t>152</t>
  </si>
  <si>
    <t>77</t>
  </si>
  <si>
    <t>J. FINANČNI PRIHODKI
(155+160+163)</t>
  </si>
  <si>
    <t>153</t>
  </si>
  <si>
    <t>del 77</t>
  </si>
  <si>
    <t>Finančni prihodki od obresti (upoštevano že v II. in III.)</t>
  </si>
  <si>
    <t>154</t>
  </si>
  <si>
    <t>I. Finančni prihodki iz deležev
(156 do 159)</t>
  </si>
  <si>
    <t>155</t>
  </si>
  <si>
    <t>1. Finančni prihodki iz deležev v družbah v skupini</t>
  </si>
  <si>
    <t>156</t>
  </si>
  <si>
    <t>2. Finančni prihodki iz deležev v pridruženih družbah</t>
  </si>
  <si>
    <t>157</t>
  </si>
  <si>
    <t>3. Finančni prihodki iz deležev v drugih družbah</t>
  </si>
  <si>
    <t>158</t>
  </si>
  <si>
    <t>4. Finančni prihodki iz drugih naložb</t>
  </si>
  <si>
    <t>159</t>
  </si>
  <si>
    <t>II. Finančni prihodki iz danih posojil
(161+162)</t>
  </si>
  <si>
    <t>160</t>
  </si>
  <si>
    <t>1. Finančni prihodki iz posojil, danih družbam v skupini</t>
  </si>
  <si>
    <t>161</t>
  </si>
  <si>
    <t>2. Finančni prihodki iz posojil, danih drugim</t>
  </si>
  <si>
    <t>162</t>
  </si>
  <si>
    <t>III. Finančni prihodki iz poslovnih terjatev
(164+165)</t>
  </si>
  <si>
    <t>163</t>
  </si>
  <si>
    <t>1. Finančni prihodki iz poslovnih terjatev do družb v skupini</t>
  </si>
  <si>
    <t>164</t>
  </si>
  <si>
    <t>2. Finančni prihodki iz poslovnih terjatev do drugih</t>
  </si>
  <si>
    <t>165</t>
  </si>
  <si>
    <t>74</t>
  </si>
  <si>
    <t>K. FINANČNI ODHODKI
(168+169+174)</t>
  </si>
  <si>
    <t>166</t>
  </si>
  <si>
    <t>del 74</t>
  </si>
  <si>
    <t>Finančni odhodki za obresti (upoštevano že v II. in III.)</t>
  </si>
  <si>
    <t>167</t>
  </si>
  <si>
    <t>I. Finančni odhodki iz oslabitve in odpisov finančnih naložb</t>
  </si>
  <si>
    <t>168</t>
  </si>
  <si>
    <t>II. Finančni odhodki iz finančnih obveznosti
(170 do 173)</t>
  </si>
  <si>
    <t>169</t>
  </si>
  <si>
    <t>1. Finančni odhodki iz posojil, prejetih od družb v skupini</t>
  </si>
  <si>
    <t>170</t>
  </si>
  <si>
    <t>2. Finančni odhodki iz posojil, prejetih od bank</t>
  </si>
  <si>
    <t>171</t>
  </si>
  <si>
    <t>3. Finančni odhodki iz izdanih obveznic</t>
  </si>
  <si>
    <t>172</t>
  </si>
  <si>
    <t>4. Finančni odhodki iz drugih finančnih obveznosti</t>
  </si>
  <si>
    <t>173</t>
  </si>
  <si>
    <t>III. Finančni odhodki iz poslovnih obveznosti
(175 do 177)</t>
  </si>
  <si>
    <t>174</t>
  </si>
  <si>
    <t>1. Finančni odhodki iz poslovnih obveznosti do družb v skupini</t>
  </si>
  <si>
    <t>175</t>
  </si>
  <si>
    <t>2. Finančni odhodki iz obveznosti do dobaviteljev in meničnih obveznosti</t>
  </si>
  <si>
    <t>176</t>
  </si>
  <si>
    <t>3. Finančni odhodki iz drugih poslovnih obveznosti</t>
  </si>
  <si>
    <t>177</t>
  </si>
  <si>
    <t>78</t>
  </si>
  <si>
    <t>L. DRUGI PRIHODKI
(179+180)</t>
  </si>
  <si>
    <t>178</t>
  </si>
  <si>
    <t>del 78</t>
  </si>
  <si>
    <t>I. Subvencije, dotacije in podobni prihodki, ki niso povezani s poslovnimi učinki</t>
  </si>
  <si>
    <t>179</t>
  </si>
  <si>
    <t>II. Ostali prihodki</t>
  </si>
  <si>
    <t>180</t>
  </si>
  <si>
    <t>75</t>
  </si>
  <si>
    <t>M. DRUGI ODHODKI</t>
  </si>
  <si>
    <t>181</t>
  </si>
  <si>
    <t>80</t>
  </si>
  <si>
    <t>N. CELOTNI DOBIČEK
(151-152+153-166+178-181)</t>
  </si>
  <si>
    <t>182</t>
  </si>
  <si>
    <t>O. CELOTNA IZGUBA
(152-151-153+166-178+181)</t>
  </si>
  <si>
    <t>183</t>
  </si>
  <si>
    <t>del 81</t>
  </si>
  <si>
    <t>P. DAVEK IZ DOBIČKA</t>
  </si>
  <si>
    <t>184</t>
  </si>
  <si>
    <t>R. ODLOŽENI DAVKI</t>
  </si>
  <si>
    <t>185</t>
  </si>
  <si>
    <t>S. ČISTI DOBIČEK OBRAČUNSKEGA OBDOBJA
(182-184-185)</t>
  </si>
  <si>
    <t>186</t>
  </si>
  <si>
    <t>89</t>
  </si>
  <si>
    <t>Š. ČISTA  IZGUBA OBRAČUNSKEGA OBDOBJA
(183+184+185 oz. 184-182+185)</t>
  </si>
  <si>
    <t>187</t>
  </si>
  <si>
    <t>***POVPREČNO ŠTEVILO ZAPOSLENIH NA PODLAGI DELOVNIH UR V OBRAČUNSKEM OBDOBJU (na dve decimalki)</t>
  </si>
  <si>
    <t>188</t>
  </si>
  <si>
    <t>ŠTEVILO MESECEV POSLOVANJA</t>
  </si>
  <si>
    <t>189</t>
  </si>
  <si>
    <t>v obdobju  1.1. do 31.12.</t>
  </si>
  <si>
    <t>agecombinedyears</t>
  </si>
  <si>
    <t>Starost</t>
  </si>
  <si>
    <t>Starost v letih:</t>
  </si>
  <si>
    <t>Izberite področje standardne klasifikacije dejavnosti:</t>
  </si>
  <si>
    <t>Industrija</t>
  </si>
  <si>
    <t>indKL</t>
  </si>
  <si>
    <t>indA</t>
  </si>
  <si>
    <t>indBCDE</t>
  </si>
  <si>
    <t>indF</t>
  </si>
  <si>
    <t>indGHI</t>
  </si>
  <si>
    <t>indJ</t>
  </si>
  <si>
    <t>lnemp</t>
  </si>
  <si>
    <t>Zaposlenost</t>
  </si>
  <si>
    <t>lnsales</t>
  </si>
  <si>
    <t>Prodaja</t>
  </si>
  <si>
    <t>val</t>
  </si>
  <si>
    <t>va</t>
  </si>
  <si>
    <t>Dodana vrednost na zaposlenega v 1000 EUR</t>
  </si>
  <si>
    <t>EXintensity</t>
  </si>
  <si>
    <t>Izvozna intenzivnost</t>
  </si>
  <si>
    <t>Dzeroempandsales</t>
  </si>
  <si>
    <t>Prazno podjetje</t>
  </si>
  <si>
    <t>Rast BDP</t>
  </si>
  <si>
    <t>Napovedana rast BDP v %:</t>
  </si>
  <si>
    <t>GDPgrowth</t>
  </si>
  <si>
    <t>Tekoče obveznost/sredstva</t>
  </si>
  <si>
    <t>workcapital_totassets</t>
  </si>
  <si>
    <t>curliab_totassets</t>
  </si>
  <si>
    <t>Obratni kapital/sredstva</t>
  </si>
  <si>
    <t>lntotalassets</t>
  </si>
  <si>
    <t>Sredstva</t>
  </si>
  <si>
    <t>curassets_totassets</t>
  </si>
  <si>
    <t>Tekoča sredstva/sredstva</t>
  </si>
  <si>
    <t>cash_totassets</t>
  </si>
  <si>
    <t>Gotovina/sredstva</t>
  </si>
  <si>
    <t>ebit_totassets</t>
  </si>
  <si>
    <t>EBIT/sredstva</t>
  </si>
  <si>
    <t>totdebt_totassets</t>
  </si>
  <si>
    <t>Dolg/sredstva</t>
  </si>
  <si>
    <t>currentratio</t>
  </si>
  <si>
    <t>Koeficient kratkoročne pokritosti kratkoročnih obveznosti</t>
  </si>
  <si>
    <t>netincome_stockequity</t>
  </si>
  <si>
    <t>Dobiček/lastniški kapital</t>
  </si>
  <si>
    <t>interestcoverageratio</t>
  </si>
  <si>
    <t xml:space="preserve">Mnogokratnik pokritosti obresti </t>
  </si>
  <si>
    <t>quickassets_totassets</t>
  </si>
  <si>
    <t>Hitra sredstva/sredstva</t>
  </si>
  <si>
    <t>sales_totassets</t>
  </si>
  <si>
    <t>Prodaja/sredstva</t>
  </si>
  <si>
    <t>cashflow_totassets</t>
  </si>
  <si>
    <t>Denarni tok/sredstva</t>
  </si>
  <si>
    <t>fixassets_longliabilities</t>
  </si>
  <si>
    <t>roa</t>
  </si>
  <si>
    <t>Stalna sredstva/dolg obveznosti</t>
  </si>
  <si>
    <t>ROA</t>
  </si>
  <si>
    <t>insolALL:agecombine~s</t>
  </si>
  <si>
    <t>insolALL:lnemp</t>
  </si>
  <si>
    <t>insolALL:lnsales</t>
  </si>
  <si>
    <t>insolALL:val</t>
  </si>
  <si>
    <t>insolALL:EXintensity</t>
  </si>
  <si>
    <t>insolALL:Dzeroempan~s</t>
  </si>
  <si>
    <t>insolALL:GDPgrowth</t>
  </si>
  <si>
    <t>insolALL:indA</t>
  </si>
  <si>
    <t>insolALL:indBCDE</t>
  </si>
  <si>
    <t>insolALL:indF</t>
  </si>
  <si>
    <t>insolALL:indGHI</t>
  </si>
  <si>
    <t>insolALL:indJ</t>
  </si>
  <si>
    <t>insolALL:indKL</t>
  </si>
  <si>
    <t>insolALL:curliab_to~s</t>
  </si>
  <si>
    <t>insolALL:workcapita~s</t>
  </si>
  <si>
    <t>insolALL:lntotalass~s</t>
  </si>
  <si>
    <t>insolALL:curassets_~s</t>
  </si>
  <si>
    <t>insolALL:cash_totas~s</t>
  </si>
  <si>
    <t>insolALL:ebit_totas~s</t>
  </si>
  <si>
    <t>insolALL:totdebt_to~s</t>
  </si>
  <si>
    <t>insolALL:currentratio</t>
  </si>
  <si>
    <t>insolALL:netincome_~y</t>
  </si>
  <si>
    <t>insolALL:interestco~o</t>
  </si>
  <si>
    <t>insolALL:quickasset~s</t>
  </si>
  <si>
    <t>insolALL:sales_tota~s</t>
  </si>
  <si>
    <t>insolALL:cashflow_t~s</t>
  </si>
  <si>
    <t>insolALL:fixassets_~s</t>
  </si>
  <si>
    <t>insolALL:roa</t>
  </si>
  <si>
    <t>insolALL:_cons</t>
  </si>
  <si>
    <t>Koeficienti</t>
  </si>
  <si>
    <t>Beta*Xj</t>
  </si>
  <si>
    <t>Sum(Beta*Xj)</t>
  </si>
  <si>
    <t>Verjetnost</t>
  </si>
  <si>
    <t>Razredi</t>
  </si>
  <si>
    <t>0-10%</t>
  </si>
  <si>
    <t>10-20%</t>
  </si>
  <si>
    <t>20-30%</t>
  </si>
  <si>
    <t>30-40%</t>
  </si>
  <si>
    <t>40-50%</t>
  </si>
  <si>
    <t>50-60%</t>
  </si>
  <si>
    <t>60-70%</t>
  </si>
  <si>
    <t>70-80%</t>
  </si>
  <si>
    <t>80-90%</t>
  </si>
  <si>
    <t>90-100%</t>
  </si>
  <si>
    <t>spodnja meja</t>
  </si>
  <si>
    <t>zgornja meja</t>
  </si>
  <si>
    <t>Razred</t>
  </si>
  <si>
    <t>Izbrani razred</t>
  </si>
  <si>
    <t>Glede na historične vzorce kreditnega tveganja se vaše podjetje uvršča v</t>
  </si>
  <si>
    <t>. razred tveganja, pri čemer 1. razred pomeni najmanjše in 10. razred največje tveganje insolvenčnega dogodka.</t>
  </si>
  <si>
    <t>Frekvenca</t>
  </si>
  <si>
    <t>Delež</t>
  </si>
  <si>
    <t>Ocena</t>
  </si>
  <si>
    <t>Historična porazdelitev ocen</t>
  </si>
  <si>
    <t>Semafor</t>
  </si>
  <si>
    <t xml:space="preserve">Ocena tveganja nastanka insolvenčnega dogodka za vaše podjetje </t>
  </si>
  <si>
    <t>v naslednjih 12 mesecih:</t>
  </si>
  <si>
    <t>Če je oranžna točka (ocena tveganja za vaše podjetje) pomaknjena na desno pri</t>
  </si>
  <si>
    <t>nižjem položaju modre krivulje, to pomeni, da je ocena verjetnosti nastanka</t>
  </si>
  <si>
    <t>insolvenčnega dogodka v naslednjih 12 mesecih za vaše podjetje visoka.</t>
  </si>
  <si>
    <t>Model je prilagojen in namenjen kot testni pripomoček za uporabo za kapitalske družbe, ki poslujejo v skladu z ZGD-1</t>
  </si>
  <si>
    <r>
      <t xml:space="preserve">Excel aplikacija: </t>
    </r>
    <r>
      <rPr>
        <b/>
        <sz val="12"/>
        <color rgb="FF0000FF"/>
        <rFont val="Calibri"/>
        <family val="2"/>
        <charset val="238"/>
        <scheme val="minor"/>
      </rPr>
      <t>MODEL EKONOMSKIH INDIKATORJEV ZA SIGNALIZIRANJA GROZEČE INSOLVENTNOSTI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</si>
</sst>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"/>
    <numFmt numFmtId="166" formatCode="0.0%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9" fontId="13" fillId="0" borderId="0" applyFont="0" applyFill="0" applyBorder="0" applyAlignment="0" applyProtection="0"/>
  </cellStyleXfs>
  <cellXfs count="71">
    <xf numFmtId="0" fontId="0" fillId="0" borderId="0" xfId="0"/>
    <xf numFmtId="0" fontId="3" fillId="4" borderId="0" xfId="0" applyFont="1" applyFill="1" applyAlignment="1">
      <alignment vertical="top"/>
    </xf>
    <xf numFmtId="0" fontId="4" fillId="4" borderId="0" xfId="3" applyFill="1"/>
    <xf numFmtId="0" fontId="7" fillId="4" borderId="0" xfId="3" applyFont="1" applyFill="1" applyAlignment="1">
      <alignment horizontal="right"/>
    </xf>
    <xf numFmtId="0" fontId="8" fillId="4" borderId="9" xfId="3" applyFont="1" applyFill="1" applyBorder="1" applyAlignment="1">
      <alignment horizontal="center" wrapText="1"/>
    </xf>
    <xf numFmtId="0" fontId="8" fillId="4" borderId="10" xfId="3" applyFont="1" applyFill="1" applyBorder="1" applyAlignment="1">
      <alignment horizontal="center" wrapText="1"/>
    </xf>
    <xf numFmtId="0" fontId="9" fillId="5" borderId="11" xfId="3" applyFont="1" applyFill="1" applyBorder="1" applyAlignment="1">
      <alignment horizontal="left" vertical="top" wrapText="1"/>
    </xf>
    <xf numFmtId="0" fontId="8" fillId="4" borderId="12" xfId="3" applyFont="1" applyFill="1" applyBorder="1" applyAlignment="1">
      <alignment horizontal="center" vertical="center"/>
    </xf>
    <xf numFmtId="0" fontId="8" fillId="4" borderId="13" xfId="3" applyFont="1" applyFill="1" applyBorder="1" applyAlignment="1">
      <alignment horizontal="center" vertical="center"/>
    </xf>
    <xf numFmtId="0" fontId="8" fillId="4" borderId="10" xfId="3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vertical="top"/>
    </xf>
    <xf numFmtId="0" fontId="9" fillId="4" borderId="12" xfId="3" applyFont="1" applyFill="1" applyBorder="1" applyAlignment="1">
      <alignment horizontal="center" vertical="top" wrapText="1"/>
    </xf>
    <xf numFmtId="0" fontId="10" fillId="4" borderId="13" xfId="3" applyFont="1" applyFill="1" applyBorder="1" applyAlignment="1">
      <alignment vertical="top" wrapText="1"/>
    </xf>
    <xf numFmtId="0" fontId="9" fillId="4" borderId="13" xfId="3" applyFont="1" applyFill="1" applyBorder="1" applyAlignment="1">
      <alignment horizontal="center" vertical="top"/>
    </xf>
    <xf numFmtId="0" fontId="9" fillId="4" borderId="13" xfId="3" applyFont="1" applyFill="1" applyBorder="1" applyAlignment="1">
      <alignment vertical="top" wrapText="1"/>
    </xf>
    <xf numFmtId="0" fontId="9" fillId="4" borderId="14" xfId="3" applyFont="1" applyFill="1" applyBorder="1" applyAlignment="1">
      <alignment horizontal="center" vertical="top" wrapText="1"/>
    </xf>
    <xf numFmtId="0" fontId="10" fillId="4" borderId="15" xfId="3" applyFont="1" applyFill="1" applyBorder="1" applyAlignment="1">
      <alignment vertical="top" wrapText="1"/>
    </xf>
    <xf numFmtId="0" fontId="9" fillId="4" borderId="15" xfId="3" applyFont="1" applyFill="1" applyBorder="1" applyAlignment="1">
      <alignment horizontal="center" vertical="top"/>
    </xf>
    <xf numFmtId="0" fontId="4" fillId="4" borderId="0" xfId="3" applyFill="1" applyAlignment="1">
      <alignment wrapText="1"/>
    </xf>
    <xf numFmtId="0" fontId="8" fillId="4" borderId="13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4" borderId="12" xfId="3" applyFont="1" applyFill="1" applyBorder="1" applyAlignment="1">
      <alignment horizontal="center"/>
    </xf>
    <xf numFmtId="0" fontId="8" fillId="4" borderId="13" xfId="3" applyFont="1" applyFill="1" applyBorder="1" applyAlignment="1">
      <alignment horizontal="center"/>
    </xf>
    <xf numFmtId="0" fontId="8" fillId="4" borderId="9" xfId="3" applyFont="1" applyFill="1" applyBorder="1" applyAlignment="1">
      <alignment horizontal="center"/>
    </xf>
    <xf numFmtId="0" fontId="8" fillId="4" borderId="10" xfId="3" applyFont="1" applyFill="1" applyBorder="1" applyAlignment="1">
      <alignment horizontal="center"/>
    </xf>
    <xf numFmtId="0" fontId="8" fillId="4" borderId="13" xfId="3" applyFont="1" applyFill="1" applyBorder="1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wrapText="1"/>
    </xf>
    <xf numFmtId="0" fontId="1" fillId="2" borderId="0" xfId="1"/>
    <xf numFmtId="3" fontId="0" fillId="0" borderId="0" xfId="0" applyNumberFormat="1"/>
    <xf numFmtId="0" fontId="4" fillId="0" borderId="0" xfId="3"/>
    <xf numFmtId="4" fontId="1" fillId="2" borderId="0" xfId="1" applyNumberFormat="1"/>
    <xf numFmtId="0" fontId="2" fillId="3" borderId="0" xfId="2"/>
    <xf numFmtId="2" fontId="0" fillId="0" borderId="0" xfId="0" applyNumberFormat="1"/>
    <xf numFmtId="2" fontId="2" fillId="3" borderId="0" xfId="2" applyNumberFormat="1"/>
    <xf numFmtId="164" fontId="2" fillId="3" borderId="0" xfId="2" applyNumberFormat="1"/>
    <xf numFmtId="166" fontId="0" fillId="0" borderId="0" xfId="4" applyNumberFormat="1" applyFont="1"/>
    <xf numFmtId="164" fontId="0" fillId="0" borderId="0" xfId="0" applyNumberFormat="1"/>
    <xf numFmtId="3" fontId="1" fillId="2" borderId="13" xfId="1" applyNumberFormat="1" applyBorder="1" applyAlignment="1">
      <alignment horizontal="right" vertical="top"/>
    </xf>
    <xf numFmtId="3" fontId="1" fillId="2" borderId="10" xfId="1" applyNumberFormat="1" applyBorder="1" applyAlignment="1">
      <alignment horizontal="right" vertical="top"/>
    </xf>
    <xf numFmtId="3" fontId="1" fillId="2" borderId="15" xfId="1" applyNumberFormat="1" applyBorder="1" applyAlignment="1">
      <alignment horizontal="right" vertical="top"/>
    </xf>
    <xf numFmtId="3" fontId="1" fillId="2" borderId="16" xfId="1" applyNumberFormat="1" applyBorder="1" applyAlignment="1">
      <alignment horizontal="right" vertical="top"/>
    </xf>
    <xf numFmtId="3" fontId="1" fillId="2" borderId="9" xfId="1" applyNumberFormat="1" applyBorder="1" applyAlignment="1">
      <alignment horizontal="right" vertical="top"/>
    </xf>
    <xf numFmtId="3" fontId="1" fillId="2" borderId="18" xfId="1" applyNumberFormat="1" applyBorder="1" applyAlignment="1">
      <alignment horizontal="right" vertical="top"/>
    </xf>
    <xf numFmtId="0" fontId="15" fillId="6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0" fillId="11" borderId="0" xfId="0" applyFill="1"/>
    <xf numFmtId="0" fontId="14" fillId="4" borderId="0" xfId="0" applyFont="1" applyFill="1"/>
    <xf numFmtId="0" fontId="14" fillId="4" borderId="0" xfId="0" applyFont="1" applyFill="1" applyAlignment="1">
      <alignment wrapText="1"/>
    </xf>
    <xf numFmtId="165" fontId="14" fillId="4" borderId="0" xfId="0" applyNumberFormat="1" applyFont="1" applyFill="1"/>
    <xf numFmtId="0" fontId="20" fillId="0" borderId="0" xfId="0" applyFont="1"/>
    <xf numFmtId="0" fontId="21" fillId="0" borderId="0" xfId="0" applyFont="1"/>
    <xf numFmtId="0" fontId="20" fillId="4" borderId="0" xfId="0" applyFont="1" applyFill="1"/>
    <xf numFmtId="0" fontId="23" fillId="4" borderId="0" xfId="0" applyFont="1" applyFill="1"/>
    <xf numFmtId="0" fontId="22" fillId="4" borderId="0" xfId="0" applyFont="1" applyFill="1"/>
    <xf numFmtId="0" fontId="25" fillId="4" borderId="0" xfId="0" applyFont="1" applyFill="1"/>
    <xf numFmtId="0" fontId="5" fillId="4" borderId="0" xfId="3" applyFont="1" applyFill="1" applyAlignment="1">
      <alignment horizontal="center"/>
    </xf>
    <xf numFmtId="0" fontId="6" fillId="4" borderId="0" xfId="3" applyFont="1" applyFill="1" applyAlignment="1">
      <alignment horizontal="center"/>
    </xf>
    <xf numFmtId="0" fontId="8" fillId="4" borderId="1" xfId="3" applyFont="1" applyFill="1" applyBorder="1" applyAlignment="1">
      <alignment horizontal="center" wrapText="1"/>
    </xf>
    <xf numFmtId="0" fontId="8" fillId="4" borderId="6" xfId="3" applyFont="1" applyFill="1" applyBorder="1" applyAlignment="1">
      <alignment horizontal="center" wrapText="1"/>
    </xf>
    <xf numFmtId="0" fontId="8" fillId="4" borderId="2" xfId="3" applyFont="1" applyFill="1" applyBorder="1" applyAlignment="1">
      <alignment horizontal="center" wrapText="1"/>
    </xf>
    <xf numFmtId="0" fontId="8" fillId="4" borderId="7" xfId="3" applyFont="1" applyFill="1" applyBorder="1" applyAlignment="1">
      <alignment horizontal="center" wrapText="1"/>
    </xf>
    <xf numFmtId="0" fontId="8" fillId="4" borderId="3" xfId="3" applyFont="1" applyFill="1" applyBorder="1" applyAlignment="1">
      <alignment horizontal="center" wrapText="1"/>
    </xf>
    <xf numFmtId="0" fontId="8" fillId="4" borderId="8" xfId="3" applyFont="1" applyFill="1" applyBorder="1" applyAlignment="1">
      <alignment horizontal="center" wrapText="1"/>
    </xf>
    <xf numFmtId="0" fontId="8" fillId="4" borderId="4" xfId="3" applyFont="1" applyFill="1" applyBorder="1" applyAlignment="1">
      <alignment horizontal="center" wrapText="1"/>
    </xf>
    <xf numFmtId="0" fontId="8" fillId="4" borderId="5" xfId="3" applyFont="1" applyFill="1" applyBorder="1" applyAlignment="1">
      <alignment horizontal="center" wrapText="1"/>
    </xf>
    <xf numFmtId="0" fontId="8" fillId="4" borderId="17" xfId="3" applyFont="1" applyFill="1" applyBorder="1" applyAlignment="1">
      <alignment horizontal="center" vertical="top" wrapText="1"/>
    </xf>
    <xf numFmtId="0" fontId="8" fillId="4" borderId="11" xfId="3" applyFont="1" applyFill="1" applyBorder="1" applyAlignment="1">
      <alignment horizontal="center" vertical="top" wrapText="1"/>
    </xf>
  </cellXfs>
  <cellStyles count="5">
    <cellStyle name="Dobro" xfId="1" builtinId="26"/>
    <cellStyle name="Navadno" xfId="0" builtinId="0"/>
    <cellStyle name="Navadno 2" xfId="3"/>
    <cellStyle name="Odstotek" xfId="4" builtinId="5"/>
    <cellStyle name="Slabo" xfId="2" builtinId="27"/>
  </cellStyles>
  <dxfs count="31">
    <dxf>
      <font>
        <b/>
        <i val="0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</dxf>
    <dxf>
      <numFmt numFmtId="4" formatCode="#,##0.00"/>
    </dxf>
    <dxf>
      <font>
        <b/>
        <i val="0"/>
      </font>
    </dxf>
    <dxf>
      <numFmt numFmtId="4" formatCode="#,##0.00"/>
    </dxf>
    <dxf>
      <font>
        <b/>
        <i val="0"/>
      </font>
    </dxf>
    <dxf>
      <numFmt numFmtId="4" formatCode="#,##0.00"/>
    </dxf>
    <dxf>
      <numFmt numFmtId="4" formatCode="#,##0.00"/>
    </dxf>
    <dxf>
      <font>
        <b/>
        <i val="0"/>
      </font>
    </dxf>
    <dxf>
      <font>
        <b/>
        <i val="0"/>
      </font>
    </dxf>
    <dxf>
      <numFmt numFmtId="4" formatCode="#,##0.00"/>
    </dxf>
    <dxf>
      <font>
        <b/>
        <i val="0"/>
      </font>
    </dxf>
    <dxf>
      <numFmt numFmtId="4" formatCode="#,##0.00"/>
    </dxf>
    <dxf>
      <font>
        <b/>
        <i val="0"/>
      </font>
    </dxf>
    <dxf>
      <numFmt numFmtId="4" formatCode="#,##0.00"/>
    </dxf>
    <dxf>
      <font>
        <b/>
        <i val="0"/>
      </font>
    </dxf>
    <dxf>
      <numFmt numFmtId="4" formatCode="#,##0.00"/>
    </dxf>
    <dxf>
      <font>
        <b/>
        <i val="0"/>
      </font>
    </dxf>
    <dxf>
      <numFmt numFmtId="4" formatCode="#,##0.00"/>
    </dxf>
    <dxf>
      <numFmt numFmtId="4" formatCode="#,##0.00"/>
    </dxf>
    <dxf>
      <font>
        <b/>
        <i val="0"/>
      </font>
    </dxf>
    <dxf>
      <numFmt numFmtId="4" formatCode="#,##0.00"/>
    </dxf>
    <dxf>
      <font>
        <b/>
        <i val="0"/>
      </font>
    </dxf>
    <dxf>
      <numFmt numFmtId="4" formatCode="#,##0.00"/>
    </dxf>
    <dxf>
      <font>
        <b/>
        <i val="0"/>
      </font>
    </dxf>
    <dxf>
      <numFmt numFmtId="4" formatCode="#,##0.00"/>
    </dxf>
    <dxf>
      <font>
        <b/>
        <i val="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Ocenjena verjetnost insolvenčnega</a:t>
            </a:r>
            <a:r>
              <a:rPr lang="sl-SI" baseline="0"/>
              <a:t> dogodka glede na historično porazdelitev</a:t>
            </a:r>
            <a:endParaRPr lang="sl-SI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0.10312106542237776"/>
          <c:y val="0.25083333333333335"/>
          <c:w val="0.83904189754058522"/>
          <c:h val="0.4376924759405074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Sheet3!$P$54</c:f>
              <c:strCache>
                <c:ptCount val="1"/>
                <c:pt idx="0">
                  <c:v>Historična porazdelitev ocen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Sheet3!$Q$53:$AR$53</c:f>
              <c:numCache>
                <c:formatCode>General</c:formatCode>
                <c:ptCount val="28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0.3</c:v>
                </c:pt>
                <c:pt idx="21">
                  <c:v>0.4</c:v>
                </c:pt>
                <c:pt idx="22">
                  <c:v>0.5</c:v>
                </c:pt>
                <c:pt idx="23">
                  <c:v>0.6</c:v>
                </c:pt>
                <c:pt idx="24">
                  <c:v>0.7</c:v>
                </c:pt>
                <c:pt idx="25">
                  <c:v>0.8</c:v>
                </c:pt>
                <c:pt idx="26">
                  <c:v>0.9</c:v>
                </c:pt>
                <c:pt idx="27">
                  <c:v>1</c:v>
                </c:pt>
              </c:numCache>
            </c:numRef>
          </c:xVal>
          <c:yVal>
            <c:numRef>
              <c:f>Sheet3!$Q$54:$AR$54</c:f>
              <c:numCache>
                <c:formatCode>General</c:formatCode>
                <c:ptCount val="28"/>
                <c:pt idx="0">
                  <c:v>0.6553837340407288</c:v>
                </c:pt>
                <c:pt idx="1">
                  <c:v>0.20234476769431176</c:v>
                </c:pt>
                <c:pt idx="2">
                  <c:v>6.3804245102296236E-2</c:v>
                </c:pt>
                <c:pt idx="3">
                  <c:v>2.5896072714800204E-2</c:v>
                </c:pt>
                <c:pt idx="4">
                  <c:v>1.445502213043272E-2</c:v>
                </c:pt>
                <c:pt idx="5">
                  <c:v>9.5600550250495332E-3</c:v>
                </c:pt>
                <c:pt idx="6">
                  <c:v>6.6300076261507643E-3</c:v>
                </c:pt>
                <c:pt idx="7">
                  <c:v>4.8493561558361946E-3</c:v>
                </c:pt>
                <c:pt idx="8">
                  <c:v>3.6251582699949282E-3</c:v>
                </c:pt>
                <c:pt idx="9">
                  <c:v>2.6837482713450121E-3</c:v>
                </c:pt>
                <c:pt idx="10">
                  <c:v>2.0342483497958453E-3</c:v>
                </c:pt>
                <c:pt idx="11">
                  <c:v>1.5161079629420157E-3</c:v>
                </c:pt>
                <c:pt idx="12">
                  <c:v>1.2132512579499885E-3</c:v>
                </c:pt>
                <c:pt idx="13">
                  <c:v>9.4323443663179554E-4</c:v>
                </c:pt>
                <c:pt idx="14">
                  <c:v>7.7173726633510543E-4</c:v>
                </c:pt>
                <c:pt idx="15">
                  <c:v>6.2213335182097153E-4</c:v>
                </c:pt>
                <c:pt idx="16">
                  <c:v>4.9077381712563442E-4</c:v>
                </c:pt>
                <c:pt idx="17">
                  <c:v>4.1232298390480812E-4</c:v>
                </c:pt>
                <c:pt idx="18">
                  <c:v>3.3022327472022241E-4</c:v>
                </c:pt>
                <c:pt idx="19">
                  <c:v>2.8461232517323036E-4</c:v>
                </c:pt>
                <c:pt idx="20">
                  <c:v>1.4358326917393097E-3</c:v>
                </c:pt>
                <c:pt idx="21">
                  <c:v>5.0172044501691252E-4</c:v>
                </c:pt>
                <c:pt idx="22">
                  <c:v>1.1493959285841997E-4</c:v>
                </c:pt>
                <c:pt idx="23">
                  <c:v>6.9328643311427916E-5</c:v>
                </c:pt>
                <c:pt idx="24">
                  <c:v>2.0068817800676501E-5</c:v>
                </c:pt>
                <c:pt idx="25">
                  <c:v>7.2977519275187277E-6</c:v>
                </c:pt>
                <c:pt idx="26">
                  <c:v>0</c:v>
                </c:pt>
                <c:pt idx="2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A6F-4979-8893-5B95E83CAA59}"/>
            </c:ext>
          </c:extLst>
        </c:ser>
        <c:ser>
          <c:idx val="1"/>
          <c:order val="1"/>
          <c:tx>
            <c:v>Ocena vašega podjetja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Sheet3!$AS$53</c:f>
              <c:numCache>
                <c:formatCode>0.00000</c:formatCode>
                <c:ptCount val="1"/>
                <c:pt idx="0">
                  <c:v>5.3443824914585908E-2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6A6F-4979-8893-5B95E83CA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384687"/>
        <c:axId val="717378863"/>
      </c:scatterChart>
      <c:valAx>
        <c:axId val="717384687"/>
        <c:scaling>
          <c:logBase val="10"/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Verjetnost insolvečnega dogodka (logaritemska skala)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17378863"/>
        <c:crosses val="autoZero"/>
        <c:crossBetween val="midCat"/>
      </c:valAx>
      <c:valAx>
        <c:axId val="71737886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Gostota</a:t>
                </a:r>
                <a:r>
                  <a:rPr lang="sl-SI" baseline="0"/>
                  <a:t> porazdelitve historičnih ocen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3827160493827161E-2"/>
              <c:y val="0.15361111111111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1738468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Ocenjena verjetnost insolvenčnega</a:t>
            </a:r>
            <a:r>
              <a:rPr lang="sl-SI" baseline="0"/>
              <a:t> dogodka glede na historično porazdelitev</a:t>
            </a:r>
            <a:endParaRPr lang="sl-S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0.10312106542237776"/>
          <c:y val="0.25083333333333335"/>
          <c:w val="0.83904189754058522"/>
          <c:h val="0.4376924759405074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Sheet3!$P$54</c:f>
              <c:strCache>
                <c:ptCount val="1"/>
                <c:pt idx="0">
                  <c:v>Historična porazdelitev ocen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Sheet3!$Q$53:$AR$53</c:f>
              <c:numCache>
                <c:formatCode>General</c:formatCode>
                <c:ptCount val="28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0.3</c:v>
                </c:pt>
                <c:pt idx="21">
                  <c:v>0.4</c:v>
                </c:pt>
                <c:pt idx="22">
                  <c:v>0.5</c:v>
                </c:pt>
                <c:pt idx="23">
                  <c:v>0.6</c:v>
                </c:pt>
                <c:pt idx="24">
                  <c:v>0.7</c:v>
                </c:pt>
                <c:pt idx="25">
                  <c:v>0.8</c:v>
                </c:pt>
                <c:pt idx="26">
                  <c:v>0.9</c:v>
                </c:pt>
                <c:pt idx="27">
                  <c:v>1</c:v>
                </c:pt>
              </c:numCache>
            </c:numRef>
          </c:xVal>
          <c:yVal>
            <c:numRef>
              <c:f>Sheet3!$Q$54:$AR$54</c:f>
              <c:numCache>
                <c:formatCode>General</c:formatCode>
                <c:ptCount val="28"/>
                <c:pt idx="0">
                  <c:v>0.6553837340407288</c:v>
                </c:pt>
                <c:pt idx="1">
                  <c:v>0.20234476769431176</c:v>
                </c:pt>
                <c:pt idx="2">
                  <c:v>6.3804245102296236E-2</c:v>
                </c:pt>
                <c:pt idx="3">
                  <c:v>2.5896072714800204E-2</c:v>
                </c:pt>
                <c:pt idx="4">
                  <c:v>1.445502213043272E-2</c:v>
                </c:pt>
                <c:pt idx="5">
                  <c:v>9.5600550250495332E-3</c:v>
                </c:pt>
                <c:pt idx="6">
                  <c:v>6.6300076261507643E-3</c:v>
                </c:pt>
                <c:pt idx="7">
                  <c:v>4.8493561558361946E-3</c:v>
                </c:pt>
                <c:pt idx="8">
                  <c:v>3.6251582699949282E-3</c:v>
                </c:pt>
                <c:pt idx="9">
                  <c:v>2.6837482713450121E-3</c:v>
                </c:pt>
                <c:pt idx="10">
                  <c:v>2.0342483497958453E-3</c:v>
                </c:pt>
                <c:pt idx="11">
                  <c:v>1.5161079629420157E-3</c:v>
                </c:pt>
                <c:pt idx="12">
                  <c:v>1.2132512579499885E-3</c:v>
                </c:pt>
                <c:pt idx="13">
                  <c:v>9.4323443663179554E-4</c:v>
                </c:pt>
                <c:pt idx="14">
                  <c:v>7.7173726633510543E-4</c:v>
                </c:pt>
                <c:pt idx="15">
                  <c:v>6.2213335182097153E-4</c:v>
                </c:pt>
                <c:pt idx="16">
                  <c:v>4.9077381712563442E-4</c:v>
                </c:pt>
                <c:pt idx="17">
                  <c:v>4.1232298390480812E-4</c:v>
                </c:pt>
                <c:pt idx="18">
                  <c:v>3.3022327472022241E-4</c:v>
                </c:pt>
                <c:pt idx="19">
                  <c:v>2.8461232517323036E-4</c:v>
                </c:pt>
                <c:pt idx="20">
                  <c:v>1.4358326917393097E-3</c:v>
                </c:pt>
                <c:pt idx="21">
                  <c:v>5.0172044501691252E-4</c:v>
                </c:pt>
                <c:pt idx="22">
                  <c:v>1.1493959285841997E-4</c:v>
                </c:pt>
                <c:pt idx="23">
                  <c:v>6.9328643311427916E-5</c:v>
                </c:pt>
                <c:pt idx="24">
                  <c:v>2.0068817800676501E-5</c:v>
                </c:pt>
                <c:pt idx="25">
                  <c:v>7.2977519275187277E-6</c:v>
                </c:pt>
                <c:pt idx="26">
                  <c:v>0</c:v>
                </c:pt>
                <c:pt idx="2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FCE-4569-B2A2-9CB9081E49F6}"/>
            </c:ext>
          </c:extLst>
        </c:ser>
        <c:ser>
          <c:idx val="1"/>
          <c:order val="1"/>
          <c:tx>
            <c:v>Ocena vašega podjetja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Sheet3!$AS$53</c:f>
              <c:numCache>
                <c:formatCode>0.00000</c:formatCode>
                <c:ptCount val="1"/>
                <c:pt idx="0">
                  <c:v>5.3443824914585908E-2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AFCE-4569-B2A2-9CB9081E4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384687"/>
        <c:axId val="717378863"/>
      </c:scatterChart>
      <c:valAx>
        <c:axId val="717384687"/>
        <c:scaling>
          <c:logBase val="10"/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Verjetnost insolvečnega dogodka (logaritemska skala)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17378863"/>
        <c:crosses val="autoZero"/>
        <c:crossBetween val="midCat"/>
      </c:valAx>
      <c:valAx>
        <c:axId val="71737886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Gostota</a:t>
                </a:r>
                <a:r>
                  <a:rPr lang="sl-SI" baseline="0"/>
                  <a:t> porazdelitve historičnih ocen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3827160493827161E-2"/>
              <c:y val="0.15361111111111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1738468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Sheet3!$C$5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3</xdr:row>
      <xdr:rowOff>104776</xdr:rowOff>
    </xdr:from>
    <xdr:to>
      <xdr:col>15</xdr:col>
      <xdr:colOff>561974</xdr:colOff>
      <xdr:row>29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5D2775-E7A2-269E-09C5-B0320A8B9D10}"/>
            </a:ext>
          </a:extLst>
        </xdr:cNvPr>
        <xdr:cNvSpPr txBox="1"/>
      </xdr:nvSpPr>
      <xdr:spPr>
        <a:xfrm>
          <a:off x="266699" y="685801"/>
          <a:ext cx="9153525" cy="48672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b="1"/>
            <a:t>Navodila za izpolnjevanje:</a:t>
          </a:r>
        </a:p>
        <a:p>
          <a:endParaRPr lang="sl-SI"/>
        </a:p>
        <a:p>
          <a:r>
            <a:rPr lang="sl-SI"/>
            <a:t>Za pravilen izračun ocene verjetnosti nastopa insolvečnega dogodka morate izpolniti naslednje kategorije na zavihkih BS_za_VSE_poslov.subjekte in IPI_za_VSE_poslov.subjekte:</a:t>
          </a:r>
        </a:p>
        <a:p>
          <a:endParaRPr lang="sl-SI"/>
        </a:p>
        <a:p>
          <a:r>
            <a:rPr lang="sl-SI"/>
            <a:t>-starost v letih (v celico B3)</a:t>
          </a:r>
        </a:p>
        <a:p>
          <a:r>
            <a:rPr lang="sl-SI"/>
            <a:t>-označite ustrezno področje standardne klasifikacije dejavnosti vašega podjetja v okvirju Dejavnost (pod rubriko Starost v letih)</a:t>
          </a:r>
        </a:p>
        <a:p>
          <a:r>
            <a:rPr lang="sl-SI"/>
            <a:t>-napoved gospodarske rasti za Slovenijo za tekoče leto, torej leto, ki sledi zadnjemu razpoložljivemu</a:t>
          </a:r>
          <a:r>
            <a:rPr lang="sl-SI" baseline="0"/>
            <a:t> računovodskemu izkazu (velja tudi za medletne izkaze),</a:t>
          </a:r>
          <a:r>
            <a:rPr lang="sl-SI"/>
            <a:t>    izraženo v % (npr. če je napovedana 1.8% rast BDP, vstavite v polje B18 vrednost 1.8; za negativne rasti pred vrednostjo zapišite minus). Napovedi so dostopne na UMAR-jevi spletni strani:  </a:t>
          </a:r>
          <a:r>
            <a:rPr lang="sl-SI">
              <a:hlinkClick xmlns:r="http://schemas.openxmlformats.org/officeDocument/2006/relationships" r:id=""/>
            </a:rPr>
            <a:t>https://www.umar.gov.si/</a:t>
          </a:r>
          <a:r>
            <a:rPr lang="sl-SI"/>
            <a:t> . Napovedi so trenutno navedene na spodnji polovici domače strani, dosegljive pa so tudi pod zavihkom "Napovedi", in sicer v rubriki pomladanske ali jesenske napovedi gospodarskih gibanj.</a:t>
          </a:r>
        </a:p>
        <a:p>
          <a:endParaRPr lang="sl-SI"/>
        </a:p>
        <a:p>
          <a:r>
            <a:rPr lang="sl-SI"/>
            <a:t>-vse rubrike bilance stanja</a:t>
          </a:r>
          <a:r>
            <a:rPr lang="sl-SI" b="1">
              <a:solidFill>
                <a:srgbClr val="FF0000"/>
              </a:solidFill>
            </a:rPr>
            <a:t>*</a:t>
          </a:r>
          <a:r>
            <a:rPr lang="sl-SI"/>
            <a:t> od AOP001 do AOP096 za tekoče in preteklo leto, kot so predloženi na poenotenih obrazcih računovodskih izkazov AJPES (</a:t>
          </a:r>
          <a:r>
            <a:rPr lang="sl-SI">
              <a:hlinkClick xmlns:r="http://schemas.openxmlformats.org/officeDocument/2006/relationships" r:id=""/>
            </a:rPr>
            <a:t>https://www.ajpes.si/Letna_porocila/Predlozitev/Druzbe_in_zadruge/Splosno</a:t>
          </a:r>
          <a:r>
            <a:rPr lang="sl-SI"/>
            <a:t> oz. </a:t>
          </a:r>
          <a:r>
            <a:rPr lang="sl-SI">
              <a:hlinkClick xmlns:r="http://schemas.openxmlformats.org/officeDocument/2006/relationships" r:id=""/>
            </a:rPr>
            <a:t>https://www.ajpes.si/Doc/LP/Program/LPGD_2021_V1_1.xls</a:t>
          </a:r>
          <a:r>
            <a:rPr lang="sl-SI"/>
            <a:t> ); izpolnite z zeleno barvo označena polja od E29 do F125 na zavihku BS_za_VSE_poslov.subjekte</a:t>
          </a:r>
        </a:p>
        <a:p>
          <a:r>
            <a:rPr lang="sl-SI"/>
            <a:t>-vse rubrike izkaza poslovnega izida</a:t>
          </a:r>
          <a:r>
            <a:rPr lang="sl-SI" b="1">
              <a:solidFill>
                <a:srgbClr val="FF0000"/>
              </a:solidFill>
            </a:rPr>
            <a:t>*</a:t>
          </a:r>
          <a:r>
            <a:rPr lang="sl-SI"/>
            <a:t> od AOP110 do AOP189 za tekoče in preteklo leto, kot so predloženi na poenotenih obrazcih računovodskih izkazov AJPES (</a:t>
          </a:r>
          <a:r>
            <a:rPr lang="sl-SI">
              <a:hlinkClick xmlns:r="http://schemas.openxmlformats.org/officeDocument/2006/relationships" r:id=""/>
            </a:rPr>
            <a:t>https://www.ajpes.si/Letna_porocila/Predlozitev/Druzbe_in_zadruge/Splosno</a:t>
          </a:r>
          <a:r>
            <a:rPr lang="sl-SI"/>
            <a:t> oz. </a:t>
          </a:r>
          <a:r>
            <a:rPr lang="sl-SI">
              <a:hlinkClick xmlns:r="http://schemas.openxmlformats.org/officeDocument/2006/relationships" r:id=""/>
            </a:rPr>
            <a:t>https://www.ajpes.si/Doc/LP/Program/LPGD_2021_V1_1.xls</a:t>
          </a:r>
          <a:r>
            <a:rPr lang="sl-SI"/>
            <a:t> ); izpolnite z zeleno barvo označena polja od E8 do F87 na zavihku IPI_za_VSE_poslov.subjekte</a:t>
          </a:r>
        </a:p>
        <a:p>
          <a:r>
            <a:rPr lang="sl-SI"/>
            <a:t>-</a:t>
          </a:r>
          <a:r>
            <a:rPr lang="sl-SI" baseline="0"/>
            <a:t> </a:t>
          </a:r>
          <a:r>
            <a:rPr lang="sl-SI" b="1">
              <a:solidFill>
                <a:srgbClr val="0000FF"/>
              </a:solidFill>
            </a:rPr>
            <a:t>za aktualnost izračuna</a:t>
          </a:r>
          <a:r>
            <a:rPr lang="sl-SI" b="1" baseline="0">
              <a:solidFill>
                <a:srgbClr val="0000FF"/>
              </a:solidFill>
            </a:rPr>
            <a:t> lahko uporabite tudi zadnje razpoložljive medletne računovodske izkaze </a:t>
          </a:r>
          <a:r>
            <a:rPr lang="sl-SI" b="1">
              <a:solidFill>
                <a:srgbClr val="0000FF"/>
              </a:solidFill>
            </a:rPr>
            <a:t/>
          </a:r>
          <a:br>
            <a:rPr lang="sl-SI" b="1">
              <a:solidFill>
                <a:srgbClr val="0000FF"/>
              </a:solidFill>
            </a:rPr>
          </a:br>
          <a:endParaRPr lang="sl-SI" b="1">
            <a:solidFill>
              <a:srgbClr val="0000FF"/>
            </a:solidFill>
          </a:endParaRPr>
        </a:p>
        <a:p>
          <a:endParaRPr lang="sl-SI" b="1">
            <a:solidFill>
              <a:srgbClr val="0000FF"/>
            </a:solidFill>
          </a:endParaRPr>
        </a:p>
        <a:p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KONČNI REZULTAT</a:t>
          </a:r>
          <a:r>
            <a:rPr lang="sl-SI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**</a:t>
          </a:r>
          <a:r>
            <a:rPr lang="sl-S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tveganja nastanka insolvenčnega dogodka za vaše podjetje je podan v</a:t>
          </a:r>
        </a:p>
        <a:p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zavihku </a:t>
          </a:r>
          <a:r>
            <a:rPr lang="sl-SI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Ocena</a:t>
          </a:r>
          <a:r>
            <a:rPr lang="sl-SI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l-SI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l-SI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kjer je po potrebi podano tudi </a:t>
          </a:r>
          <a:r>
            <a:rPr lang="sl-SI" sz="1100" b="1" baseline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modelsko priporočilo </a:t>
          </a:r>
          <a:r>
            <a:rPr lang="sl-SI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glede ukrepanja.</a:t>
          </a:r>
        </a:p>
        <a:p>
          <a:endParaRPr lang="sl-SI">
            <a:effectLst/>
          </a:endParaRPr>
        </a:p>
        <a:p>
          <a:r>
            <a:rPr lang="sl-SI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sl-SI" sz="105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sl-SI" sz="105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Priporočamo, da pri ev. kopiranju</a:t>
          </a:r>
          <a:r>
            <a:rPr lang="sl-SI" sz="105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podatkov med tabelami uporabite funkcijo </a:t>
          </a:r>
          <a:r>
            <a:rPr lang="sl-SI" sz="105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copy/paste values</a:t>
          </a:r>
          <a:endParaRPr lang="sl-SI" sz="1050" b="1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** </a:t>
          </a:r>
          <a:r>
            <a:rPr lang="sl-SI" sz="105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Navodila za interpretacijo rezultatov in opis metodologije so na voljo v spremnem besedilu te aplikacije na spletni strani MGTŠ.</a:t>
          </a:r>
          <a:endParaRPr lang="sl-SI" sz="1050" i="1">
            <a:effectLst/>
          </a:endParaRPr>
        </a:p>
        <a:p>
          <a:endParaRPr lang="sl-SI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4</xdr:row>
          <xdr:rowOff>85725</xdr:rowOff>
        </xdr:from>
        <xdr:to>
          <xdr:col>2</xdr:col>
          <xdr:colOff>2952750</xdr:colOff>
          <xdr:row>16</xdr:row>
          <xdr:rowOff>66675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Dejavnost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5</xdr:row>
          <xdr:rowOff>9525</xdr:rowOff>
        </xdr:from>
        <xdr:to>
          <xdr:col>2</xdr:col>
          <xdr:colOff>2619375</xdr:colOff>
          <xdr:row>6</xdr:row>
          <xdr:rowOff>57150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 - Kmetijstvo in lov, gozdarstvo, ribištvo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6</xdr:row>
          <xdr:rowOff>85725</xdr:rowOff>
        </xdr:from>
        <xdr:to>
          <xdr:col>2</xdr:col>
          <xdr:colOff>2619375</xdr:colOff>
          <xdr:row>7</xdr:row>
          <xdr:rowOff>133350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B, C, D, E - Predelovalne dejavnosti, rudarstvo in druga industrija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8</xdr:row>
          <xdr:rowOff>19050</xdr:rowOff>
        </xdr:from>
        <xdr:to>
          <xdr:col>2</xdr:col>
          <xdr:colOff>2628900</xdr:colOff>
          <xdr:row>9</xdr:row>
          <xdr:rowOff>66675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 - Gradbeništvo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9</xdr:row>
          <xdr:rowOff>104775</xdr:rowOff>
        </xdr:from>
        <xdr:to>
          <xdr:col>2</xdr:col>
          <xdr:colOff>2638425</xdr:colOff>
          <xdr:row>10</xdr:row>
          <xdr:rowOff>152400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G, H, I - Trgovina in popravila vozil, promet in skladiščenje, gostinstvo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11</xdr:row>
          <xdr:rowOff>19050</xdr:rowOff>
        </xdr:from>
        <xdr:to>
          <xdr:col>2</xdr:col>
          <xdr:colOff>2638425</xdr:colOff>
          <xdr:row>12</xdr:row>
          <xdr:rowOff>66675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 - Informacijske in komunikacijske dejavnosti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12</xdr:row>
          <xdr:rowOff>133350</xdr:rowOff>
        </xdr:from>
        <xdr:to>
          <xdr:col>2</xdr:col>
          <xdr:colOff>2628900</xdr:colOff>
          <xdr:row>13</xdr:row>
          <xdr:rowOff>180975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K, L - Finančne in zavarovalniške dejavnosti , Poslovanje z nepremičninami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14</xdr:row>
          <xdr:rowOff>38100</xdr:rowOff>
        </xdr:from>
        <xdr:to>
          <xdr:col>2</xdr:col>
          <xdr:colOff>2628900</xdr:colOff>
          <xdr:row>15</xdr:row>
          <xdr:rowOff>85725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Ostalo - M, N, O, P, Q, R, S, T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99059</xdr:colOff>
      <xdr:row>10</xdr:row>
      <xdr:rowOff>57150</xdr:rowOff>
    </xdr:from>
    <xdr:to>
      <xdr:col>2</xdr:col>
      <xdr:colOff>1647825</xdr:colOff>
      <xdr:row>24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295275</xdr:colOff>
      <xdr:row>35</xdr:row>
      <xdr:rowOff>80962</xdr:rowOff>
    </xdr:from>
    <xdr:to>
      <xdr:col>30</xdr:col>
      <xdr:colOff>19050</xdr:colOff>
      <xdr:row>49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C2:C3"/>
  <sheetViews>
    <sheetView tabSelected="1" workbookViewId="0">
      <selection activeCell="R4" sqref="R4"/>
    </sheetView>
  </sheetViews>
  <sheetFormatPr defaultColWidth="8.85546875" defaultRowHeight="15" x14ac:dyDescent="0.25"/>
  <cols>
    <col min="1" max="16384" width="8.85546875" style="26"/>
  </cols>
  <sheetData>
    <row r="2" spans="3:3" ht="15.75" x14ac:dyDescent="0.25">
      <c r="C2" s="56" t="s">
        <v>572</v>
      </c>
    </row>
    <row r="3" spans="3:3" x14ac:dyDescent="0.25">
      <c r="C3" s="58" t="s">
        <v>571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3:F125"/>
  <sheetViews>
    <sheetView workbookViewId="0">
      <selection activeCell="E12" sqref="E12"/>
    </sheetView>
  </sheetViews>
  <sheetFormatPr defaultRowHeight="15" x14ac:dyDescent="0.25"/>
  <cols>
    <col min="1" max="1" width="24.5703125" customWidth="1"/>
    <col min="2" max="2" width="27.140625" customWidth="1"/>
    <col min="3" max="3" width="49.42578125" style="20" customWidth="1"/>
    <col min="5" max="5" width="19.28515625" customWidth="1"/>
    <col min="6" max="6" width="21.140625" customWidth="1"/>
  </cols>
  <sheetData>
    <row r="3" spans="1:3" x14ac:dyDescent="0.25">
      <c r="A3" t="s">
        <v>458</v>
      </c>
      <c r="B3" s="28">
        <v>21</v>
      </c>
    </row>
    <row r="4" spans="1:3" x14ac:dyDescent="0.25">
      <c r="A4" t="s">
        <v>459</v>
      </c>
    </row>
    <row r="5" spans="1:3" x14ac:dyDescent="0.25">
      <c r="A5" s="26"/>
      <c r="B5" s="26"/>
      <c r="C5" s="27"/>
    </row>
    <row r="6" spans="1:3" x14ac:dyDescent="0.25">
      <c r="A6" s="26"/>
      <c r="B6" s="26"/>
      <c r="C6" s="27"/>
    </row>
    <row r="7" spans="1:3" x14ac:dyDescent="0.25">
      <c r="A7" s="26"/>
      <c r="B7" s="26"/>
      <c r="C7" s="27"/>
    </row>
    <row r="8" spans="1:3" x14ac:dyDescent="0.25">
      <c r="A8" s="26"/>
      <c r="B8" s="26"/>
      <c r="C8" s="27"/>
    </row>
    <row r="9" spans="1:3" x14ac:dyDescent="0.25">
      <c r="A9" s="26"/>
      <c r="B9" s="26"/>
      <c r="C9" s="27"/>
    </row>
    <row r="10" spans="1:3" x14ac:dyDescent="0.25">
      <c r="A10" s="26"/>
      <c r="B10" s="26"/>
      <c r="C10" s="27"/>
    </row>
    <row r="11" spans="1:3" x14ac:dyDescent="0.25">
      <c r="A11" s="26"/>
      <c r="B11" s="26"/>
      <c r="C11" s="27"/>
    </row>
    <row r="12" spans="1:3" x14ac:dyDescent="0.25">
      <c r="A12" s="26"/>
      <c r="B12" s="26"/>
      <c r="C12" s="27"/>
    </row>
    <row r="13" spans="1:3" x14ac:dyDescent="0.25">
      <c r="A13" s="26"/>
      <c r="B13" s="26"/>
      <c r="C13" s="27"/>
    </row>
    <row r="14" spans="1:3" x14ac:dyDescent="0.25">
      <c r="A14" s="26"/>
      <c r="B14" s="26"/>
      <c r="C14" s="27"/>
    </row>
    <row r="15" spans="1:3" x14ac:dyDescent="0.25">
      <c r="A15" s="26"/>
      <c r="B15" s="26"/>
      <c r="C15" s="27"/>
    </row>
    <row r="16" spans="1:3" x14ac:dyDescent="0.25">
      <c r="A16" s="26"/>
      <c r="B16" s="26"/>
      <c r="C16" s="27"/>
    </row>
    <row r="17" spans="1:6" x14ac:dyDescent="0.25">
      <c r="A17" s="26"/>
      <c r="B17" s="26"/>
      <c r="C17" s="27"/>
    </row>
    <row r="18" spans="1:6" x14ac:dyDescent="0.25">
      <c r="A18" t="s">
        <v>479</v>
      </c>
      <c r="B18" s="28">
        <v>1.8</v>
      </c>
    </row>
    <row r="23" spans="1:6" ht="23.25" x14ac:dyDescent="0.35">
      <c r="A23" s="1"/>
      <c r="B23" s="59" t="s">
        <v>0</v>
      </c>
      <c r="C23" s="59"/>
      <c r="D23" s="59"/>
      <c r="E23" s="59"/>
      <c r="F23" s="59"/>
    </row>
    <row r="24" spans="1:6" ht="18" x14ac:dyDescent="0.25">
      <c r="A24" s="1"/>
      <c r="B24" s="60" t="s">
        <v>266</v>
      </c>
      <c r="C24" s="60"/>
      <c r="D24" s="60"/>
      <c r="E24" s="60"/>
      <c r="F24" s="60"/>
    </row>
    <row r="25" spans="1:6" ht="15.75" thickBot="1" x14ac:dyDescent="0.3">
      <c r="A25" s="1"/>
      <c r="B25" s="2"/>
      <c r="C25" s="18"/>
      <c r="D25" s="2"/>
      <c r="E25" s="2"/>
      <c r="F25" s="3" t="s">
        <v>1</v>
      </c>
    </row>
    <row r="26" spans="1:6" x14ac:dyDescent="0.25">
      <c r="A26" s="61" t="s">
        <v>2</v>
      </c>
      <c r="B26" s="63" t="s">
        <v>3</v>
      </c>
      <c r="C26" s="65" t="s">
        <v>4</v>
      </c>
      <c r="D26" s="65" t="s">
        <v>5</v>
      </c>
      <c r="E26" s="67" t="s">
        <v>6</v>
      </c>
      <c r="F26" s="68"/>
    </row>
    <row r="27" spans="1:6" x14ac:dyDescent="0.25">
      <c r="A27" s="62"/>
      <c r="B27" s="64"/>
      <c r="C27" s="66"/>
      <c r="D27" s="66"/>
      <c r="E27" s="4" t="s">
        <v>7</v>
      </c>
      <c r="F27" s="5" t="s">
        <v>8</v>
      </c>
    </row>
    <row r="28" spans="1:6" ht="56.25" x14ac:dyDescent="0.25">
      <c r="A28" s="6" t="s">
        <v>9</v>
      </c>
      <c r="B28" s="7">
        <v>1</v>
      </c>
      <c r="C28" s="19">
        <v>2</v>
      </c>
      <c r="D28" s="8">
        <v>3</v>
      </c>
      <c r="E28" s="8">
        <v>4</v>
      </c>
      <c r="F28" s="9">
        <v>5</v>
      </c>
    </row>
    <row r="29" spans="1:6" ht="33.75" x14ac:dyDescent="0.25">
      <c r="A29" s="10" t="s">
        <v>10</v>
      </c>
      <c r="B29" s="11" t="s">
        <v>11</v>
      </c>
      <c r="C29" s="12" t="s">
        <v>12</v>
      </c>
      <c r="D29" s="13" t="s">
        <v>13</v>
      </c>
      <c r="E29" s="38">
        <v>63</v>
      </c>
      <c r="F29" s="39">
        <v>9</v>
      </c>
    </row>
    <row r="30" spans="1:6" ht="22.5" x14ac:dyDescent="0.25">
      <c r="A30" s="10" t="s">
        <v>10</v>
      </c>
      <c r="B30" s="11" t="s">
        <v>14</v>
      </c>
      <c r="C30" s="12" t="s">
        <v>15</v>
      </c>
      <c r="D30" s="13" t="s">
        <v>16</v>
      </c>
      <c r="E30" s="38">
        <v>0</v>
      </c>
      <c r="F30" s="39">
        <v>0</v>
      </c>
    </row>
    <row r="31" spans="1:6" ht="33.75" x14ac:dyDescent="0.25">
      <c r="A31" s="10" t="s">
        <v>17</v>
      </c>
      <c r="B31" s="11" t="s">
        <v>18</v>
      </c>
      <c r="C31" s="12" t="s">
        <v>19</v>
      </c>
      <c r="D31" s="13" t="s">
        <v>20</v>
      </c>
      <c r="E31" s="38">
        <v>0</v>
      </c>
      <c r="F31" s="39">
        <v>0</v>
      </c>
    </row>
    <row r="32" spans="1:6" ht="22.5" x14ac:dyDescent="0.25">
      <c r="A32" s="10" t="s">
        <v>21</v>
      </c>
      <c r="B32" s="11" t="s">
        <v>18</v>
      </c>
      <c r="C32" s="14" t="s">
        <v>22</v>
      </c>
      <c r="D32" s="13" t="s">
        <v>23</v>
      </c>
      <c r="E32" s="38">
        <v>0</v>
      </c>
      <c r="F32" s="39">
        <v>0</v>
      </c>
    </row>
    <row r="33" spans="1:6" x14ac:dyDescent="0.25">
      <c r="A33" s="10" t="s">
        <v>21</v>
      </c>
      <c r="B33" s="11" t="s">
        <v>24</v>
      </c>
      <c r="C33" s="14" t="s">
        <v>25</v>
      </c>
      <c r="D33" s="13" t="s">
        <v>26</v>
      </c>
      <c r="E33" s="38">
        <v>0</v>
      </c>
      <c r="F33" s="39">
        <v>0</v>
      </c>
    </row>
    <row r="34" spans="1:6" x14ac:dyDescent="0.25">
      <c r="A34" s="10" t="s">
        <v>21</v>
      </c>
      <c r="B34" s="11" t="s">
        <v>24</v>
      </c>
      <c r="C34" s="14" t="s">
        <v>27</v>
      </c>
      <c r="D34" s="13" t="s">
        <v>28</v>
      </c>
      <c r="E34" s="38">
        <v>0</v>
      </c>
      <c r="F34" s="39">
        <v>0</v>
      </c>
    </row>
    <row r="35" spans="1:6" x14ac:dyDescent="0.25">
      <c r="A35" s="10" t="s">
        <v>21</v>
      </c>
      <c r="B35" s="11" t="s">
        <v>24</v>
      </c>
      <c r="C35" s="14" t="s">
        <v>29</v>
      </c>
      <c r="D35" s="13" t="s">
        <v>30</v>
      </c>
      <c r="E35" s="38">
        <v>0</v>
      </c>
      <c r="F35" s="39">
        <v>0</v>
      </c>
    </row>
    <row r="36" spans="1:6" x14ac:dyDescent="0.25">
      <c r="A36" s="10" t="s">
        <v>21</v>
      </c>
      <c r="B36" s="11" t="s">
        <v>18</v>
      </c>
      <c r="C36" s="14" t="s">
        <v>31</v>
      </c>
      <c r="D36" s="13" t="s">
        <v>32</v>
      </c>
      <c r="E36" s="38">
        <v>0</v>
      </c>
      <c r="F36" s="39">
        <v>0</v>
      </c>
    </row>
    <row r="37" spans="1:6" x14ac:dyDescent="0.25">
      <c r="A37" s="10" t="s">
        <v>17</v>
      </c>
      <c r="B37" s="11" t="s">
        <v>24</v>
      </c>
      <c r="C37" s="14" t="s">
        <v>33</v>
      </c>
      <c r="D37" s="13" t="s">
        <v>34</v>
      </c>
      <c r="E37" s="38">
        <v>0</v>
      </c>
      <c r="F37" s="39">
        <v>0</v>
      </c>
    </row>
    <row r="38" spans="1:6" ht="22.5" x14ac:dyDescent="0.25">
      <c r="A38" s="10" t="s">
        <v>10</v>
      </c>
      <c r="B38" s="11" t="s">
        <v>35</v>
      </c>
      <c r="C38" s="12" t="s">
        <v>36</v>
      </c>
      <c r="D38" s="13" t="s">
        <v>37</v>
      </c>
      <c r="E38" s="38">
        <v>0</v>
      </c>
      <c r="F38" s="39">
        <v>0</v>
      </c>
    </row>
    <row r="39" spans="1:6" x14ac:dyDescent="0.25">
      <c r="A39" s="10" t="s">
        <v>10</v>
      </c>
      <c r="B39" s="11" t="s">
        <v>38</v>
      </c>
      <c r="C39" s="14" t="s">
        <v>39</v>
      </c>
      <c r="D39" s="13" t="s">
        <v>40</v>
      </c>
      <c r="E39" s="38">
        <v>0</v>
      </c>
      <c r="F39" s="39">
        <v>0</v>
      </c>
    </row>
    <row r="40" spans="1:6" x14ac:dyDescent="0.25">
      <c r="A40" s="10" t="s">
        <v>10</v>
      </c>
      <c r="B40" s="11" t="s">
        <v>38</v>
      </c>
      <c r="C40" s="14" t="s">
        <v>41</v>
      </c>
      <c r="D40" s="13" t="s">
        <v>42</v>
      </c>
      <c r="E40" s="38">
        <v>0</v>
      </c>
      <c r="F40" s="39">
        <v>0</v>
      </c>
    </row>
    <row r="41" spans="1:6" x14ac:dyDescent="0.25">
      <c r="A41" s="10" t="s">
        <v>10</v>
      </c>
      <c r="B41" s="11" t="s">
        <v>43</v>
      </c>
      <c r="C41" s="14" t="s">
        <v>44</v>
      </c>
      <c r="D41" s="13" t="s">
        <v>45</v>
      </c>
      <c r="E41" s="38">
        <v>0</v>
      </c>
      <c r="F41" s="39">
        <v>0</v>
      </c>
    </row>
    <row r="42" spans="1:6" ht="22.5" x14ac:dyDescent="0.25">
      <c r="A42" s="10" t="s">
        <v>10</v>
      </c>
      <c r="B42" s="11" t="s">
        <v>43</v>
      </c>
      <c r="C42" s="14" t="s">
        <v>46</v>
      </c>
      <c r="D42" s="13" t="s">
        <v>47</v>
      </c>
      <c r="E42" s="38">
        <v>0</v>
      </c>
      <c r="F42" s="39">
        <v>0</v>
      </c>
    </row>
    <row r="43" spans="1:6" x14ac:dyDescent="0.25">
      <c r="A43" s="10" t="s">
        <v>10</v>
      </c>
      <c r="B43" s="11" t="s">
        <v>43</v>
      </c>
      <c r="C43" s="14" t="s">
        <v>48</v>
      </c>
      <c r="D43" s="13" t="s">
        <v>49</v>
      </c>
      <c r="E43" s="38">
        <v>0</v>
      </c>
      <c r="F43" s="39">
        <v>0</v>
      </c>
    </row>
    <row r="44" spans="1:6" x14ac:dyDescent="0.25">
      <c r="A44" s="10" t="s">
        <v>10</v>
      </c>
      <c r="B44" s="11" t="s">
        <v>50</v>
      </c>
      <c r="C44" s="14" t="s">
        <v>51</v>
      </c>
      <c r="D44" s="13" t="s">
        <v>52</v>
      </c>
      <c r="E44" s="38">
        <v>0</v>
      </c>
      <c r="F44" s="39">
        <v>0</v>
      </c>
    </row>
    <row r="45" spans="1:6" x14ac:dyDescent="0.25">
      <c r="A45" s="10" t="s">
        <v>10</v>
      </c>
      <c r="B45" s="11" t="s">
        <v>53</v>
      </c>
      <c r="C45" s="14" t="s">
        <v>54</v>
      </c>
      <c r="D45" s="13" t="s">
        <v>55</v>
      </c>
      <c r="E45" s="38">
        <v>0</v>
      </c>
      <c r="F45" s="39">
        <v>0</v>
      </c>
    </row>
    <row r="46" spans="1:6" x14ac:dyDescent="0.25">
      <c r="A46" s="10" t="s">
        <v>17</v>
      </c>
      <c r="B46" s="11" t="s">
        <v>56</v>
      </c>
      <c r="C46" s="12" t="s">
        <v>57</v>
      </c>
      <c r="D46" s="13" t="s">
        <v>58</v>
      </c>
      <c r="E46" s="38">
        <v>0</v>
      </c>
      <c r="F46" s="39">
        <v>0</v>
      </c>
    </row>
    <row r="47" spans="1:6" ht="22.5" x14ac:dyDescent="0.25">
      <c r="A47" s="10" t="s">
        <v>17</v>
      </c>
      <c r="B47" s="11" t="s">
        <v>59</v>
      </c>
      <c r="C47" s="12" t="s">
        <v>60</v>
      </c>
      <c r="D47" s="13" t="s">
        <v>61</v>
      </c>
      <c r="E47" s="38">
        <v>0</v>
      </c>
      <c r="F47" s="39">
        <v>0</v>
      </c>
    </row>
    <row r="48" spans="1:6" ht="22.5" x14ac:dyDescent="0.25">
      <c r="A48" s="10" t="s">
        <v>21</v>
      </c>
      <c r="B48" s="11" t="s">
        <v>62</v>
      </c>
      <c r="C48" s="14" t="s">
        <v>63</v>
      </c>
      <c r="D48" s="13" t="s">
        <v>64</v>
      </c>
      <c r="E48" s="38">
        <v>0</v>
      </c>
      <c r="F48" s="39">
        <v>0</v>
      </c>
    </row>
    <row r="49" spans="1:6" x14ac:dyDescent="0.25">
      <c r="A49" s="10" t="s">
        <v>21</v>
      </c>
      <c r="B49" s="11" t="s">
        <v>65</v>
      </c>
      <c r="C49" s="14" t="s">
        <v>66</v>
      </c>
      <c r="D49" s="13" t="s">
        <v>67</v>
      </c>
      <c r="E49" s="38">
        <v>0</v>
      </c>
      <c r="F49" s="39">
        <v>0</v>
      </c>
    </row>
    <row r="50" spans="1:6" x14ac:dyDescent="0.25">
      <c r="A50" s="10" t="s">
        <v>21</v>
      </c>
      <c r="B50" s="11" t="s">
        <v>65</v>
      </c>
      <c r="C50" s="14" t="s">
        <v>68</v>
      </c>
      <c r="D50" s="13" t="s">
        <v>69</v>
      </c>
      <c r="E50" s="38">
        <v>0</v>
      </c>
      <c r="F50" s="39">
        <v>0</v>
      </c>
    </row>
    <row r="51" spans="1:6" x14ac:dyDescent="0.25">
      <c r="A51" s="10" t="s">
        <v>21</v>
      </c>
      <c r="B51" s="11" t="s">
        <v>65</v>
      </c>
      <c r="C51" s="14" t="s">
        <v>70</v>
      </c>
      <c r="D51" s="13" t="s">
        <v>71</v>
      </c>
      <c r="E51" s="38">
        <v>0</v>
      </c>
      <c r="F51" s="39">
        <v>0</v>
      </c>
    </row>
    <row r="52" spans="1:6" ht="22.5" x14ac:dyDescent="0.25">
      <c r="A52" s="10" t="s">
        <v>21</v>
      </c>
      <c r="B52" s="11" t="s">
        <v>72</v>
      </c>
      <c r="C52" s="14" t="s">
        <v>73</v>
      </c>
      <c r="D52" s="13" t="s">
        <v>74</v>
      </c>
      <c r="E52" s="38">
        <v>0</v>
      </c>
      <c r="F52" s="39">
        <v>0</v>
      </c>
    </row>
    <row r="53" spans="1:6" x14ac:dyDescent="0.25">
      <c r="A53" s="10" t="s">
        <v>21</v>
      </c>
      <c r="B53" s="11" t="s">
        <v>72</v>
      </c>
      <c r="C53" s="14" t="s">
        <v>75</v>
      </c>
      <c r="D53" s="13" t="s">
        <v>76</v>
      </c>
      <c r="E53" s="38">
        <v>0</v>
      </c>
      <c r="F53" s="39">
        <v>0</v>
      </c>
    </row>
    <row r="54" spans="1:6" x14ac:dyDescent="0.25">
      <c r="A54" s="10" t="s">
        <v>21</v>
      </c>
      <c r="B54" s="11" t="s">
        <v>72</v>
      </c>
      <c r="C54" s="14" t="s">
        <v>77</v>
      </c>
      <c r="D54" s="13" t="s">
        <v>78</v>
      </c>
      <c r="E54" s="38">
        <v>0</v>
      </c>
      <c r="F54" s="39">
        <v>0</v>
      </c>
    </row>
    <row r="55" spans="1:6" ht="22.5" x14ac:dyDescent="0.25">
      <c r="A55" s="10" t="s">
        <v>21</v>
      </c>
      <c r="B55" s="11" t="s">
        <v>79</v>
      </c>
      <c r="C55" s="12" t="s">
        <v>80</v>
      </c>
      <c r="D55" s="13" t="s">
        <v>81</v>
      </c>
      <c r="E55" s="38">
        <v>0</v>
      </c>
      <c r="F55" s="39">
        <v>0</v>
      </c>
    </row>
    <row r="56" spans="1:6" x14ac:dyDescent="0.25">
      <c r="A56" s="10" t="s">
        <v>21</v>
      </c>
      <c r="B56" s="11" t="s">
        <v>79</v>
      </c>
      <c r="C56" s="14" t="s">
        <v>82</v>
      </c>
      <c r="D56" s="13" t="s">
        <v>83</v>
      </c>
      <c r="E56" s="38">
        <v>0</v>
      </c>
      <c r="F56" s="39">
        <v>0</v>
      </c>
    </row>
    <row r="57" spans="1:6" x14ac:dyDescent="0.25">
      <c r="A57" s="10" t="s">
        <v>21</v>
      </c>
      <c r="B57" s="11" t="s">
        <v>79</v>
      </c>
      <c r="C57" s="14" t="s">
        <v>84</v>
      </c>
      <c r="D57" s="13" t="s">
        <v>85</v>
      </c>
      <c r="E57" s="38">
        <v>0</v>
      </c>
      <c r="F57" s="39">
        <v>0</v>
      </c>
    </row>
    <row r="58" spans="1:6" x14ac:dyDescent="0.25">
      <c r="A58" s="10" t="s">
        <v>21</v>
      </c>
      <c r="B58" s="11" t="s">
        <v>79</v>
      </c>
      <c r="C58" s="14" t="s">
        <v>86</v>
      </c>
      <c r="D58" s="13" t="s">
        <v>87</v>
      </c>
      <c r="E58" s="38">
        <v>0</v>
      </c>
      <c r="F58" s="39">
        <v>0</v>
      </c>
    </row>
    <row r="59" spans="1:6" x14ac:dyDescent="0.25">
      <c r="A59" s="10" t="s">
        <v>10</v>
      </c>
      <c r="B59" s="11" t="s">
        <v>88</v>
      </c>
      <c r="C59" s="12" t="s">
        <v>89</v>
      </c>
      <c r="D59" s="13" t="s">
        <v>90</v>
      </c>
      <c r="E59" s="38">
        <v>0</v>
      </c>
      <c r="F59" s="39">
        <v>0</v>
      </c>
    </row>
    <row r="60" spans="1:6" ht="33.75" x14ac:dyDescent="0.25">
      <c r="A60" s="10" t="s">
        <v>17</v>
      </c>
      <c r="B60" s="11" t="s">
        <v>91</v>
      </c>
      <c r="C60" s="12" t="s">
        <v>92</v>
      </c>
      <c r="D60" s="13" t="s">
        <v>93</v>
      </c>
      <c r="E60" s="38">
        <v>63</v>
      </c>
      <c r="F60" s="39">
        <v>9</v>
      </c>
    </row>
    <row r="61" spans="1:6" x14ac:dyDescent="0.25">
      <c r="A61" s="10" t="s">
        <v>17</v>
      </c>
      <c r="B61" s="11" t="s">
        <v>94</v>
      </c>
      <c r="C61" s="12" t="s">
        <v>95</v>
      </c>
      <c r="D61" s="13" t="s">
        <v>96</v>
      </c>
      <c r="E61" s="38">
        <v>0</v>
      </c>
      <c r="F61" s="39">
        <v>0</v>
      </c>
    </row>
    <row r="62" spans="1:6" ht="22.5" x14ac:dyDescent="0.25">
      <c r="A62" s="10" t="s">
        <v>97</v>
      </c>
      <c r="B62" s="11" t="s">
        <v>98</v>
      </c>
      <c r="C62" s="12" t="s">
        <v>99</v>
      </c>
      <c r="D62" s="13" t="s">
        <v>100</v>
      </c>
      <c r="E62" s="38">
        <v>0</v>
      </c>
      <c r="F62" s="39">
        <v>0</v>
      </c>
    </row>
    <row r="63" spans="1:6" x14ac:dyDescent="0.25">
      <c r="A63" s="10" t="s">
        <v>97</v>
      </c>
      <c r="B63" s="11" t="s">
        <v>101</v>
      </c>
      <c r="C63" s="14" t="s">
        <v>102</v>
      </c>
      <c r="D63" s="13" t="s">
        <v>103</v>
      </c>
      <c r="E63" s="38">
        <v>0</v>
      </c>
      <c r="F63" s="39">
        <v>0</v>
      </c>
    </row>
    <row r="64" spans="1:6" x14ac:dyDescent="0.25">
      <c r="A64" s="10" t="s">
        <v>97</v>
      </c>
      <c r="B64" s="11" t="s">
        <v>104</v>
      </c>
      <c r="C64" s="14" t="s">
        <v>105</v>
      </c>
      <c r="D64" s="13" t="s">
        <v>106</v>
      </c>
      <c r="E64" s="38">
        <v>0</v>
      </c>
      <c r="F64" s="39">
        <v>0</v>
      </c>
    </row>
    <row r="65" spans="1:6" x14ac:dyDescent="0.25">
      <c r="A65" s="10" t="s">
        <v>97</v>
      </c>
      <c r="B65" s="11" t="s">
        <v>107</v>
      </c>
      <c r="C65" s="14" t="s">
        <v>108</v>
      </c>
      <c r="D65" s="13" t="s">
        <v>109</v>
      </c>
      <c r="E65" s="38">
        <v>0</v>
      </c>
      <c r="F65" s="39">
        <v>0</v>
      </c>
    </row>
    <row r="66" spans="1:6" x14ac:dyDescent="0.25">
      <c r="A66" s="10" t="s">
        <v>97</v>
      </c>
      <c r="B66" s="11" t="s">
        <v>110</v>
      </c>
      <c r="C66" s="14" t="s">
        <v>111</v>
      </c>
      <c r="D66" s="13" t="s">
        <v>112</v>
      </c>
      <c r="E66" s="38">
        <v>0</v>
      </c>
      <c r="F66" s="39">
        <v>0</v>
      </c>
    </row>
    <row r="67" spans="1:6" x14ac:dyDescent="0.25">
      <c r="A67" s="10" t="s">
        <v>97</v>
      </c>
      <c r="B67" s="11" t="s">
        <v>113</v>
      </c>
      <c r="C67" s="14" t="s">
        <v>114</v>
      </c>
      <c r="D67" s="13" t="s">
        <v>115</v>
      </c>
      <c r="E67" s="38">
        <v>0</v>
      </c>
      <c r="F67" s="39">
        <v>0</v>
      </c>
    </row>
    <row r="68" spans="1:6" ht="22.5" x14ac:dyDescent="0.25">
      <c r="A68" s="10" t="s">
        <v>17</v>
      </c>
      <c r="B68" s="11" t="s">
        <v>116</v>
      </c>
      <c r="C68" s="12" t="s">
        <v>117</v>
      </c>
      <c r="D68" s="13" t="s">
        <v>118</v>
      </c>
      <c r="E68" s="38">
        <v>0</v>
      </c>
      <c r="F68" s="39">
        <v>0</v>
      </c>
    </row>
    <row r="69" spans="1:6" ht="22.5" x14ac:dyDescent="0.25">
      <c r="A69" s="10" t="s">
        <v>21</v>
      </c>
      <c r="B69" s="11" t="s">
        <v>119</v>
      </c>
      <c r="C69" s="14" t="s">
        <v>120</v>
      </c>
      <c r="D69" s="13" t="s">
        <v>121</v>
      </c>
      <c r="E69" s="38">
        <v>0</v>
      </c>
      <c r="F69" s="39">
        <v>0</v>
      </c>
    </row>
    <row r="70" spans="1:6" x14ac:dyDescent="0.25">
      <c r="A70" s="10" t="s">
        <v>21</v>
      </c>
      <c r="B70" s="11" t="s">
        <v>122</v>
      </c>
      <c r="C70" s="14" t="s">
        <v>66</v>
      </c>
      <c r="D70" s="13" t="s">
        <v>123</v>
      </c>
      <c r="E70" s="38">
        <v>0</v>
      </c>
      <c r="F70" s="39">
        <v>0</v>
      </c>
    </row>
    <row r="71" spans="1:6" x14ac:dyDescent="0.25">
      <c r="A71" s="10" t="s">
        <v>21</v>
      </c>
      <c r="B71" s="11" t="s">
        <v>122</v>
      </c>
      <c r="C71" s="14" t="s">
        <v>68</v>
      </c>
      <c r="D71" s="13" t="s">
        <v>124</v>
      </c>
      <c r="E71" s="38">
        <v>0</v>
      </c>
      <c r="F71" s="39">
        <v>0</v>
      </c>
    </row>
    <row r="72" spans="1:6" x14ac:dyDescent="0.25">
      <c r="A72" s="10" t="s">
        <v>21</v>
      </c>
      <c r="B72" s="11" t="s">
        <v>122</v>
      </c>
      <c r="C72" s="14" t="s">
        <v>125</v>
      </c>
      <c r="D72" s="13" t="s">
        <v>126</v>
      </c>
      <c r="E72" s="38">
        <v>0</v>
      </c>
      <c r="F72" s="39">
        <v>0</v>
      </c>
    </row>
    <row r="73" spans="1:6" ht="22.5" x14ac:dyDescent="0.25">
      <c r="A73" s="10" t="s">
        <v>21</v>
      </c>
      <c r="B73" s="11" t="s">
        <v>127</v>
      </c>
      <c r="C73" s="14" t="s">
        <v>128</v>
      </c>
      <c r="D73" s="13" t="s">
        <v>129</v>
      </c>
      <c r="E73" s="38">
        <v>0</v>
      </c>
      <c r="F73" s="39">
        <v>0</v>
      </c>
    </row>
    <row r="74" spans="1:6" x14ac:dyDescent="0.25">
      <c r="A74" s="10" t="s">
        <v>21</v>
      </c>
      <c r="B74" s="11" t="s">
        <v>130</v>
      </c>
      <c r="C74" s="14" t="s">
        <v>131</v>
      </c>
      <c r="D74" s="13" t="s">
        <v>132</v>
      </c>
      <c r="E74" s="38">
        <v>0</v>
      </c>
      <c r="F74" s="39">
        <v>0</v>
      </c>
    </row>
    <row r="75" spans="1:6" x14ac:dyDescent="0.25">
      <c r="A75" s="10" t="s">
        <v>21</v>
      </c>
      <c r="B75" s="11" t="s">
        <v>130</v>
      </c>
      <c r="C75" s="14" t="s">
        <v>133</v>
      </c>
      <c r="D75" s="13" t="s">
        <v>134</v>
      </c>
      <c r="E75" s="38">
        <v>0</v>
      </c>
      <c r="F75" s="39">
        <v>0</v>
      </c>
    </row>
    <row r="76" spans="1:6" ht="22.5" x14ac:dyDescent="0.25">
      <c r="A76" s="10" t="s">
        <v>21</v>
      </c>
      <c r="B76" s="11" t="s">
        <v>135</v>
      </c>
      <c r="C76" s="12" t="s">
        <v>136</v>
      </c>
      <c r="D76" s="13" t="s">
        <v>137</v>
      </c>
      <c r="E76" s="38">
        <v>61</v>
      </c>
      <c r="F76" s="39">
        <v>9</v>
      </c>
    </row>
    <row r="77" spans="1:6" x14ac:dyDescent="0.25">
      <c r="A77" s="10" t="s">
        <v>21</v>
      </c>
      <c r="B77" s="11" t="s">
        <v>138</v>
      </c>
      <c r="C77" s="14" t="s">
        <v>139</v>
      </c>
      <c r="D77" s="13" t="s">
        <v>140</v>
      </c>
      <c r="E77" s="38">
        <v>0</v>
      </c>
      <c r="F77" s="39">
        <v>0</v>
      </c>
    </row>
    <row r="78" spans="1:6" x14ac:dyDescent="0.25">
      <c r="A78" s="10" t="s">
        <v>21</v>
      </c>
      <c r="B78" s="11" t="s">
        <v>138</v>
      </c>
      <c r="C78" s="14" t="s">
        <v>141</v>
      </c>
      <c r="D78" s="13" t="s">
        <v>142</v>
      </c>
      <c r="E78" s="38">
        <v>9</v>
      </c>
      <c r="F78" s="39">
        <v>9</v>
      </c>
    </row>
    <row r="79" spans="1:6" x14ac:dyDescent="0.25">
      <c r="A79" s="10" t="s">
        <v>21</v>
      </c>
      <c r="B79" s="11" t="s">
        <v>143</v>
      </c>
      <c r="C79" s="14" t="s">
        <v>144</v>
      </c>
      <c r="D79" s="13" t="s">
        <v>145</v>
      </c>
      <c r="E79" s="38">
        <v>52</v>
      </c>
      <c r="F79" s="39">
        <v>0</v>
      </c>
    </row>
    <row r="80" spans="1:6" x14ac:dyDescent="0.25">
      <c r="A80" s="10" t="s">
        <v>17</v>
      </c>
      <c r="B80" s="11" t="s">
        <v>146</v>
      </c>
      <c r="C80" s="12" t="s">
        <v>147</v>
      </c>
      <c r="D80" s="13" t="s">
        <v>148</v>
      </c>
      <c r="E80" s="38">
        <v>2</v>
      </c>
      <c r="F80" s="39">
        <v>0</v>
      </c>
    </row>
    <row r="81" spans="1:6" x14ac:dyDescent="0.25">
      <c r="A81" s="10" t="s">
        <v>17</v>
      </c>
      <c r="B81" s="11" t="s">
        <v>149</v>
      </c>
      <c r="C81" s="12" t="s">
        <v>150</v>
      </c>
      <c r="D81" s="13" t="s">
        <v>151</v>
      </c>
      <c r="E81" s="38">
        <v>0</v>
      </c>
      <c r="F81" s="39">
        <v>0</v>
      </c>
    </row>
    <row r="82" spans="1:6" x14ac:dyDescent="0.25">
      <c r="A82" s="10" t="s">
        <v>17</v>
      </c>
      <c r="B82" s="11" t="s">
        <v>152</v>
      </c>
      <c r="C82" s="12" t="s">
        <v>153</v>
      </c>
      <c r="D82" s="13" t="s">
        <v>154</v>
      </c>
      <c r="E82" s="38">
        <v>0</v>
      </c>
      <c r="F82" s="39">
        <v>0</v>
      </c>
    </row>
    <row r="83" spans="1:6" ht="22.5" x14ac:dyDescent="0.25">
      <c r="A83" s="10" t="s">
        <v>21</v>
      </c>
      <c r="B83" s="11" t="s">
        <v>155</v>
      </c>
      <c r="C83" s="12" t="s">
        <v>156</v>
      </c>
      <c r="D83" s="13" t="s">
        <v>157</v>
      </c>
      <c r="E83" s="38">
        <v>63</v>
      </c>
      <c r="F83" s="39">
        <v>9</v>
      </c>
    </row>
    <row r="84" spans="1:6" ht="22.5" x14ac:dyDescent="0.25">
      <c r="A84" s="10" t="s">
        <v>21</v>
      </c>
      <c r="B84" s="11" t="s">
        <v>158</v>
      </c>
      <c r="C84" s="12" t="s">
        <v>159</v>
      </c>
      <c r="D84" s="13" t="s">
        <v>160</v>
      </c>
      <c r="E84" s="38">
        <v>-3766</v>
      </c>
      <c r="F84" s="39">
        <v>-3692</v>
      </c>
    </row>
    <row r="85" spans="1:6" ht="22.5" x14ac:dyDescent="0.25">
      <c r="A85" s="10" t="s">
        <v>161</v>
      </c>
      <c r="B85" s="11" t="s">
        <v>162</v>
      </c>
      <c r="C85" s="12" t="s">
        <v>163</v>
      </c>
      <c r="D85" s="13" t="s">
        <v>164</v>
      </c>
      <c r="E85" s="38">
        <v>9252</v>
      </c>
      <c r="F85" s="39">
        <v>9252</v>
      </c>
    </row>
    <row r="86" spans="1:6" x14ac:dyDescent="0.25">
      <c r="A86" s="10" t="s">
        <v>161</v>
      </c>
      <c r="B86" s="11" t="s">
        <v>165</v>
      </c>
      <c r="C86" s="14" t="s">
        <v>166</v>
      </c>
      <c r="D86" s="13" t="s">
        <v>167</v>
      </c>
      <c r="E86" s="38">
        <v>9252</v>
      </c>
      <c r="F86" s="39">
        <v>9252</v>
      </c>
    </row>
    <row r="87" spans="1:6" x14ac:dyDescent="0.25">
      <c r="A87" s="10" t="s">
        <v>161</v>
      </c>
      <c r="B87" s="11" t="s">
        <v>165</v>
      </c>
      <c r="C87" s="14" t="s">
        <v>168</v>
      </c>
      <c r="D87" s="13" t="s">
        <v>169</v>
      </c>
      <c r="E87" s="38">
        <v>0</v>
      </c>
      <c r="F87" s="39">
        <v>0</v>
      </c>
    </row>
    <row r="88" spans="1:6" x14ac:dyDescent="0.25">
      <c r="A88" s="10" t="s">
        <v>21</v>
      </c>
      <c r="B88" s="11" t="s">
        <v>170</v>
      </c>
      <c r="C88" s="12" t="s">
        <v>171</v>
      </c>
      <c r="D88" s="13" t="s">
        <v>172</v>
      </c>
      <c r="E88" s="38">
        <v>0</v>
      </c>
      <c r="F88" s="39">
        <v>0</v>
      </c>
    </row>
    <row r="89" spans="1:6" ht="22.5" x14ac:dyDescent="0.25">
      <c r="A89" s="10" t="s">
        <v>161</v>
      </c>
      <c r="B89" s="11" t="s">
        <v>173</v>
      </c>
      <c r="C89" s="12" t="s">
        <v>174</v>
      </c>
      <c r="D89" s="13" t="s">
        <v>175</v>
      </c>
      <c r="E89" s="38">
        <v>0</v>
      </c>
      <c r="F89" s="39">
        <v>0</v>
      </c>
    </row>
    <row r="90" spans="1:6" x14ac:dyDescent="0.25">
      <c r="A90" s="10" t="s">
        <v>21</v>
      </c>
      <c r="B90" s="11" t="s">
        <v>176</v>
      </c>
      <c r="C90" s="14" t="s">
        <v>177</v>
      </c>
      <c r="D90" s="13" t="s">
        <v>178</v>
      </c>
      <c r="E90" s="38">
        <v>0</v>
      </c>
      <c r="F90" s="39">
        <v>0</v>
      </c>
    </row>
    <row r="91" spans="1:6" x14ac:dyDescent="0.25">
      <c r="A91" s="10" t="s">
        <v>161</v>
      </c>
      <c r="B91" s="11" t="s">
        <v>176</v>
      </c>
      <c r="C91" s="14" t="s">
        <v>179</v>
      </c>
      <c r="D91" s="13" t="s">
        <v>180</v>
      </c>
      <c r="E91" s="38">
        <v>0</v>
      </c>
      <c r="F91" s="39">
        <v>0</v>
      </c>
    </row>
    <row r="92" spans="1:6" x14ac:dyDescent="0.25">
      <c r="A92" s="10" t="s">
        <v>161</v>
      </c>
      <c r="B92" s="11" t="s">
        <v>176</v>
      </c>
      <c r="C92" s="14" t="s">
        <v>181</v>
      </c>
      <c r="D92" s="13" t="s">
        <v>182</v>
      </c>
      <c r="E92" s="38">
        <v>0</v>
      </c>
      <c r="F92" s="39">
        <v>0</v>
      </c>
    </row>
    <row r="93" spans="1:6" x14ac:dyDescent="0.25">
      <c r="A93" s="10" t="s">
        <v>161</v>
      </c>
      <c r="B93" s="11" t="s">
        <v>176</v>
      </c>
      <c r="C93" s="14" t="s">
        <v>183</v>
      </c>
      <c r="D93" s="13" t="s">
        <v>184</v>
      </c>
      <c r="E93" s="38">
        <v>0</v>
      </c>
      <c r="F93" s="39">
        <v>0</v>
      </c>
    </row>
    <row r="94" spans="1:6" x14ac:dyDescent="0.25">
      <c r="A94" s="10" t="s">
        <v>161</v>
      </c>
      <c r="B94" s="11" t="s">
        <v>176</v>
      </c>
      <c r="C94" s="14" t="s">
        <v>185</v>
      </c>
      <c r="D94" s="13" t="s">
        <v>186</v>
      </c>
      <c r="E94" s="38">
        <v>0</v>
      </c>
      <c r="F94" s="39">
        <v>0</v>
      </c>
    </row>
    <row r="95" spans="1:6" x14ac:dyDescent="0.25">
      <c r="A95" s="10" t="s">
        <v>187</v>
      </c>
      <c r="B95" s="11" t="s">
        <v>188</v>
      </c>
      <c r="C95" s="12" t="s">
        <v>189</v>
      </c>
      <c r="D95" s="13" t="s">
        <v>190</v>
      </c>
      <c r="E95" s="38">
        <v>5</v>
      </c>
      <c r="F95" s="39">
        <v>5</v>
      </c>
    </row>
    <row r="96" spans="1:6" x14ac:dyDescent="0.25">
      <c r="A96" s="10" t="s">
        <v>187</v>
      </c>
      <c r="B96" s="11" t="s">
        <v>191</v>
      </c>
      <c r="C96" s="12" t="s">
        <v>192</v>
      </c>
      <c r="D96" s="13" t="s">
        <v>193</v>
      </c>
      <c r="E96" s="38"/>
      <c r="F96" s="39"/>
    </row>
    <row r="97" spans="1:6" x14ac:dyDescent="0.25">
      <c r="A97" s="10" t="s">
        <v>21</v>
      </c>
      <c r="B97" s="11" t="s">
        <v>194</v>
      </c>
      <c r="C97" s="12" t="s">
        <v>195</v>
      </c>
      <c r="D97" s="13" t="s">
        <v>196</v>
      </c>
      <c r="E97" s="38">
        <v>0</v>
      </c>
      <c r="F97" s="39">
        <v>0</v>
      </c>
    </row>
    <row r="98" spans="1:6" x14ac:dyDescent="0.25">
      <c r="A98" s="10" t="s">
        <v>21</v>
      </c>
      <c r="B98" s="11" t="s">
        <v>194</v>
      </c>
      <c r="C98" s="12" t="s">
        <v>197</v>
      </c>
      <c r="D98" s="13" t="s">
        <v>198</v>
      </c>
      <c r="E98" s="38">
        <v>12949</v>
      </c>
      <c r="F98" s="39">
        <v>11926</v>
      </c>
    </row>
    <row r="99" spans="1:6" x14ac:dyDescent="0.25">
      <c r="A99" s="10" t="s">
        <v>21</v>
      </c>
      <c r="B99" s="11" t="s">
        <v>194</v>
      </c>
      <c r="C99" s="12" t="s">
        <v>199</v>
      </c>
      <c r="D99" s="13" t="s">
        <v>200</v>
      </c>
      <c r="E99" s="38">
        <v>0</v>
      </c>
      <c r="F99" s="39">
        <v>0</v>
      </c>
    </row>
    <row r="100" spans="1:6" x14ac:dyDescent="0.25">
      <c r="A100" s="10" t="s">
        <v>21</v>
      </c>
      <c r="B100" s="11" t="s">
        <v>194</v>
      </c>
      <c r="C100" s="12" t="s">
        <v>201</v>
      </c>
      <c r="D100" s="13" t="s">
        <v>202</v>
      </c>
      <c r="E100" s="38">
        <v>74</v>
      </c>
      <c r="F100" s="39">
        <v>1023</v>
      </c>
    </row>
    <row r="101" spans="1:6" ht="33.75" x14ac:dyDescent="0.25">
      <c r="A101" s="10" t="s">
        <v>17</v>
      </c>
      <c r="B101" s="11" t="s">
        <v>203</v>
      </c>
      <c r="C101" s="12" t="s">
        <v>204</v>
      </c>
      <c r="D101" s="13" t="s">
        <v>205</v>
      </c>
      <c r="E101" s="38">
        <v>0</v>
      </c>
      <c r="F101" s="39">
        <v>0</v>
      </c>
    </row>
    <row r="102" spans="1:6" x14ac:dyDescent="0.25">
      <c r="A102" s="10" t="s">
        <v>17</v>
      </c>
      <c r="B102" s="11" t="s">
        <v>206</v>
      </c>
      <c r="C102" s="14" t="s">
        <v>207</v>
      </c>
      <c r="D102" s="13" t="s">
        <v>208</v>
      </c>
      <c r="E102" s="38">
        <v>0</v>
      </c>
      <c r="F102" s="39">
        <v>0</v>
      </c>
    </row>
    <row r="103" spans="1:6" x14ac:dyDescent="0.25">
      <c r="A103" s="10" t="s">
        <v>17</v>
      </c>
      <c r="B103" s="11" t="s">
        <v>206</v>
      </c>
      <c r="C103" s="14" t="s">
        <v>209</v>
      </c>
      <c r="D103" s="13" t="s">
        <v>210</v>
      </c>
      <c r="E103" s="38">
        <v>0</v>
      </c>
      <c r="F103" s="39">
        <v>0</v>
      </c>
    </row>
    <row r="104" spans="1:6" ht="22.5" x14ac:dyDescent="0.25">
      <c r="A104" s="10" t="s">
        <v>10</v>
      </c>
      <c r="B104" s="11" t="s">
        <v>211</v>
      </c>
      <c r="C104" s="12" t="s">
        <v>212</v>
      </c>
      <c r="D104" s="13" t="s">
        <v>213</v>
      </c>
      <c r="E104" s="38">
        <v>0</v>
      </c>
      <c r="F104" s="39">
        <v>0</v>
      </c>
    </row>
    <row r="105" spans="1:6" ht="22.5" x14ac:dyDescent="0.25">
      <c r="A105" s="10" t="s">
        <v>21</v>
      </c>
      <c r="B105" s="11" t="s">
        <v>214</v>
      </c>
      <c r="C105" s="12" t="s">
        <v>215</v>
      </c>
      <c r="D105" s="13" t="s">
        <v>216</v>
      </c>
      <c r="E105" s="38">
        <v>0</v>
      </c>
      <c r="F105" s="39">
        <v>0</v>
      </c>
    </row>
    <row r="106" spans="1:6" x14ac:dyDescent="0.25">
      <c r="A106" s="10" t="s">
        <v>21</v>
      </c>
      <c r="B106" s="11" t="s">
        <v>214</v>
      </c>
      <c r="C106" s="14" t="s">
        <v>217</v>
      </c>
      <c r="D106" s="13" t="s">
        <v>218</v>
      </c>
      <c r="E106" s="38">
        <v>0</v>
      </c>
      <c r="F106" s="39">
        <v>0</v>
      </c>
    </row>
    <row r="107" spans="1:6" x14ac:dyDescent="0.25">
      <c r="A107" s="10" t="s">
        <v>21</v>
      </c>
      <c r="B107" s="11" t="s">
        <v>214</v>
      </c>
      <c r="C107" s="14" t="s">
        <v>219</v>
      </c>
      <c r="D107" s="13" t="s">
        <v>220</v>
      </c>
      <c r="E107" s="38">
        <v>0</v>
      </c>
      <c r="F107" s="39">
        <v>0</v>
      </c>
    </row>
    <row r="108" spans="1:6" x14ac:dyDescent="0.25">
      <c r="A108" s="10" t="s">
        <v>21</v>
      </c>
      <c r="B108" s="11" t="s">
        <v>214</v>
      </c>
      <c r="C108" s="14" t="s">
        <v>221</v>
      </c>
      <c r="D108" s="13" t="s">
        <v>222</v>
      </c>
      <c r="E108" s="38">
        <v>0</v>
      </c>
      <c r="F108" s="39">
        <v>0</v>
      </c>
    </row>
    <row r="109" spans="1:6" ht="22.5" x14ac:dyDescent="0.25">
      <c r="A109" s="10" t="s">
        <v>21</v>
      </c>
      <c r="B109" s="11" t="s">
        <v>223</v>
      </c>
      <c r="C109" s="12" t="s">
        <v>224</v>
      </c>
      <c r="D109" s="13" t="s">
        <v>225</v>
      </c>
      <c r="E109" s="38">
        <v>0</v>
      </c>
      <c r="F109" s="39">
        <v>0</v>
      </c>
    </row>
    <row r="110" spans="1:6" x14ac:dyDescent="0.25">
      <c r="A110" s="10" t="s">
        <v>21</v>
      </c>
      <c r="B110" s="11" t="s">
        <v>223</v>
      </c>
      <c r="C110" s="14" t="s">
        <v>226</v>
      </c>
      <c r="D110" s="13" t="s">
        <v>227</v>
      </c>
      <c r="E110" s="38">
        <v>0</v>
      </c>
      <c r="F110" s="39">
        <v>0</v>
      </c>
    </row>
    <row r="111" spans="1:6" x14ac:dyDescent="0.25">
      <c r="A111" s="10" t="s">
        <v>21</v>
      </c>
      <c r="B111" s="11" t="s">
        <v>223</v>
      </c>
      <c r="C111" s="14" t="s">
        <v>228</v>
      </c>
      <c r="D111" s="13" t="s">
        <v>229</v>
      </c>
      <c r="E111" s="38">
        <v>0</v>
      </c>
      <c r="F111" s="39">
        <v>0</v>
      </c>
    </row>
    <row r="112" spans="1:6" x14ac:dyDescent="0.25">
      <c r="A112" s="10" t="s">
        <v>21</v>
      </c>
      <c r="B112" s="11" t="s">
        <v>223</v>
      </c>
      <c r="C112" s="14" t="s">
        <v>230</v>
      </c>
      <c r="D112" s="13" t="s">
        <v>231</v>
      </c>
      <c r="E112" s="38">
        <v>0</v>
      </c>
      <c r="F112" s="39">
        <v>0</v>
      </c>
    </row>
    <row r="113" spans="1:6" x14ac:dyDescent="0.25">
      <c r="A113" s="10" t="s">
        <v>10</v>
      </c>
      <c r="B113" s="11" t="s">
        <v>223</v>
      </c>
      <c r="C113" s="12" t="s">
        <v>232</v>
      </c>
      <c r="D113" s="13" t="s">
        <v>233</v>
      </c>
      <c r="E113" s="38">
        <v>0</v>
      </c>
      <c r="F113" s="39">
        <v>0</v>
      </c>
    </row>
    <row r="114" spans="1:6" ht="22.5" x14ac:dyDescent="0.25">
      <c r="A114" s="10" t="s">
        <v>17</v>
      </c>
      <c r="B114" s="11" t="s">
        <v>234</v>
      </c>
      <c r="C114" s="12" t="s">
        <v>235</v>
      </c>
      <c r="D114" s="13" t="s">
        <v>236</v>
      </c>
      <c r="E114" s="38">
        <v>3829</v>
      </c>
      <c r="F114" s="39">
        <v>3701</v>
      </c>
    </row>
    <row r="115" spans="1:6" x14ac:dyDescent="0.25">
      <c r="A115" s="10" t="s">
        <v>17</v>
      </c>
      <c r="B115" s="11" t="s">
        <v>237</v>
      </c>
      <c r="C115" s="12" t="s">
        <v>238</v>
      </c>
      <c r="D115" s="13" t="s">
        <v>239</v>
      </c>
      <c r="E115" s="38">
        <v>0</v>
      </c>
      <c r="F115" s="39">
        <v>0</v>
      </c>
    </row>
    <row r="116" spans="1:6" ht="22.5" x14ac:dyDescent="0.25">
      <c r="A116" s="10" t="s">
        <v>21</v>
      </c>
      <c r="B116" s="11" t="s">
        <v>240</v>
      </c>
      <c r="C116" s="12" t="s">
        <v>241</v>
      </c>
      <c r="D116" s="13" t="s">
        <v>242</v>
      </c>
      <c r="E116" s="38">
        <v>946</v>
      </c>
      <c r="F116" s="39">
        <v>927</v>
      </c>
    </row>
    <row r="117" spans="1:6" x14ac:dyDescent="0.25">
      <c r="A117" s="10" t="s">
        <v>21</v>
      </c>
      <c r="B117" s="11" t="s">
        <v>243</v>
      </c>
      <c r="C117" s="14" t="s">
        <v>244</v>
      </c>
      <c r="D117" s="13" t="s">
        <v>245</v>
      </c>
      <c r="E117" s="38">
        <v>0</v>
      </c>
      <c r="F117" s="39">
        <v>0</v>
      </c>
    </row>
    <row r="118" spans="1:6" x14ac:dyDescent="0.25">
      <c r="A118" s="10" t="s">
        <v>21</v>
      </c>
      <c r="B118" s="11" t="s">
        <v>243</v>
      </c>
      <c r="C118" s="14" t="s">
        <v>246</v>
      </c>
      <c r="D118" s="13" t="s">
        <v>247</v>
      </c>
      <c r="E118" s="38">
        <v>0</v>
      </c>
      <c r="F118" s="39">
        <v>0</v>
      </c>
    </row>
    <row r="119" spans="1:6" x14ac:dyDescent="0.25">
      <c r="A119" s="10" t="s">
        <v>21</v>
      </c>
      <c r="B119" s="11" t="s">
        <v>243</v>
      </c>
      <c r="C119" s="14" t="s">
        <v>248</v>
      </c>
      <c r="D119" s="13" t="s">
        <v>249</v>
      </c>
      <c r="E119" s="38">
        <v>946</v>
      </c>
      <c r="F119" s="39">
        <v>927</v>
      </c>
    </row>
    <row r="120" spans="1:6" ht="22.5" x14ac:dyDescent="0.25">
      <c r="A120" s="10" t="s">
        <v>21</v>
      </c>
      <c r="B120" s="11" t="s">
        <v>250</v>
      </c>
      <c r="C120" s="12" t="s">
        <v>251</v>
      </c>
      <c r="D120" s="13" t="s">
        <v>252</v>
      </c>
      <c r="E120" s="38">
        <v>2883</v>
      </c>
      <c r="F120" s="39">
        <v>2774</v>
      </c>
    </row>
    <row r="121" spans="1:6" x14ac:dyDescent="0.25">
      <c r="A121" s="10" t="s">
        <v>21</v>
      </c>
      <c r="B121" s="11" t="s">
        <v>253</v>
      </c>
      <c r="C121" s="14" t="s">
        <v>254</v>
      </c>
      <c r="D121" s="13" t="s">
        <v>255</v>
      </c>
      <c r="E121" s="38">
        <v>0</v>
      </c>
      <c r="F121" s="39">
        <v>0</v>
      </c>
    </row>
    <row r="122" spans="1:6" x14ac:dyDescent="0.25">
      <c r="A122" s="10" t="s">
        <v>21</v>
      </c>
      <c r="B122" s="11" t="s">
        <v>253</v>
      </c>
      <c r="C122" s="14" t="s">
        <v>256</v>
      </c>
      <c r="D122" s="13" t="s">
        <v>257</v>
      </c>
      <c r="E122" s="38">
        <v>434</v>
      </c>
      <c r="F122" s="39">
        <v>305</v>
      </c>
    </row>
    <row r="123" spans="1:6" x14ac:dyDescent="0.25">
      <c r="A123" s="10" t="s">
        <v>21</v>
      </c>
      <c r="B123" s="11" t="s">
        <v>258</v>
      </c>
      <c r="C123" s="14" t="s">
        <v>259</v>
      </c>
      <c r="D123" s="13" t="s">
        <v>260</v>
      </c>
      <c r="E123" s="38">
        <v>2449</v>
      </c>
      <c r="F123" s="39">
        <v>2469</v>
      </c>
    </row>
    <row r="124" spans="1:6" x14ac:dyDescent="0.25">
      <c r="A124" s="10" t="s">
        <v>17</v>
      </c>
      <c r="B124" s="11" t="s">
        <v>261</v>
      </c>
      <c r="C124" s="12" t="s">
        <v>262</v>
      </c>
      <c r="D124" s="13" t="s">
        <v>263</v>
      </c>
      <c r="E124" s="38">
        <v>0</v>
      </c>
      <c r="F124" s="39">
        <v>0</v>
      </c>
    </row>
    <row r="125" spans="1:6" ht="15.75" thickBot="1" x14ac:dyDescent="0.3">
      <c r="A125" s="10" t="s">
        <v>17</v>
      </c>
      <c r="B125" s="15" t="s">
        <v>152</v>
      </c>
      <c r="C125" s="16" t="s">
        <v>264</v>
      </c>
      <c r="D125" s="17" t="s">
        <v>265</v>
      </c>
      <c r="E125" s="40">
        <v>0</v>
      </c>
      <c r="F125" s="41">
        <v>0</v>
      </c>
    </row>
  </sheetData>
  <mergeCells count="7">
    <mergeCell ref="B23:F23"/>
    <mergeCell ref="B24:F24"/>
    <mergeCell ref="A26:A27"/>
    <mergeCell ref="B26:B27"/>
    <mergeCell ref="C26:C27"/>
    <mergeCell ref="D26:D27"/>
    <mergeCell ref="E26:F26"/>
  </mergeCells>
  <conditionalFormatting sqref="C29 E29:F29">
    <cfRule type="expression" dxfId="30" priority="17" stopIfTrue="1">
      <formula>#REF!=1</formula>
    </cfRule>
  </conditionalFormatting>
  <conditionalFormatting sqref="E29:F29">
    <cfRule type="expression" dxfId="29" priority="18">
      <formula>#REF!=2</formula>
    </cfRule>
  </conditionalFormatting>
  <conditionalFormatting sqref="C30:C84 E30:F85">
    <cfRule type="expression" dxfId="28" priority="15" stopIfTrue="1">
      <formula>#REF!=1</formula>
    </cfRule>
  </conditionalFormatting>
  <conditionalFormatting sqref="E30:F85">
    <cfRule type="expression" dxfId="27" priority="16">
      <formula>#REF!=2</formula>
    </cfRule>
  </conditionalFormatting>
  <conditionalFormatting sqref="C86 E86:F86">
    <cfRule type="expression" dxfId="26" priority="13" stopIfTrue="1">
      <formula>#REF!=1</formula>
    </cfRule>
  </conditionalFormatting>
  <conditionalFormatting sqref="E86:F86">
    <cfRule type="expression" dxfId="25" priority="14">
      <formula>#REF!=2</formula>
    </cfRule>
  </conditionalFormatting>
  <conditionalFormatting sqref="C87 E87:F87">
    <cfRule type="expression" dxfId="24" priority="11" stopIfTrue="1">
      <formula>#REF!=1</formula>
    </cfRule>
  </conditionalFormatting>
  <conditionalFormatting sqref="E87:F87">
    <cfRule type="expression" dxfId="23" priority="12">
      <formula>#REF!=2</formula>
    </cfRule>
  </conditionalFormatting>
  <conditionalFormatting sqref="E95:F98 E90:F93 E88:F88">
    <cfRule type="expression" dxfId="22" priority="9">
      <formula>#REF!=2</formula>
    </cfRule>
  </conditionalFormatting>
  <conditionalFormatting sqref="C95:C98 E95:F98 E90:F93 C90:C93 C88 E88:F88">
    <cfRule type="expression" dxfId="21" priority="10" stopIfTrue="1">
      <formula>#REF!=1</formula>
    </cfRule>
  </conditionalFormatting>
  <conditionalFormatting sqref="E94:F94 E89:F89">
    <cfRule type="expression" dxfId="20" priority="7">
      <formula>#REF!=2</formula>
    </cfRule>
  </conditionalFormatting>
  <conditionalFormatting sqref="C94 E94:F94 C89 E89:F89">
    <cfRule type="expression" dxfId="19" priority="8" stopIfTrue="1">
      <formula>#REF!=1</formula>
    </cfRule>
  </conditionalFormatting>
  <conditionalFormatting sqref="E99:F99">
    <cfRule type="expression" dxfId="18" priority="5">
      <formula>#REF!=2</formula>
    </cfRule>
  </conditionalFormatting>
  <conditionalFormatting sqref="E99:F99 C99">
    <cfRule type="expression" dxfId="17" priority="6" stopIfTrue="1">
      <formula>#REF!=1</formula>
    </cfRule>
  </conditionalFormatting>
  <conditionalFormatting sqref="E100:F100">
    <cfRule type="expression" dxfId="16" priority="3">
      <formula>#REF!=2</formula>
    </cfRule>
  </conditionalFormatting>
  <conditionalFormatting sqref="E100:F100 C100">
    <cfRule type="expression" dxfId="15" priority="4" stopIfTrue="1">
      <formula>#REF!=1</formula>
    </cfRule>
  </conditionalFormatting>
  <conditionalFormatting sqref="E101:F125">
    <cfRule type="expression" dxfId="14" priority="1">
      <formula>#REF!=2</formula>
    </cfRule>
  </conditionalFormatting>
  <conditionalFormatting sqref="C101:C125 E101:F125">
    <cfRule type="expression" dxfId="13" priority="2" stopIfTrue="1">
      <formula>#REF!=1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Group Box 3">
              <controlPr defaultSize="0" autoFill="0" autoPict="0">
                <anchor moveWithCells="1">
                  <from>
                    <xdr:col>0</xdr:col>
                    <xdr:colOff>200025</xdr:colOff>
                    <xdr:row>4</xdr:row>
                    <xdr:rowOff>85725</xdr:rowOff>
                  </from>
                  <to>
                    <xdr:col>2</xdr:col>
                    <xdr:colOff>2952750</xdr:colOff>
                    <xdr:row>16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Option Button 10">
              <controlPr defaultSize="0" autoFill="0" autoLine="0" autoPict="0">
                <anchor moveWithCells="1">
                  <from>
                    <xdr:col>0</xdr:col>
                    <xdr:colOff>314325</xdr:colOff>
                    <xdr:row>5</xdr:row>
                    <xdr:rowOff>9525</xdr:rowOff>
                  </from>
                  <to>
                    <xdr:col>2</xdr:col>
                    <xdr:colOff>2619375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Option Button 11">
              <controlPr defaultSize="0" autoFill="0" autoLine="0" autoPict="0">
                <anchor moveWithCells="1">
                  <from>
                    <xdr:col>0</xdr:col>
                    <xdr:colOff>314325</xdr:colOff>
                    <xdr:row>6</xdr:row>
                    <xdr:rowOff>85725</xdr:rowOff>
                  </from>
                  <to>
                    <xdr:col>2</xdr:col>
                    <xdr:colOff>2619375</xdr:colOff>
                    <xdr:row>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Option Button 13">
              <controlPr defaultSize="0" autoFill="0" autoLine="0" autoPict="0">
                <anchor moveWithCells="1">
                  <from>
                    <xdr:col>0</xdr:col>
                    <xdr:colOff>323850</xdr:colOff>
                    <xdr:row>8</xdr:row>
                    <xdr:rowOff>19050</xdr:rowOff>
                  </from>
                  <to>
                    <xdr:col>2</xdr:col>
                    <xdr:colOff>2628900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Option Button 14">
              <controlPr defaultSize="0" autoFill="0" autoLine="0" autoPict="0">
                <anchor moveWithCells="1">
                  <from>
                    <xdr:col>0</xdr:col>
                    <xdr:colOff>333375</xdr:colOff>
                    <xdr:row>9</xdr:row>
                    <xdr:rowOff>104775</xdr:rowOff>
                  </from>
                  <to>
                    <xdr:col>2</xdr:col>
                    <xdr:colOff>2638425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Option Button 15">
              <controlPr defaultSize="0" autoFill="0" autoLine="0" autoPict="0">
                <anchor moveWithCells="1">
                  <from>
                    <xdr:col>0</xdr:col>
                    <xdr:colOff>333375</xdr:colOff>
                    <xdr:row>11</xdr:row>
                    <xdr:rowOff>19050</xdr:rowOff>
                  </from>
                  <to>
                    <xdr:col>2</xdr:col>
                    <xdr:colOff>2638425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Option Button 16">
              <controlPr defaultSize="0" autoFill="0" autoLine="0" autoPict="0">
                <anchor moveWithCells="1">
                  <from>
                    <xdr:col>0</xdr:col>
                    <xdr:colOff>323850</xdr:colOff>
                    <xdr:row>12</xdr:row>
                    <xdr:rowOff>133350</xdr:rowOff>
                  </from>
                  <to>
                    <xdr:col>2</xdr:col>
                    <xdr:colOff>2628900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Option Button 17">
              <controlPr defaultSize="0" autoFill="0" autoLine="0" autoPict="0">
                <anchor moveWithCells="1">
                  <from>
                    <xdr:col>0</xdr:col>
                    <xdr:colOff>323850</xdr:colOff>
                    <xdr:row>14</xdr:row>
                    <xdr:rowOff>38100</xdr:rowOff>
                  </from>
                  <to>
                    <xdr:col>2</xdr:col>
                    <xdr:colOff>2628900</xdr:colOff>
                    <xdr:row>15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F87"/>
  <sheetViews>
    <sheetView workbookViewId="0"/>
  </sheetViews>
  <sheetFormatPr defaultRowHeight="15" x14ac:dyDescent="0.25"/>
  <cols>
    <col min="1" max="1" width="20.42578125" customWidth="1"/>
    <col min="2" max="2" width="22.7109375" customWidth="1"/>
    <col min="3" max="3" width="54.42578125" style="20" customWidth="1"/>
    <col min="5" max="5" width="16.7109375" customWidth="1"/>
    <col min="6" max="6" width="19.28515625" customWidth="1"/>
  </cols>
  <sheetData>
    <row r="2" spans="1:6" ht="23.25" x14ac:dyDescent="0.35">
      <c r="A2" s="1"/>
      <c r="B2" s="59" t="s">
        <v>267</v>
      </c>
      <c r="C2" s="59"/>
      <c r="D2" s="59"/>
      <c r="E2" s="59"/>
      <c r="F2" s="59"/>
    </row>
    <row r="3" spans="1:6" ht="18" x14ac:dyDescent="0.25">
      <c r="A3" s="1"/>
      <c r="B3" s="60" t="s">
        <v>455</v>
      </c>
      <c r="C3" s="60"/>
      <c r="D3" s="60"/>
      <c r="E3" s="60"/>
      <c r="F3" s="60"/>
    </row>
    <row r="4" spans="1:6" ht="15.75" thickBot="1" x14ac:dyDescent="0.3">
      <c r="A4" s="1"/>
      <c r="B4" s="2"/>
      <c r="C4" s="18"/>
      <c r="D4" s="2"/>
      <c r="E4" s="2"/>
      <c r="F4" s="3" t="s">
        <v>1</v>
      </c>
    </row>
    <row r="5" spans="1:6" x14ac:dyDescent="0.25">
      <c r="A5" s="69" t="s">
        <v>2</v>
      </c>
      <c r="B5" s="63" t="s">
        <v>3</v>
      </c>
      <c r="C5" s="65" t="s">
        <v>4</v>
      </c>
      <c r="D5" s="65" t="s">
        <v>5</v>
      </c>
      <c r="E5" s="67" t="s">
        <v>6</v>
      </c>
      <c r="F5" s="68"/>
    </row>
    <row r="6" spans="1:6" x14ac:dyDescent="0.25">
      <c r="A6" s="70"/>
      <c r="B6" s="64"/>
      <c r="C6" s="66"/>
      <c r="D6" s="66"/>
      <c r="E6" s="4" t="s">
        <v>7</v>
      </c>
      <c r="F6" s="5" t="s">
        <v>8</v>
      </c>
    </row>
    <row r="7" spans="1:6" ht="56.25" x14ac:dyDescent="0.25">
      <c r="A7" s="6" t="s">
        <v>9</v>
      </c>
      <c r="B7" s="21">
        <v>1</v>
      </c>
      <c r="C7" s="25">
        <v>2</v>
      </c>
      <c r="D7" s="22">
        <v>3</v>
      </c>
      <c r="E7" s="23">
        <v>4</v>
      </c>
      <c r="F7" s="24">
        <v>5</v>
      </c>
    </row>
    <row r="8" spans="1:6" ht="22.5" x14ac:dyDescent="0.25">
      <c r="A8" s="10" t="s">
        <v>187</v>
      </c>
      <c r="B8" s="11" t="s">
        <v>268</v>
      </c>
      <c r="C8" s="12" t="s">
        <v>269</v>
      </c>
      <c r="D8" s="13" t="s">
        <v>270</v>
      </c>
      <c r="E8" s="42">
        <v>559</v>
      </c>
      <c r="F8" s="39">
        <v>1366</v>
      </c>
    </row>
    <row r="9" spans="1:6" ht="22.5" x14ac:dyDescent="0.25">
      <c r="A9" s="10" t="s">
        <v>21</v>
      </c>
      <c r="B9" s="11" t="s">
        <v>268</v>
      </c>
      <c r="C9" s="12" t="s">
        <v>271</v>
      </c>
      <c r="D9" s="13" t="s">
        <v>272</v>
      </c>
      <c r="E9" s="42">
        <v>559</v>
      </c>
      <c r="F9" s="39">
        <v>1366</v>
      </c>
    </row>
    <row r="10" spans="1:6" x14ac:dyDescent="0.25">
      <c r="A10" s="10" t="s">
        <v>21</v>
      </c>
      <c r="B10" s="11" t="s">
        <v>268</v>
      </c>
      <c r="C10" s="14" t="s">
        <v>273</v>
      </c>
      <c r="D10" s="13" t="s">
        <v>274</v>
      </c>
      <c r="E10" s="42">
        <v>559</v>
      </c>
      <c r="F10" s="39">
        <v>1366</v>
      </c>
    </row>
    <row r="11" spans="1:6" x14ac:dyDescent="0.25">
      <c r="A11" s="10" t="s">
        <v>21</v>
      </c>
      <c r="B11" s="11" t="s">
        <v>268</v>
      </c>
      <c r="C11" s="14" t="s">
        <v>275</v>
      </c>
      <c r="D11" s="13" t="s">
        <v>276</v>
      </c>
      <c r="E11" s="42">
        <v>0</v>
      </c>
      <c r="F11" s="39">
        <v>0</v>
      </c>
    </row>
    <row r="12" spans="1:6" x14ac:dyDescent="0.25">
      <c r="A12" s="10" t="s">
        <v>21</v>
      </c>
      <c r="B12" s="11" t="s">
        <v>268</v>
      </c>
      <c r="C12" s="14" t="s">
        <v>277</v>
      </c>
      <c r="D12" s="13" t="s">
        <v>278</v>
      </c>
      <c r="E12" s="42">
        <v>0</v>
      </c>
      <c r="F12" s="39">
        <v>0</v>
      </c>
    </row>
    <row r="13" spans="1:6" ht="22.5" x14ac:dyDescent="0.25">
      <c r="A13" s="10" t="s">
        <v>21</v>
      </c>
      <c r="B13" s="11" t="s">
        <v>268</v>
      </c>
      <c r="C13" s="12" t="s">
        <v>279</v>
      </c>
      <c r="D13" s="13" t="s">
        <v>280</v>
      </c>
      <c r="E13" s="42">
        <v>0</v>
      </c>
      <c r="F13" s="39">
        <v>0</v>
      </c>
    </row>
    <row r="14" spans="1:6" x14ac:dyDescent="0.25">
      <c r="A14" s="10" t="s">
        <v>21</v>
      </c>
      <c r="B14" s="11" t="s">
        <v>268</v>
      </c>
      <c r="C14" s="14" t="s">
        <v>281</v>
      </c>
      <c r="D14" s="13" t="s">
        <v>282</v>
      </c>
      <c r="E14" s="42">
        <v>0</v>
      </c>
      <c r="F14" s="39">
        <v>0</v>
      </c>
    </row>
    <row r="15" spans="1:6" x14ac:dyDescent="0.25">
      <c r="A15" s="10" t="s">
        <v>21</v>
      </c>
      <c r="B15" s="11" t="s">
        <v>268</v>
      </c>
      <c r="C15" s="14" t="s">
        <v>283</v>
      </c>
      <c r="D15" s="13" t="s">
        <v>284</v>
      </c>
      <c r="E15" s="42">
        <v>0</v>
      </c>
      <c r="F15" s="39">
        <v>0</v>
      </c>
    </row>
    <row r="16" spans="1:6" ht="22.5" x14ac:dyDescent="0.25">
      <c r="A16" s="10" t="s">
        <v>21</v>
      </c>
      <c r="B16" s="11" t="s">
        <v>268</v>
      </c>
      <c r="C16" s="12" t="s">
        <v>285</v>
      </c>
      <c r="D16" s="13" t="s">
        <v>286</v>
      </c>
      <c r="E16" s="42">
        <v>0</v>
      </c>
      <c r="F16" s="39">
        <v>0</v>
      </c>
    </row>
    <row r="17" spans="1:6" x14ac:dyDescent="0.25">
      <c r="A17" s="10" t="s">
        <v>21</v>
      </c>
      <c r="B17" s="11" t="s">
        <v>268</v>
      </c>
      <c r="C17" s="14" t="s">
        <v>281</v>
      </c>
      <c r="D17" s="13" t="s">
        <v>287</v>
      </c>
      <c r="E17" s="42">
        <v>0</v>
      </c>
      <c r="F17" s="39">
        <v>0</v>
      </c>
    </row>
    <row r="18" spans="1:6" x14ac:dyDescent="0.25">
      <c r="A18" s="10" t="s">
        <v>21</v>
      </c>
      <c r="B18" s="11" t="s">
        <v>268</v>
      </c>
      <c r="C18" s="14" t="s">
        <v>283</v>
      </c>
      <c r="D18" s="13" t="s">
        <v>288</v>
      </c>
      <c r="E18" s="42">
        <v>0</v>
      </c>
      <c r="F18" s="39">
        <v>0</v>
      </c>
    </row>
    <row r="19" spans="1:6" ht="22.5" x14ac:dyDescent="0.25">
      <c r="A19" s="10" t="s">
        <v>17</v>
      </c>
      <c r="B19" s="11" t="s">
        <v>289</v>
      </c>
      <c r="C19" s="12" t="s">
        <v>290</v>
      </c>
      <c r="D19" s="13" t="s">
        <v>291</v>
      </c>
      <c r="E19" s="42">
        <v>0</v>
      </c>
      <c r="F19" s="39">
        <v>0</v>
      </c>
    </row>
    <row r="20" spans="1:6" ht="22.5" x14ac:dyDescent="0.25">
      <c r="A20" s="10" t="s">
        <v>17</v>
      </c>
      <c r="B20" s="11" t="s">
        <v>289</v>
      </c>
      <c r="C20" s="12" t="s">
        <v>292</v>
      </c>
      <c r="D20" s="13" t="s">
        <v>293</v>
      </c>
      <c r="E20" s="42">
        <v>0</v>
      </c>
      <c r="F20" s="39">
        <v>0</v>
      </c>
    </row>
    <row r="21" spans="1:6" x14ac:dyDescent="0.25">
      <c r="A21" s="10" t="s">
        <v>17</v>
      </c>
      <c r="B21" s="11" t="s">
        <v>294</v>
      </c>
      <c r="C21" s="12" t="s">
        <v>295</v>
      </c>
      <c r="D21" s="13" t="s">
        <v>296</v>
      </c>
      <c r="E21" s="42">
        <v>0</v>
      </c>
      <c r="F21" s="39">
        <v>0</v>
      </c>
    </row>
    <row r="22" spans="1:6" ht="22.5" x14ac:dyDescent="0.25">
      <c r="A22" s="10" t="s">
        <v>17</v>
      </c>
      <c r="B22" s="11" t="s">
        <v>268</v>
      </c>
      <c r="C22" s="12" t="s">
        <v>297</v>
      </c>
      <c r="D22" s="13" t="s">
        <v>298</v>
      </c>
      <c r="E22" s="42">
        <v>0</v>
      </c>
      <c r="F22" s="39">
        <v>0</v>
      </c>
    </row>
    <row r="23" spans="1:6" x14ac:dyDescent="0.25">
      <c r="A23" s="10" t="s">
        <v>17</v>
      </c>
      <c r="B23" s="11" t="s">
        <v>268</v>
      </c>
      <c r="C23" s="12" t="s">
        <v>299</v>
      </c>
      <c r="D23" s="13" t="s">
        <v>300</v>
      </c>
      <c r="E23" s="42">
        <v>0</v>
      </c>
      <c r="F23" s="39">
        <v>0</v>
      </c>
    </row>
    <row r="24" spans="1:6" ht="22.5" x14ac:dyDescent="0.25">
      <c r="A24" s="10" t="s">
        <v>17</v>
      </c>
      <c r="B24" s="11" t="s">
        <v>301</v>
      </c>
      <c r="C24" s="12" t="s">
        <v>302</v>
      </c>
      <c r="D24" s="13" t="s">
        <v>303</v>
      </c>
      <c r="E24" s="42">
        <v>559</v>
      </c>
      <c r="F24" s="39">
        <v>1366</v>
      </c>
    </row>
    <row r="25" spans="1:6" ht="22.5" x14ac:dyDescent="0.25">
      <c r="A25" s="10" t="s">
        <v>17</v>
      </c>
      <c r="B25" s="11" t="s">
        <v>304</v>
      </c>
      <c r="C25" s="12" t="s">
        <v>305</v>
      </c>
      <c r="D25" s="13" t="s">
        <v>306</v>
      </c>
      <c r="E25" s="42">
        <v>578</v>
      </c>
      <c r="F25" s="39">
        <v>2349</v>
      </c>
    </row>
    <row r="26" spans="1:6" ht="22.5" x14ac:dyDescent="0.25">
      <c r="A26" s="10" t="s">
        <v>17</v>
      </c>
      <c r="B26" s="11" t="s">
        <v>307</v>
      </c>
      <c r="C26" s="12" t="s">
        <v>308</v>
      </c>
      <c r="D26" s="13" t="s">
        <v>309</v>
      </c>
      <c r="E26" s="42">
        <v>578</v>
      </c>
      <c r="F26" s="39">
        <v>1949</v>
      </c>
    </row>
    <row r="27" spans="1:6" x14ac:dyDescent="0.25">
      <c r="A27" s="10" t="s">
        <v>17</v>
      </c>
      <c r="B27" s="11" t="s">
        <v>310</v>
      </c>
      <c r="C27" s="14" t="s">
        <v>311</v>
      </c>
      <c r="D27" s="13" t="s">
        <v>312</v>
      </c>
      <c r="E27" s="42">
        <v>0</v>
      </c>
      <c r="F27" s="39">
        <v>653</v>
      </c>
    </row>
    <row r="28" spans="1:6" ht="22.5" x14ac:dyDescent="0.25">
      <c r="A28" s="10" t="s">
        <v>21</v>
      </c>
      <c r="B28" s="11" t="s">
        <v>313</v>
      </c>
      <c r="C28" s="14" t="s">
        <v>314</v>
      </c>
      <c r="D28" s="13" t="s">
        <v>315</v>
      </c>
      <c r="E28" s="42">
        <v>0</v>
      </c>
      <c r="F28" s="39">
        <v>0</v>
      </c>
    </row>
    <row r="29" spans="1:6" x14ac:dyDescent="0.25">
      <c r="A29" s="10" t="s">
        <v>21</v>
      </c>
      <c r="B29" s="11" t="s">
        <v>316</v>
      </c>
      <c r="C29" s="14" t="s">
        <v>317</v>
      </c>
      <c r="D29" s="13" t="s">
        <v>318</v>
      </c>
      <c r="E29" s="42">
        <v>0</v>
      </c>
      <c r="F29" s="39">
        <v>0</v>
      </c>
    </row>
    <row r="30" spans="1:6" x14ac:dyDescent="0.25">
      <c r="A30" s="10" t="s">
        <v>21</v>
      </c>
      <c r="B30" s="11" t="s">
        <v>316</v>
      </c>
      <c r="C30" s="14" t="s">
        <v>319</v>
      </c>
      <c r="D30" s="13" t="s">
        <v>320</v>
      </c>
      <c r="E30" s="42">
        <v>0</v>
      </c>
      <c r="F30" s="39">
        <v>0</v>
      </c>
    </row>
    <row r="31" spans="1:6" x14ac:dyDescent="0.25">
      <c r="A31" s="10" t="s">
        <v>21</v>
      </c>
      <c r="B31" s="11" t="s">
        <v>316</v>
      </c>
      <c r="C31" s="14" t="s">
        <v>321</v>
      </c>
      <c r="D31" s="13" t="s">
        <v>322</v>
      </c>
      <c r="E31" s="42">
        <v>0</v>
      </c>
      <c r="F31" s="39">
        <v>0</v>
      </c>
    </row>
    <row r="32" spans="1:6" ht="22.5" x14ac:dyDescent="0.25">
      <c r="A32" s="10" t="s">
        <v>21</v>
      </c>
      <c r="B32" s="11" t="s">
        <v>323</v>
      </c>
      <c r="C32" s="14" t="s">
        <v>324</v>
      </c>
      <c r="D32" s="13" t="s">
        <v>325</v>
      </c>
      <c r="E32" s="42">
        <v>578</v>
      </c>
      <c r="F32" s="39">
        <v>1296</v>
      </c>
    </row>
    <row r="33" spans="1:6" x14ac:dyDescent="0.25">
      <c r="A33" s="10" t="s">
        <v>21</v>
      </c>
      <c r="B33" s="11" t="s">
        <v>326</v>
      </c>
      <c r="C33" s="14" t="s">
        <v>327</v>
      </c>
      <c r="D33" s="13" t="s">
        <v>328</v>
      </c>
      <c r="E33" s="42">
        <v>0</v>
      </c>
      <c r="F33" s="39">
        <v>0</v>
      </c>
    </row>
    <row r="34" spans="1:6" x14ac:dyDescent="0.25">
      <c r="A34" s="10" t="s">
        <v>21</v>
      </c>
      <c r="B34" s="11" t="s">
        <v>326</v>
      </c>
      <c r="C34" s="14" t="s">
        <v>329</v>
      </c>
      <c r="D34" s="13" t="s">
        <v>330</v>
      </c>
      <c r="E34" s="42">
        <v>0</v>
      </c>
      <c r="F34" s="39">
        <v>0</v>
      </c>
    </row>
    <row r="35" spans="1:6" x14ac:dyDescent="0.25">
      <c r="A35" s="10" t="s">
        <v>21</v>
      </c>
      <c r="B35" s="11" t="s">
        <v>326</v>
      </c>
      <c r="C35" s="14" t="s">
        <v>331</v>
      </c>
      <c r="D35" s="13" t="s">
        <v>332</v>
      </c>
      <c r="E35" s="42">
        <v>0</v>
      </c>
      <c r="F35" s="39">
        <v>0</v>
      </c>
    </row>
    <row r="36" spans="1:6" x14ac:dyDescent="0.25">
      <c r="A36" s="10" t="s">
        <v>21</v>
      </c>
      <c r="B36" s="11" t="s">
        <v>326</v>
      </c>
      <c r="C36" s="14" t="s">
        <v>333</v>
      </c>
      <c r="D36" s="13" t="s">
        <v>334</v>
      </c>
      <c r="E36" s="42">
        <v>578</v>
      </c>
      <c r="F36" s="39">
        <v>1296</v>
      </c>
    </row>
    <row r="37" spans="1:6" ht="22.5" x14ac:dyDescent="0.25">
      <c r="A37" s="10" t="s">
        <v>17</v>
      </c>
      <c r="B37" s="11" t="s">
        <v>335</v>
      </c>
      <c r="C37" s="12" t="s">
        <v>336</v>
      </c>
      <c r="D37" s="13" t="s">
        <v>337</v>
      </c>
      <c r="E37" s="42">
        <v>0</v>
      </c>
      <c r="F37" s="39">
        <v>0</v>
      </c>
    </row>
    <row r="38" spans="1:6" x14ac:dyDescent="0.25">
      <c r="A38" s="10" t="s">
        <v>17</v>
      </c>
      <c r="B38" s="11" t="s">
        <v>338</v>
      </c>
      <c r="C38" s="14" t="s">
        <v>339</v>
      </c>
      <c r="D38" s="13" t="s">
        <v>340</v>
      </c>
      <c r="E38" s="42">
        <v>0</v>
      </c>
      <c r="F38" s="39">
        <v>0</v>
      </c>
    </row>
    <row r="39" spans="1:6" x14ac:dyDescent="0.25">
      <c r="A39" s="10" t="s">
        <v>17</v>
      </c>
      <c r="B39" s="11" t="s">
        <v>338</v>
      </c>
      <c r="C39" s="14" t="s">
        <v>341</v>
      </c>
      <c r="D39" s="13" t="s">
        <v>342</v>
      </c>
      <c r="E39" s="42">
        <v>0</v>
      </c>
      <c r="F39" s="39">
        <v>0</v>
      </c>
    </row>
    <row r="40" spans="1:6" x14ac:dyDescent="0.25">
      <c r="A40" s="10" t="s">
        <v>17</v>
      </c>
      <c r="B40" s="11" t="s">
        <v>338</v>
      </c>
      <c r="C40" s="14" t="s">
        <v>343</v>
      </c>
      <c r="D40" s="13" t="s">
        <v>344</v>
      </c>
      <c r="E40" s="42">
        <v>0</v>
      </c>
      <c r="F40" s="39">
        <v>0</v>
      </c>
    </row>
    <row r="41" spans="1:6" x14ac:dyDescent="0.25">
      <c r="A41" s="10" t="s">
        <v>17</v>
      </c>
      <c r="B41" s="11" t="s">
        <v>338</v>
      </c>
      <c r="C41" s="14" t="s">
        <v>345</v>
      </c>
      <c r="D41" s="13" t="s">
        <v>346</v>
      </c>
      <c r="E41" s="42">
        <v>0</v>
      </c>
      <c r="F41" s="39">
        <v>0</v>
      </c>
    </row>
    <row r="42" spans="1:6" ht="22.5" x14ac:dyDescent="0.25">
      <c r="A42" s="10" t="s">
        <v>17</v>
      </c>
      <c r="B42" s="11" t="s">
        <v>347</v>
      </c>
      <c r="C42" s="12" t="s">
        <v>348</v>
      </c>
      <c r="D42" s="13" t="s">
        <v>349</v>
      </c>
      <c r="E42" s="42">
        <v>0</v>
      </c>
      <c r="F42" s="39">
        <v>400</v>
      </c>
    </row>
    <row r="43" spans="1:6" x14ac:dyDescent="0.25">
      <c r="A43" s="10" t="s">
        <v>17</v>
      </c>
      <c r="B43" s="11" t="s">
        <v>350</v>
      </c>
      <c r="C43" s="14" t="s">
        <v>351</v>
      </c>
      <c r="D43" s="13" t="s">
        <v>352</v>
      </c>
      <c r="E43" s="42">
        <v>0</v>
      </c>
      <c r="F43" s="39">
        <v>400</v>
      </c>
    </row>
    <row r="44" spans="1:6" ht="22.5" x14ac:dyDescent="0.25">
      <c r="A44" s="10" t="s">
        <v>17</v>
      </c>
      <c r="B44" s="11" t="s">
        <v>353</v>
      </c>
      <c r="C44" s="14" t="s">
        <v>354</v>
      </c>
      <c r="D44" s="13" t="s">
        <v>355</v>
      </c>
      <c r="E44" s="42">
        <v>0</v>
      </c>
      <c r="F44" s="39">
        <v>0</v>
      </c>
    </row>
    <row r="45" spans="1:6" x14ac:dyDescent="0.25">
      <c r="A45" s="10" t="s">
        <v>17</v>
      </c>
      <c r="B45" s="11" t="s">
        <v>353</v>
      </c>
      <c r="C45" s="14" t="s">
        <v>356</v>
      </c>
      <c r="D45" s="13" t="s">
        <v>357</v>
      </c>
      <c r="E45" s="42">
        <v>0</v>
      </c>
      <c r="F45" s="39">
        <v>0</v>
      </c>
    </row>
    <row r="46" spans="1:6" ht="22.5" x14ac:dyDescent="0.25">
      <c r="A46" s="10" t="s">
        <v>10</v>
      </c>
      <c r="B46" s="11" t="s">
        <v>358</v>
      </c>
      <c r="C46" s="12" t="s">
        <v>359</v>
      </c>
      <c r="D46" s="13" t="s">
        <v>360</v>
      </c>
      <c r="E46" s="42">
        <v>0</v>
      </c>
      <c r="F46" s="39">
        <v>0</v>
      </c>
    </row>
    <row r="47" spans="1:6" x14ac:dyDescent="0.25">
      <c r="A47" s="10" t="s">
        <v>10</v>
      </c>
      <c r="B47" s="11" t="s">
        <v>361</v>
      </c>
      <c r="C47" s="14" t="s">
        <v>207</v>
      </c>
      <c r="D47" s="13" t="s">
        <v>362</v>
      </c>
      <c r="E47" s="42">
        <v>0</v>
      </c>
      <c r="F47" s="39">
        <v>0</v>
      </c>
    </row>
    <row r="48" spans="1:6" x14ac:dyDescent="0.25">
      <c r="A48" s="10" t="s">
        <v>10</v>
      </c>
      <c r="B48" s="11" t="s">
        <v>363</v>
      </c>
      <c r="C48" s="14" t="s">
        <v>364</v>
      </c>
      <c r="D48" s="13" t="s">
        <v>365</v>
      </c>
      <c r="E48" s="42">
        <v>0</v>
      </c>
      <c r="F48" s="39">
        <v>0</v>
      </c>
    </row>
    <row r="49" spans="1:6" ht="22.5" x14ac:dyDescent="0.25">
      <c r="A49" s="10" t="s">
        <v>187</v>
      </c>
      <c r="B49" s="11" t="s">
        <v>366</v>
      </c>
      <c r="C49" s="12" t="s">
        <v>367</v>
      </c>
      <c r="D49" s="13" t="s">
        <v>368</v>
      </c>
      <c r="E49" s="42">
        <v>0</v>
      </c>
      <c r="F49" s="39">
        <v>0</v>
      </c>
    </row>
    <row r="50" spans="1:6" ht="22.5" x14ac:dyDescent="0.25">
      <c r="A50" s="10" t="s">
        <v>187</v>
      </c>
      <c r="B50" s="11" t="s">
        <v>366</v>
      </c>
      <c r="C50" s="12" t="s">
        <v>369</v>
      </c>
      <c r="D50" s="13" t="s">
        <v>370</v>
      </c>
      <c r="E50" s="42">
        <v>19</v>
      </c>
      <c r="F50" s="39">
        <v>983</v>
      </c>
    </row>
    <row r="51" spans="1:6" ht="22.5" x14ac:dyDescent="0.25">
      <c r="A51" s="10" t="s">
        <v>17</v>
      </c>
      <c r="B51" s="11" t="s">
        <v>371</v>
      </c>
      <c r="C51" s="12" t="s">
        <v>372</v>
      </c>
      <c r="D51" s="13" t="s">
        <v>373</v>
      </c>
      <c r="E51" s="42">
        <v>0</v>
      </c>
      <c r="F51" s="39">
        <v>0</v>
      </c>
    </row>
    <row r="52" spans="1:6" x14ac:dyDescent="0.25">
      <c r="A52" s="10" t="s">
        <v>21</v>
      </c>
      <c r="B52" s="11" t="s">
        <v>374</v>
      </c>
      <c r="C52" s="14" t="s">
        <v>375</v>
      </c>
      <c r="D52" s="13" t="s">
        <v>376</v>
      </c>
      <c r="E52" s="42">
        <v>0</v>
      </c>
      <c r="F52" s="39">
        <v>0</v>
      </c>
    </row>
    <row r="53" spans="1:6" ht="22.5" x14ac:dyDescent="0.25">
      <c r="A53" s="10" t="s">
        <v>21</v>
      </c>
      <c r="B53" s="11" t="s">
        <v>374</v>
      </c>
      <c r="C53" s="12" t="s">
        <v>377</v>
      </c>
      <c r="D53" s="13" t="s">
        <v>378</v>
      </c>
      <c r="E53" s="42">
        <v>0</v>
      </c>
      <c r="F53" s="39">
        <v>0</v>
      </c>
    </row>
    <row r="54" spans="1:6" x14ac:dyDescent="0.25">
      <c r="A54" s="10" t="s">
        <v>21</v>
      </c>
      <c r="B54" s="11" t="s">
        <v>374</v>
      </c>
      <c r="C54" s="14" t="s">
        <v>379</v>
      </c>
      <c r="D54" s="13" t="s">
        <v>380</v>
      </c>
      <c r="E54" s="42">
        <v>0</v>
      </c>
      <c r="F54" s="39">
        <v>0</v>
      </c>
    </row>
    <row r="55" spans="1:6" x14ac:dyDescent="0.25">
      <c r="A55" s="10" t="s">
        <v>21</v>
      </c>
      <c r="B55" s="11" t="s">
        <v>374</v>
      </c>
      <c r="C55" s="14" t="s">
        <v>381</v>
      </c>
      <c r="D55" s="13" t="s">
        <v>382</v>
      </c>
      <c r="E55" s="42">
        <v>0</v>
      </c>
      <c r="F55" s="39">
        <v>0</v>
      </c>
    </row>
    <row r="56" spans="1:6" x14ac:dyDescent="0.25">
      <c r="A56" s="10" t="s">
        <v>21</v>
      </c>
      <c r="B56" s="11" t="s">
        <v>374</v>
      </c>
      <c r="C56" s="14" t="s">
        <v>383</v>
      </c>
      <c r="D56" s="13" t="s">
        <v>384</v>
      </c>
      <c r="E56" s="42">
        <v>0</v>
      </c>
      <c r="F56" s="39">
        <v>0</v>
      </c>
    </row>
    <row r="57" spans="1:6" x14ac:dyDescent="0.25">
      <c r="A57" s="10" t="s">
        <v>21</v>
      </c>
      <c r="B57" s="11" t="s">
        <v>374</v>
      </c>
      <c r="C57" s="14" t="s">
        <v>385</v>
      </c>
      <c r="D57" s="13" t="s">
        <v>386</v>
      </c>
      <c r="E57" s="42">
        <v>0</v>
      </c>
      <c r="F57" s="39">
        <v>0</v>
      </c>
    </row>
    <row r="58" spans="1:6" ht="22.5" x14ac:dyDescent="0.25">
      <c r="A58" s="10" t="s">
        <v>21</v>
      </c>
      <c r="B58" s="11" t="s">
        <v>374</v>
      </c>
      <c r="C58" s="12" t="s">
        <v>387</v>
      </c>
      <c r="D58" s="13" t="s">
        <v>388</v>
      </c>
      <c r="E58" s="42">
        <v>0</v>
      </c>
      <c r="F58" s="39">
        <v>0</v>
      </c>
    </row>
    <row r="59" spans="1:6" x14ac:dyDescent="0.25">
      <c r="A59" s="10" t="s">
        <v>21</v>
      </c>
      <c r="B59" s="11" t="s">
        <v>374</v>
      </c>
      <c r="C59" s="14" t="s">
        <v>389</v>
      </c>
      <c r="D59" s="13" t="s">
        <v>390</v>
      </c>
      <c r="E59" s="42">
        <v>0</v>
      </c>
      <c r="F59" s="39">
        <v>0</v>
      </c>
    </row>
    <row r="60" spans="1:6" x14ac:dyDescent="0.25">
      <c r="A60" s="10" t="s">
        <v>21</v>
      </c>
      <c r="B60" s="11" t="s">
        <v>374</v>
      </c>
      <c r="C60" s="14" t="s">
        <v>391</v>
      </c>
      <c r="D60" s="13" t="s">
        <v>392</v>
      </c>
      <c r="E60" s="42">
        <v>0</v>
      </c>
      <c r="F60" s="39">
        <v>0</v>
      </c>
    </row>
    <row r="61" spans="1:6" ht="22.5" x14ac:dyDescent="0.25">
      <c r="A61" s="10" t="s">
        <v>21</v>
      </c>
      <c r="B61" s="11" t="s">
        <v>374</v>
      </c>
      <c r="C61" s="12" t="s">
        <v>393</v>
      </c>
      <c r="D61" s="13" t="s">
        <v>394</v>
      </c>
      <c r="E61" s="42">
        <v>0</v>
      </c>
      <c r="F61" s="39">
        <v>0</v>
      </c>
    </row>
    <row r="62" spans="1:6" x14ac:dyDescent="0.25">
      <c r="A62" s="10" t="s">
        <v>21</v>
      </c>
      <c r="B62" s="11" t="s">
        <v>374</v>
      </c>
      <c r="C62" s="14" t="s">
        <v>395</v>
      </c>
      <c r="D62" s="13" t="s">
        <v>396</v>
      </c>
      <c r="E62" s="42">
        <v>0</v>
      </c>
      <c r="F62" s="39">
        <v>0</v>
      </c>
    </row>
    <row r="63" spans="1:6" x14ac:dyDescent="0.25">
      <c r="A63" s="10" t="s">
        <v>21</v>
      </c>
      <c r="B63" s="11" t="s">
        <v>374</v>
      </c>
      <c r="C63" s="14" t="s">
        <v>397</v>
      </c>
      <c r="D63" s="13" t="s">
        <v>398</v>
      </c>
      <c r="E63" s="42">
        <v>0</v>
      </c>
      <c r="F63" s="39">
        <v>0</v>
      </c>
    </row>
    <row r="64" spans="1:6" ht="22.5" x14ac:dyDescent="0.25">
      <c r="A64" s="10" t="s">
        <v>17</v>
      </c>
      <c r="B64" s="11" t="s">
        <v>399</v>
      </c>
      <c r="C64" s="12" t="s">
        <v>400</v>
      </c>
      <c r="D64" s="13" t="s">
        <v>401</v>
      </c>
      <c r="E64" s="42">
        <v>0</v>
      </c>
      <c r="F64" s="39">
        <v>0</v>
      </c>
    </row>
    <row r="65" spans="1:6" x14ac:dyDescent="0.25">
      <c r="A65" s="10" t="s">
        <v>187</v>
      </c>
      <c r="B65" s="11" t="s">
        <v>402</v>
      </c>
      <c r="C65" s="14" t="s">
        <v>403</v>
      </c>
      <c r="D65" s="13" t="s">
        <v>404</v>
      </c>
      <c r="E65" s="42">
        <v>0</v>
      </c>
      <c r="F65" s="39">
        <v>0</v>
      </c>
    </row>
    <row r="66" spans="1:6" x14ac:dyDescent="0.25">
      <c r="A66" s="10" t="s">
        <v>17</v>
      </c>
      <c r="B66" s="11" t="s">
        <v>402</v>
      </c>
      <c r="C66" s="12" t="s">
        <v>405</v>
      </c>
      <c r="D66" s="13" t="s">
        <v>406</v>
      </c>
      <c r="E66" s="42">
        <v>0</v>
      </c>
      <c r="F66" s="39">
        <v>0</v>
      </c>
    </row>
    <row r="67" spans="1:6" ht="22.5" x14ac:dyDescent="0.25">
      <c r="A67" s="10" t="s">
        <v>21</v>
      </c>
      <c r="B67" s="11" t="s">
        <v>402</v>
      </c>
      <c r="C67" s="12" t="s">
        <v>407</v>
      </c>
      <c r="D67" s="13" t="s">
        <v>408</v>
      </c>
      <c r="E67" s="42">
        <v>0</v>
      </c>
      <c r="F67" s="39">
        <v>0</v>
      </c>
    </row>
    <row r="68" spans="1:6" x14ac:dyDescent="0.25">
      <c r="A68" s="10" t="s">
        <v>21</v>
      </c>
      <c r="B68" s="11" t="s">
        <v>402</v>
      </c>
      <c r="C68" s="14" t="s">
        <v>409</v>
      </c>
      <c r="D68" s="13" t="s">
        <v>410</v>
      </c>
      <c r="E68" s="42">
        <v>0</v>
      </c>
      <c r="F68" s="39">
        <v>0</v>
      </c>
    </row>
    <row r="69" spans="1:6" x14ac:dyDescent="0.25">
      <c r="A69" s="10" t="s">
        <v>21</v>
      </c>
      <c r="B69" s="11" t="s">
        <v>402</v>
      </c>
      <c r="C69" s="14" t="s">
        <v>411</v>
      </c>
      <c r="D69" s="13" t="s">
        <v>412</v>
      </c>
      <c r="E69" s="42">
        <v>0</v>
      </c>
      <c r="F69" s="39">
        <v>0</v>
      </c>
    </row>
    <row r="70" spans="1:6" x14ac:dyDescent="0.25">
      <c r="A70" s="10" t="s">
        <v>21</v>
      </c>
      <c r="B70" s="11" t="s">
        <v>402</v>
      </c>
      <c r="C70" s="14" t="s">
        <v>413</v>
      </c>
      <c r="D70" s="13" t="s">
        <v>414</v>
      </c>
      <c r="E70" s="42">
        <v>0</v>
      </c>
      <c r="F70" s="39">
        <v>0</v>
      </c>
    </row>
    <row r="71" spans="1:6" x14ac:dyDescent="0.25">
      <c r="A71" s="10" t="s">
        <v>21</v>
      </c>
      <c r="B71" s="11" t="s">
        <v>402</v>
      </c>
      <c r="C71" s="14" t="s">
        <v>415</v>
      </c>
      <c r="D71" s="13" t="s">
        <v>416</v>
      </c>
      <c r="E71" s="42">
        <v>0</v>
      </c>
      <c r="F71" s="39">
        <v>0</v>
      </c>
    </row>
    <row r="72" spans="1:6" ht="22.5" x14ac:dyDescent="0.25">
      <c r="A72" s="10" t="s">
        <v>21</v>
      </c>
      <c r="B72" s="11" t="s">
        <v>402</v>
      </c>
      <c r="C72" s="12" t="s">
        <v>417</v>
      </c>
      <c r="D72" s="13" t="s">
        <v>418</v>
      </c>
      <c r="E72" s="42">
        <v>0</v>
      </c>
      <c r="F72" s="39">
        <v>0</v>
      </c>
    </row>
    <row r="73" spans="1:6" x14ac:dyDescent="0.25">
      <c r="A73" s="10" t="s">
        <v>21</v>
      </c>
      <c r="B73" s="11" t="s">
        <v>402</v>
      </c>
      <c r="C73" s="14" t="s">
        <v>419</v>
      </c>
      <c r="D73" s="13" t="s">
        <v>420</v>
      </c>
      <c r="E73" s="42">
        <v>0</v>
      </c>
      <c r="F73" s="39">
        <v>0</v>
      </c>
    </row>
    <row r="74" spans="1:6" x14ac:dyDescent="0.25">
      <c r="A74" s="10" t="s">
        <v>21</v>
      </c>
      <c r="B74" s="11" t="s">
        <v>402</v>
      </c>
      <c r="C74" s="14" t="s">
        <v>421</v>
      </c>
      <c r="D74" s="13" t="s">
        <v>422</v>
      </c>
      <c r="E74" s="42">
        <v>0</v>
      </c>
      <c r="F74" s="39">
        <v>0</v>
      </c>
    </row>
    <row r="75" spans="1:6" x14ac:dyDescent="0.25">
      <c r="A75" s="10" t="s">
        <v>21</v>
      </c>
      <c r="B75" s="11" t="s">
        <v>402</v>
      </c>
      <c r="C75" s="14" t="s">
        <v>423</v>
      </c>
      <c r="D75" s="13" t="s">
        <v>424</v>
      </c>
      <c r="E75" s="42">
        <v>0</v>
      </c>
      <c r="F75" s="39">
        <v>0</v>
      </c>
    </row>
    <row r="76" spans="1:6" ht="22.5" x14ac:dyDescent="0.25">
      <c r="A76" s="10" t="s">
        <v>187</v>
      </c>
      <c r="B76" s="11" t="s">
        <v>425</v>
      </c>
      <c r="C76" s="12" t="s">
        <v>426</v>
      </c>
      <c r="D76" s="13" t="s">
        <v>427</v>
      </c>
      <c r="E76" s="42">
        <v>0</v>
      </c>
      <c r="F76" s="39">
        <v>0</v>
      </c>
    </row>
    <row r="77" spans="1:6" ht="22.5" x14ac:dyDescent="0.25">
      <c r="A77" s="10" t="s">
        <v>187</v>
      </c>
      <c r="B77" s="11" t="s">
        <v>428</v>
      </c>
      <c r="C77" s="14" t="s">
        <v>429</v>
      </c>
      <c r="D77" s="13" t="s">
        <v>430</v>
      </c>
      <c r="E77" s="42">
        <v>0</v>
      </c>
      <c r="F77" s="39">
        <v>0</v>
      </c>
    </row>
    <row r="78" spans="1:6" x14ac:dyDescent="0.25">
      <c r="A78" s="10" t="s">
        <v>187</v>
      </c>
      <c r="B78" s="11" t="s">
        <v>428</v>
      </c>
      <c r="C78" s="14" t="s">
        <v>431</v>
      </c>
      <c r="D78" s="13" t="s">
        <v>432</v>
      </c>
      <c r="E78" s="42">
        <v>0</v>
      </c>
      <c r="F78" s="39">
        <v>0</v>
      </c>
    </row>
    <row r="79" spans="1:6" x14ac:dyDescent="0.25">
      <c r="A79" s="10" t="s">
        <v>17</v>
      </c>
      <c r="B79" s="11" t="s">
        <v>433</v>
      </c>
      <c r="C79" s="12" t="s">
        <v>434</v>
      </c>
      <c r="D79" s="13" t="s">
        <v>435</v>
      </c>
      <c r="E79" s="42">
        <v>55</v>
      </c>
      <c r="F79" s="39">
        <v>40</v>
      </c>
    </row>
    <row r="80" spans="1:6" ht="22.5" x14ac:dyDescent="0.25">
      <c r="A80" s="10" t="s">
        <v>21</v>
      </c>
      <c r="B80" s="11" t="s">
        <v>436</v>
      </c>
      <c r="C80" s="12" t="s">
        <v>437</v>
      </c>
      <c r="D80" s="13" t="s">
        <v>438</v>
      </c>
      <c r="E80" s="42">
        <v>0</v>
      </c>
      <c r="F80" s="39">
        <v>0</v>
      </c>
    </row>
    <row r="81" spans="1:6" ht="22.5" x14ac:dyDescent="0.25">
      <c r="A81" s="10" t="s">
        <v>21</v>
      </c>
      <c r="B81" s="11" t="s">
        <v>436</v>
      </c>
      <c r="C81" s="12" t="s">
        <v>439</v>
      </c>
      <c r="D81" s="13" t="s">
        <v>440</v>
      </c>
      <c r="E81" s="42">
        <v>74</v>
      </c>
      <c r="F81" s="39">
        <v>1023</v>
      </c>
    </row>
    <row r="82" spans="1:6" x14ac:dyDescent="0.25">
      <c r="A82" s="10" t="s">
        <v>21</v>
      </c>
      <c r="B82" s="11" t="s">
        <v>441</v>
      </c>
      <c r="C82" s="12" t="s">
        <v>442</v>
      </c>
      <c r="D82" s="13" t="s">
        <v>443</v>
      </c>
      <c r="E82" s="42">
        <v>0</v>
      </c>
      <c r="F82" s="39">
        <v>0</v>
      </c>
    </row>
    <row r="83" spans="1:6" x14ac:dyDescent="0.25">
      <c r="A83" s="10" t="s">
        <v>10</v>
      </c>
      <c r="B83" s="11" t="s">
        <v>441</v>
      </c>
      <c r="C83" s="12" t="s">
        <v>444</v>
      </c>
      <c r="D83" s="13" t="s">
        <v>445</v>
      </c>
      <c r="E83" s="42">
        <v>0</v>
      </c>
      <c r="F83" s="39">
        <v>0</v>
      </c>
    </row>
    <row r="84" spans="1:6" ht="22.5" x14ac:dyDescent="0.25">
      <c r="A84" s="10" t="s">
        <v>21</v>
      </c>
      <c r="B84" s="11" t="s">
        <v>441</v>
      </c>
      <c r="C84" s="12" t="s">
        <v>446</v>
      </c>
      <c r="D84" s="13" t="s">
        <v>447</v>
      </c>
      <c r="E84" s="42">
        <v>0</v>
      </c>
      <c r="F84" s="39">
        <v>0</v>
      </c>
    </row>
    <row r="85" spans="1:6" ht="22.5" x14ac:dyDescent="0.25">
      <c r="A85" s="10" t="s">
        <v>21</v>
      </c>
      <c r="B85" s="11" t="s">
        <v>448</v>
      </c>
      <c r="C85" s="12" t="s">
        <v>449</v>
      </c>
      <c r="D85" s="13" t="s">
        <v>450</v>
      </c>
      <c r="E85" s="42">
        <v>74</v>
      </c>
      <c r="F85" s="39">
        <v>1023</v>
      </c>
    </row>
    <row r="86" spans="1:6" ht="22.5" x14ac:dyDescent="0.25">
      <c r="A86" s="10" t="s">
        <v>17</v>
      </c>
      <c r="B86" s="11"/>
      <c r="C86" s="12" t="s">
        <v>451</v>
      </c>
      <c r="D86" s="13" t="s">
        <v>452</v>
      </c>
      <c r="E86" s="42">
        <v>0</v>
      </c>
      <c r="F86" s="39">
        <v>0</v>
      </c>
    </row>
    <row r="87" spans="1:6" ht="15.75" thickBot="1" x14ac:dyDescent="0.3">
      <c r="A87" s="10" t="s">
        <v>17</v>
      </c>
      <c r="B87" s="15"/>
      <c r="C87" s="16" t="s">
        <v>453</v>
      </c>
      <c r="D87" s="17" t="s">
        <v>454</v>
      </c>
      <c r="E87" s="43">
        <v>12</v>
      </c>
      <c r="F87" s="41">
        <v>12</v>
      </c>
    </row>
  </sheetData>
  <mergeCells count="7">
    <mergeCell ref="B2:F2"/>
    <mergeCell ref="B3:F3"/>
    <mergeCell ref="A5:A6"/>
    <mergeCell ref="B5:B6"/>
    <mergeCell ref="C5:C6"/>
    <mergeCell ref="D5:D6"/>
    <mergeCell ref="E5:F5"/>
  </mergeCells>
  <conditionalFormatting sqref="C8:C46 E8:F46">
    <cfRule type="expression" dxfId="12" priority="7" stopIfTrue="1">
      <formula>#REF!=1</formula>
    </cfRule>
  </conditionalFormatting>
  <conditionalFormatting sqref="E8:F46">
    <cfRule type="expression" dxfId="11" priority="8">
      <formula>#REF!=2</formula>
    </cfRule>
  </conditionalFormatting>
  <conditionalFormatting sqref="E83:F87 E74:F80 E69:F72 E63:F67 E60:F61 E55:F58 E48:F53">
    <cfRule type="expression" dxfId="10" priority="3">
      <formula>#REF!=2</formula>
    </cfRule>
  </conditionalFormatting>
  <conditionalFormatting sqref="C83:C87 E83:F87 C74:C80 E74:F80 E69:F72 C69:C72 E63:F67 C63:C67 E60:F61 C60:C61 E55:F58 C55:C58 C48:C53 E48:F53">
    <cfRule type="expression" dxfId="9" priority="4" stopIfTrue="1">
      <formula>#REF!=1</formula>
    </cfRule>
  </conditionalFormatting>
  <conditionalFormatting sqref="E47:F47">
    <cfRule type="expression" dxfId="8" priority="5">
      <formula>#REF!=2</formula>
    </cfRule>
  </conditionalFormatting>
  <conditionalFormatting sqref="E47:F47 C47">
    <cfRule type="expression" dxfId="7" priority="6" stopIfTrue="1">
      <formula>#REF!=1</formula>
    </cfRule>
  </conditionalFormatting>
  <conditionalFormatting sqref="E81:F82 E73:F73 E68:F68 E62:F62 E59:F59 E54:F54">
    <cfRule type="expression" dxfId="6" priority="1">
      <formula>#REF!=2</formula>
    </cfRule>
  </conditionalFormatting>
  <conditionalFormatting sqref="C81:C82 E81:F82 E73:F73 C73 E68:F68 C68 E62:F62 C62 E59:F59 C59 E54:F54 C54">
    <cfRule type="expression" dxfId="5" priority="2" stopIfTrue="1">
      <formula>#REF!=1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T28"/>
  <sheetViews>
    <sheetView workbookViewId="0">
      <selection activeCell="A8" sqref="A8"/>
    </sheetView>
  </sheetViews>
  <sheetFormatPr defaultRowHeight="15" x14ac:dyDescent="0.25"/>
  <cols>
    <col min="1" max="1" width="64.7109375" style="26" customWidth="1"/>
    <col min="2" max="2" width="3.7109375" style="26" customWidth="1"/>
    <col min="3" max="3" width="25" style="26" customWidth="1"/>
    <col min="4" max="4" width="3.7109375" style="26" customWidth="1"/>
    <col min="5" max="5" width="10.85546875" style="26" customWidth="1"/>
    <col min="6" max="46" width="8.85546875" style="26"/>
  </cols>
  <sheetData>
    <row r="1" spans="1:13" x14ac:dyDescent="0.25">
      <c r="A1" s="50" t="s">
        <v>566</v>
      </c>
      <c r="B1" s="49"/>
      <c r="C1" s="49"/>
      <c r="D1" s="49"/>
    </row>
    <row r="2" spans="1:13" x14ac:dyDescent="0.25">
      <c r="A2" s="50" t="s">
        <v>567</v>
      </c>
      <c r="B2" s="49"/>
      <c r="C2" s="44" t="str">
        <f>Sheet3!AA6</f>
        <v>ZELO VISOKO TVEGANJE</v>
      </c>
      <c r="D2" s="49"/>
      <c r="E2" s="50" t="str">
        <f>Sheet3!AA8</f>
        <v>Priporočilo:</v>
      </c>
      <c r="F2" s="55" t="str">
        <f>Sheet3!AB8</f>
        <v>Poslovodstvo naj v sodelovanju z lastniki in upniki</v>
      </c>
    </row>
    <row r="3" spans="1:13" x14ac:dyDescent="0.25">
      <c r="B3" s="49"/>
      <c r="C3" s="45" t="str">
        <f>Sheet3!AA6</f>
        <v>ZELO VISOKO TVEGANJE</v>
      </c>
      <c r="D3" s="49"/>
      <c r="F3" s="55" t="str">
        <f>Sheet3!AB9</f>
        <v>pristopi k pripravi in izvedbi ukrepov finančnega in poslovnega</v>
      </c>
    </row>
    <row r="4" spans="1:13" x14ac:dyDescent="0.25">
      <c r="B4" s="49"/>
      <c r="C4" s="46" t="str">
        <f>Sheet3!AA6</f>
        <v>ZELO VISOKO TVEGANJE</v>
      </c>
      <c r="D4" s="49"/>
      <c r="F4" s="55" t="str">
        <f>Sheet3!AB10</f>
        <v>prestrukturiranja za odpravo grozeče insolventnosti!</v>
      </c>
    </row>
    <row r="5" spans="1:13" x14ac:dyDescent="0.25">
      <c r="B5" s="49"/>
      <c r="C5" s="47" t="str">
        <f>Sheet3!AA6</f>
        <v>ZELO VISOKO TVEGANJE</v>
      </c>
      <c r="D5" s="49"/>
      <c r="F5" s="57" t="str">
        <f>Sheet3!AB11</f>
        <v>Alternativno naj se prouči potreba za sprožitev postopkov po ZFPPIPP.</v>
      </c>
      <c r="G5" s="57"/>
      <c r="H5" s="57"/>
      <c r="I5" s="57"/>
      <c r="J5" s="57"/>
      <c r="K5" s="57"/>
      <c r="L5" s="57"/>
      <c r="M5" s="50"/>
    </row>
    <row r="6" spans="1:13" x14ac:dyDescent="0.25">
      <c r="B6" s="49"/>
      <c r="C6" s="48" t="str">
        <f>Sheet3!AA6</f>
        <v>ZELO VISOKO TVEGANJE</v>
      </c>
      <c r="D6" s="49"/>
    </row>
    <row r="7" spans="1:13" x14ac:dyDescent="0.25">
      <c r="B7" s="49"/>
      <c r="C7" s="49"/>
      <c r="D7" s="49"/>
    </row>
    <row r="8" spans="1:13" ht="16.5" customHeight="1" x14ac:dyDescent="0.25">
      <c r="A8" s="51" t="s">
        <v>559</v>
      </c>
      <c r="B8" s="50">
        <f>Sheet3!U17</f>
        <v>10</v>
      </c>
      <c r="C8" s="50" t="s">
        <v>560</v>
      </c>
    </row>
    <row r="9" spans="1:13" x14ac:dyDescent="0.25">
      <c r="B9" s="52"/>
      <c r="C9" s="50"/>
    </row>
    <row r="26" spans="1:1" x14ac:dyDescent="0.25">
      <c r="A26" s="26" t="s">
        <v>568</v>
      </c>
    </row>
    <row r="27" spans="1:1" x14ac:dyDescent="0.25">
      <c r="A27" s="26" t="s">
        <v>569</v>
      </c>
    </row>
    <row r="28" spans="1:1" x14ac:dyDescent="0.25">
      <c r="A28" s="26" t="s">
        <v>570</v>
      </c>
    </row>
  </sheetData>
  <conditionalFormatting sqref="C2">
    <cfRule type="containsText" dxfId="4" priority="6" operator="containsText" text="ZELO VISOKO TVEGANJE">
      <formula>NOT(ISERROR(SEARCH("ZELO VISOKO TVEGANJE",C2)))</formula>
    </cfRule>
  </conditionalFormatting>
  <conditionalFormatting sqref="C3">
    <cfRule type="containsText" dxfId="3" priority="4" operator="containsText" text="POVIŠANO TVEGANJE">
      <formula>NOT(ISERROR(SEARCH("POVIŠANO TVEGANJE",C3)))</formula>
    </cfRule>
  </conditionalFormatting>
  <conditionalFormatting sqref="C4">
    <cfRule type="containsText" dxfId="2" priority="3" operator="containsText" text="SREDNJE TVEGANJE">
      <formula>NOT(ISERROR(SEARCH("SREDNJE TVEGANJE",C4)))</formula>
    </cfRule>
  </conditionalFormatting>
  <conditionalFormatting sqref="C5">
    <cfRule type="containsText" dxfId="1" priority="2" operator="containsText" text="NIZKO TVEGANJE">
      <formula>NOT(ISERROR(SEARCH("NIZKO TVEGANJE",C5)))</formula>
    </cfRule>
  </conditionalFormatting>
  <conditionalFormatting sqref="C6">
    <cfRule type="containsText" dxfId="0" priority="1" operator="containsText" text="ZANEMARLJIVO TVEGANJE">
      <formula>NOT(ISERROR(SEARCH("ZANEMARLJIVO TVEGANJE",C6)))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54"/>
  <sheetViews>
    <sheetView topLeftCell="J1" workbookViewId="0">
      <selection activeCell="AA8" sqref="AA8"/>
    </sheetView>
  </sheetViews>
  <sheetFormatPr defaultRowHeight="15" x14ac:dyDescent="0.25"/>
  <cols>
    <col min="1" max="1" width="15.7109375" customWidth="1"/>
    <col min="12" max="12" width="22.42578125" bestFit="1" customWidth="1"/>
    <col min="14" max="14" width="22.42578125" bestFit="1" customWidth="1"/>
    <col min="18" max="18" width="9.5703125" bestFit="1" customWidth="1"/>
  </cols>
  <sheetData>
    <row r="2" spans="1:28" x14ac:dyDescent="0.25">
      <c r="L2" t="s">
        <v>540</v>
      </c>
      <c r="N2" t="s">
        <v>541</v>
      </c>
      <c r="P2" t="s">
        <v>542</v>
      </c>
      <c r="R2" t="s">
        <v>543</v>
      </c>
    </row>
    <row r="3" spans="1:28" x14ac:dyDescent="0.25">
      <c r="A3" s="28" t="s">
        <v>457</v>
      </c>
      <c r="B3">
        <f>BS_za_VSE_poslov.subjekte!B3</f>
        <v>21</v>
      </c>
      <c r="F3" s="28">
        <f>IF(B3=0,13.6,B3)</f>
        <v>21</v>
      </c>
      <c r="G3" t="s">
        <v>456</v>
      </c>
      <c r="L3" t="s">
        <v>511</v>
      </c>
      <c r="M3">
        <v>-2.8365270000000001E-2</v>
      </c>
      <c r="N3">
        <f>M3*F3</f>
        <v>-0.59567067000000007</v>
      </c>
      <c r="P3">
        <f>SUM(N3:N46)</f>
        <v>-2.8741992185485978</v>
      </c>
      <c r="R3" s="35">
        <f>1/(1+EXP(-P3))</f>
        <v>5.3443824914585908E-2</v>
      </c>
    </row>
    <row r="4" spans="1:28" x14ac:dyDescent="0.25">
      <c r="A4" t="s">
        <v>460</v>
      </c>
    </row>
    <row r="5" spans="1:28" x14ac:dyDescent="0.25">
      <c r="C5">
        <v>4</v>
      </c>
      <c r="AA5" t="s">
        <v>565</v>
      </c>
    </row>
    <row r="6" spans="1:28" x14ac:dyDescent="0.25">
      <c r="A6" s="28" t="s">
        <v>462</v>
      </c>
      <c r="F6" s="28">
        <f>IF($C$5=1,1,0)</f>
        <v>0</v>
      </c>
      <c r="G6" t="s">
        <v>462</v>
      </c>
      <c r="L6" t="s">
        <v>518</v>
      </c>
      <c r="M6">
        <v>3.7618840000000001E-2</v>
      </c>
      <c r="N6">
        <f t="shared" ref="N6:N45" si="0">M6*F6</f>
        <v>0</v>
      </c>
      <c r="P6" t="s">
        <v>544</v>
      </c>
      <c r="Q6" t="s">
        <v>555</v>
      </c>
      <c r="R6" t="s">
        <v>556</v>
      </c>
      <c r="T6" t="s">
        <v>557</v>
      </c>
      <c r="U6" t="s">
        <v>558</v>
      </c>
      <c r="W6" t="s">
        <v>543</v>
      </c>
      <c r="AA6" t="str">
        <f>IF(U17&lt;3,"ZANEMARLJIVO TVEGANJE",IF(U17&lt;5,"NIZKO TVEGANJE",IF(U17&lt;7,"SREDNJE TVEGANJE",IF(U17&lt;9,"POVIŠANO TVEGANJE","ZELO VISOKO TVEGANJE"))))</f>
        <v>ZELO VISOKO TVEGANJE</v>
      </c>
    </row>
    <row r="7" spans="1:28" x14ac:dyDescent="0.25">
      <c r="A7" s="28" t="s">
        <v>463</v>
      </c>
      <c r="F7" s="28">
        <f>IF($C$5=2,1,0)</f>
        <v>0</v>
      </c>
      <c r="G7" t="s">
        <v>463</v>
      </c>
      <c r="L7" t="s">
        <v>519</v>
      </c>
      <c r="M7">
        <v>0.42077692999999999</v>
      </c>
      <c r="N7">
        <f t="shared" si="0"/>
        <v>0</v>
      </c>
      <c r="P7" t="s">
        <v>545</v>
      </c>
      <c r="Q7">
        <v>0</v>
      </c>
      <c r="R7">
        <v>8.5539999999999998E-4</v>
      </c>
      <c r="S7" t="str">
        <f>IF(AND($R$3&gt;Q7,$R$3&lt;=R7),1,"")</f>
        <v/>
      </c>
      <c r="T7">
        <v>1</v>
      </c>
      <c r="U7" t="str">
        <f>IF(S7=1,T7,"")</f>
        <v/>
      </c>
      <c r="V7" t="str">
        <f>IF(S7=1,P7,"")</f>
        <v/>
      </c>
      <c r="W7">
        <v>0.19</v>
      </c>
      <c r="X7" t="str">
        <f>IF(S7=1,W7,"")</f>
        <v/>
      </c>
    </row>
    <row r="8" spans="1:28" x14ac:dyDescent="0.25">
      <c r="A8" s="28" t="s">
        <v>464</v>
      </c>
      <c r="F8" s="28">
        <f>IF($C$5=3,1,0)</f>
        <v>0</v>
      </c>
      <c r="G8" t="s">
        <v>464</v>
      </c>
      <c r="L8" t="s">
        <v>520</v>
      </c>
      <c r="M8">
        <v>0.64092645000000004</v>
      </c>
      <c r="N8">
        <f t="shared" si="0"/>
        <v>0</v>
      </c>
      <c r="P8" t="s">
        <v>546</v>
      </c>
      <c r="Q8">
        <v>8.5539999999999998E-4</v>
      </c>
      <c r="R8">
        <v>1.9721000000000001E-3</v>
      </c>
      <c r="S8" t="str">
        <f t="shared" ref="S8:S16" si="1">IF(AND($R$3&gt;Q8,$R$3&lt;=R8),1,"")</f>
        <v/>
      </c>
      <c r="T8">
        <v>2</v>
      </c>
      <c r="U8" t="str">
        <f t="shared" ref="U8:U16" si="2">IF(S8=1,T8,"")</f>
        <v/>
      </c>
      <c r="V8" t="str">
        <f t="shared" ref="V8:V16" si="3">IF(S8=1,P8,"")</f>
        <v/>
      </c>
      <c r="W8" s="33">
        <v>0.2</v>
      </c>
      <c r="X8" s="33" t="str">
        <f t="shared" ref="X8:X16" si="4">IF(S8=1,W8,"")</f>
        <v/>
      </c>
      <c r="AA8" t="str">
        <f>IF(U17&gt;7,"Priporočilo:","")</f>
        <v>Priporočilo:</v>
      </c>
      <c r="AB8" s="53" t="str">
        <f>IF(U17&gt;7,"Poslovodstvo naj v sodelovanju z lastniki in upniki","")</f>
        <v>Poslovodstvo naj v sodelovanju z lastniki in upniki</v>
      </c>
    </row>
    <row r="9" spans="1:28" x14ac:dyDescent="0.25">
      <c r="A9" s="28" t="s">
        <v>465</v>
      </c>
      <c r="F9" s="28">
        <f>IF($C$5=4,1,0)</f>
        <v>1</v>
      </c>
      <c r="G9" t="s">
        <v>465</v>
      </c>
      <c r="L9" t="s">
        <v>521</v>
      </c>
      <c r="M9">
        <v>0.42476350000000002</v>
      </c>
      <c r="N9">
        <f t="shared" si="0"/>
        <v>0.42476350000000002</v>
      </c>
      <c r="P9" t="s">
        <v>547</v>
      </c>
      <c r="Q9">
        <v>1.9721000000000001E-3</v>
      </c>
      <c r="R9">
        <v>3.2950000000000002E-3</v>
      </c>
      <c r="S9" t="str">
        <f t="shared" si="1"/>
        <v/>
      </c>
      <c r="T9">
        <v>3</v>
      </c>
      <c r="U9" t="str">
        <f t="shared" si="2"/>
        <v/>
      </c>
      <c r="V9" t="str">
        <f t="shared" si="3"/>
        <v/>
      </c>
      <c r="W9">
        <v>0.28000000000000003</v>
      </c>
      <c r="X9" t="str">
        <f t="shared" si="4"/>
        <v/>
      </c>
      <c r="AB9" s="53" t="str">
        <f>IF(U17&gt;7,"pristopi k pripravi in izvedbi ukrepov finančnega in poslovnega","")</f>
        <v>pristopi k pripravi in izvedbi ukrepov finančnega in poslovnega</v>
      </c>
    </row>
    <row r="10" spans="1:28" x14ac:dyDescent="0.25">
      <c r="A10" s="28" t="s">
        <v>466</v>
      </c>
      <c r="F10" s="28">
        <f>IF($C$5=5,1,0)</f>
        <v>0</v>
      </c>
      <c r="G10" t="s">
        <v>466</v>
      </c>
      <c r="L10" t="s">
        <v>522</v>
      </c>
      <c r="M10">
        <v>-8.6194820000000005E-2</v>
      </c>
      <c r="N10">
        <f t="shared" si="0"/>
        <v>0</v>
      </c>
      <c r="P10" t="s">
        <v>548</v>
      </c>
      <c r="Q10">
        <v>3.2950000000000002E-3</v>
      </c>
      <c r="R10">
        <v>4.8027E-3</v>
      </c>
      <c r="S10" t="str">
        <f t="shared" si="1"/>
        <v/>
      </c>
      <c r="T10">
        <v>4</v>
      </c>
      <c r="U10" t="str">
        <f t="shared" si="2"/>
        <v/>
      </c>
      <c r="V10" t="str">
        <f t="shared" si="3"/>
        <v/>
      </c>
      <c r="W10">
        <v>0.33</v>
      </c>
      <c r="X10" t="str">
        <f t="shared" si="4"/>
        <v/>
      </c>
      <c r="AB10" s="53" t="str">
        <f>IF(U17&gt;7,"prestrukturiranja za odpravo grozeče insolventnosti!","")</f>
        <v>prestrukturiranja za odpravo grozeče insolventnosti!</v>
      </c>
    </row>
    <row r="11" spans="1:28" x14ac:dyDescent="0.25">
      <c r="A11" s="28" t="s">
        <v>461</v>
      </c>
      <c r="F11" s="28">
        <f>IF($C$5=6,1,0)</f>
        <v>0</v>
      </c>
      <c r="G11" t="s">
        <v>461</v>
      </c>
      <c r="L11" t="s">
        <v>523</v>
      </c>
      <c r="M11">
        <v>-0.38540526000000003</v>
      </c>
      <c r="N11">
        <f t="shared" si="0"/>
        <v>0</v>
      </c>
      <c r="P11" t="s">
        <v>549</v>
      </c>
      <c r="Q11">
        <v>4.8027E-3</v>
      </c>
      <c r="R11">
        <v>6.5189000000000002E-3</v>
      </c>
      <c r="S11" t="str">
        <f t="shared" si="1"/>
        <v/>
      </c>
      <c r="T11">
        <v>5</v>
      </c>
      <c r="U11" t="str">
        <f t="shared" si="2"/>
        <v/>
      </c>
      <c r="V11" t="str">
        <f t="shared" si="3"/>
        <v/>
      </c>
      <c r="W11">
        <v>0.38</v>
      </c>
      <c r="X11" t="str">
        <f t="shared" si="4"/>
        <v/>
      </c>
      <c r="AB11" s="54" t="str">
        <f>IF(U17&gt;8,"Alternativno naj se prouči potreba za sprožitev postopkov po ZFPPIPP.","")</f>
        <v>Alternativno naj se prouči potreba za sprožitev postopkov po ZFPPIPP.</v>
      </c>
    </row>
    <row r="12" spans="1:28" x14ac:dyDescent="0.25">
      <c r="A12" s="28" t="s">
        <v>468</v>
      </c>
      <c r="B12" s="29">
        <f>IPI_za_VSE_poslov.subjekte!E86</f>
        <v>0</v>
      </c>
      <c r="F12" s="28">
        <f>LN(MAX(B12,1))</f>
        <v>0</v>
      </c>
      <c r="G12" t="s">
        <v>467</v>
      </c>
      <c r="L12" t="s">
        <v>512</v>
      </c>
      <c r="M12">
        <v>6.3096009999999994E-2</v>
      </c>
      <c r="N12">
        <f t="shared" si="0"/>
        <v>0</v>
      </c>
      <c r="P12" t="s">
        <v>550</v>
      </c>
      <c r="Q12">
        <v>6.5189000000000002E-3</v>
      </c>
      <c r="R12">
        <v>8.5898999999999993E-3</v>
      </c>
      <c r="S12" t="str">
        <f t="shared" si="1"/>
        <v/>
      </c>
      <c r="T12">
        <v>6</v>
      </c>
      <c r="U12" t="str">
        <f t="shared" si="2"/>
        <v/>
      </c>
      <c r="V12" t="str">
        <f t="shared" si="3"/>
        <v/>
      </c>
      <c r="W12">
        <v>0.48</v>
      </c>
      <c r="X12" t="str">
        <f t="shared" si="4"/>
        <v/>
      </c>
    </row>
    <row r="13" spans="1:28" x14ac:dyDescent="0.25">
      <c r="A13" s="28" t="s">
        <v>470</v>
      </c>
      <c r="B13" s="29">
        <f>IPI_za_VSE_poslov.subjekte!E8</f>
        <v>559</v>
      </c>
      <c r="F13" s="28">
        <f>LN(MAX(B13,1))</f>
        <v>6.3261494731550991</v>
      </c>
      <c r="G13" t="s">
        <v>469</v>
      </c>
      <c r="L13" t="s">
        <v>513</v>
      </c>
      <c r="M13">
        <v>-0.12961900000000001</v>
      </c>
      <c r="N13">
        <f t="shared" si="0"/>
        <v>-0.81998916856089088</v>
      </c>
      <c r="P13" t="s">
        <v>551</v>
      </c>
      <c r="Q13">
        <v>8.5898999999999993E-3</v>
      </c>
      <c r="R13">
        <v>1.13522E-2</v>
      </c>
      <c r="S13" t="str">
        <f t="shared" si="1"/>
        <v/>
      </c>
      <c r="T13">
        <v>7</v>
      </c>
      <c r="U13" t="str">
        <f t="shared" si="2"/>
        <v/>
      </c>
      <c r="V13" t="str">
        <f t="shared" si="3"/>
        <v/>
      </c>
      <c r="W13">
        <v>0.67</v>
      </c>
      <c r="X13" t="str">
        <f t="shared" si="4"/>
        <v/>
      </c>
    </row>
    <row r="14" spans="1:28" x14ac:dyDescent="0.25">
      <c r="A14" s="28" t="s">
        <v>473</v>
      </c>
      <c r="F14" s="28">
        <f>C15/MAX(1,B12)/1000</f>
        <v>-1.9E-2</v>
      </c>
      <c r="G14" t="s">
        <v>471</v>
      </c>
      <c r="L14" t="s">
        <v>514</v>
      </c>
      <c r="M14">
        <v>8.3869999999999995E-5</v>
      </c>
      <c r="N14">
        <f t="shared" si="0"/>
        <v>-1.5935299999999998E-6</v>
      </c>
      <c r="P14" t="s">
        <v>552</v>
      </c>
      <c r="Q14">
        <v>1.13522E-2</v>
      </c>
      <c r="R14">
        <v>1.5683699999999998E-2</v>
      </c>
      <c r="S14" t="str">
        <f t="shared" si="1"/>
        <v/>
      </c>
      <c r="T14">
        <v>8</v>
      </c>
      <c r="U14" t="str">
        <f t="shared" si="2"/>
        <v/>
      </c>
      <c r="V14" t="str">
        <f t="shared" si="3"/>
        <v/>
      </c>
      <c r="W14">
        <v>1.1299999999999999</v>
      </c>
      <c r="X14" t="str">
        <f t="shared" si="4"/>
        <v/>
      </c>
    </row>
    <row r="15" spans="1:28" x14ac:dyDescent="0.25">
      <c r="B15" t="s">
        <v>472</v>
      </c>
      <c r="C15" s="29">
        <f>IPI_za_VSE_poslov.subjekte!E24-IPI_za_VSE_poslov.subjekte!E26-IPI_za_VSE_poslov.subjekte!E46</f>
        <v>-19</v>
      </c>
      <c r="P15" t="s">
        <v>553</v>
      </c>
      <c r="Q15">
        <v>1.5683699999999998E-2</v>
      </c>
      <c r="R15">
        <v>2.5398400000000002E-2</v>
      </c>
      <c r="S15" t="str">
        <f t="shared" si="1"/>
        <v/>
      </c>
      <c r="T15">
        <v>9</v>
      </c>
      <c r="U15" t="str">
        <f t="shared" si="2"/>
        <v/>
      </c>
      <c r="V15" t="str">
        <f t="shared" si="3"/>
        <v/>
      </c>
      <c r="W15">
        <v>2.06</v>
      </c>
      <c r="X15" t="str">
        <f t="shared" si="4"/>
        <v/>
      </c>
    </row>
    <row r="16" spans="1:28" x14ac:dyDescent="0.25">
      <c r="A16" s="28" t="s">
        <v>475</v>
      </c>
      <c r="B16" s="29">
        <f>IPI_za_VSE_poslov.subjekte!E13</f>
        <v>0</v>
      </c>
      <c r="C16">
        <f>(B16+B17)/B18</f>
        <v>0</v>
      </c>
      <c r="F16" s="28">
        <f>IF(B18=0,0,C16)</f>
        <v>0</v>
      </c>
      <c r="G16" t="s">
        <v>474</v>
      </c>
      <c r="L16" t="s">
        <v>515</v>
      </c>
      <c r="M16">
        <v>6.0421530000000001E-2</v>
      </c>
      <c r="N16">
        <f t="shared" si="0"/>
        <v>0</v>
      </c>
      <c r="P16" t="s">
        <v>554</v>
      </c>
      <c r="Q16">
        <v>2.5398400000000002E-2</v>
      </c>
      <c r="R16">
        <v>1</v>
      </c>
      <c r="S16">
        <f t="shared" si="1"/>
        <v>1</v>
      </c>
      <c r="T16">
        <v>10</v>
      </c>
      <c r="U16">
        <f t="shared" si="2"/>
        <v>10</v>
      </c>
      <c r="V16" t="str">
        <f t="shared" si="3"/>
        <v>90-100%</v>
      </c>
      <c r="W16">
        <v>6.51</v>
      </c>
      <c r="X16">
        <f t="shared" si="4"/>
        <v>6.51</v>
      </c>
    </row>
    <row r="17" spans="1:24" x14ac:dyDescent="0.25">
      <c r="B17" s="29">
        <f>IPI_za_VSE_poslov.subjekte!E16</f>
        <v>0</v>
      </c>
      <c r="U17" s="32">
        <f>MAX(U7:U16)</f>
        <v>10</v>
      </c>
      <c r="V17" s="32" t="str" cm="1">
        <f t="array" ref="V17">INDEX(V7:V16,MATCH(MIN(COUNTIF(V7:V16,V7:V16)),COUNTIF(V7:V16,V7:V16),0))</f>
        <v>90-100%</v>
      </c>
      <c r="X17" s="34">
        <f>MAX(X7:X16)</f>
        <v>6.51</v>
      </c>
    </row>
    <row r="18" spans="1:24" x14ac:dyDescent="0.25">
      <c r="B18" s="29">
        <f>IPI_za_VSE_poslov.subjekte!E8</f>
        <v>559</v>
      </c>
    </row>
    <row r="19" spans="1:24" x14ac:dyDescent="0.25">
      <c r="A19" s="28" t="s">
        <v>477</v>
      </c>
      <c r="B19" s="29">
        <f>IPI_za_VSE_poslov.subjekte!E8</f>
        <v>559</v>
      </c>
      <c r="F19" s="28">
        <f>IF(AND(B19=0,B20=0),1,0)</f>
        <v>0</v>
      </c>
      <c r="G19" s="30" t="s">
        <v>476</v>
      </c>
      <c r="L19" t="s">
        <v>516</v>
      </c>
      <c r="M19">
        <v>-0.10633740999999999</v>
      </c>
      <c r="N19">
        <f t="shared" si="0"/>
        <v>0</v>
      </c>
      <c r="S19" s="29"/>
    </row>
    <row r="20" spans="1:24" x14ac:dyDescent="0.25">
      <c r="B20" s="29">
        <f>IPI_za_VSE_poslov.subjekte!E86</f>
        <v>0</v>
      </c>
    </row>
    <row r="21" spans="1:24" x14ac:dyDescent="0.25">
      <c r="A21" s="28" t="s">
        <v>478</v>
      </c>
      <c r="F21" s="31">
        <f>BS_za_VSE_poslov.subjekte!B18</f>
        <v>1.8</v>
      </c>
      <c r="G21" t="s">
        <v>480</v>
      </c>
      <c r="L21" t="s">
        <v>517</v>
      </c>
      <c r="M21">
        <v>8.1420299999999998E-3</v>
      </c>
      <c r="N21">
        <f t="shared" si="0"/>
        <v>1.4655654000000001E-2</v>
      </c>
      <c r="P21" t="s">
        <v>543</v>
      </c>
      <c r="Q21" t="s">
        <v>562</v>
      </c>
      <c r="R21" t="s">
        <v>563</v>
      </c>
      <c r="S21" t="s">
        <v>561</v>
      </c>
    </row>
    <row r="22" spans="1:24" x14ac:dyDescent="0.25">
      <c r="A22" s="28" t="s">
        <v>481</v>
      </c>
      <c r="B22">
        <f>BS_za_VSE_poslov.subjekte!E114/BS_za_VSE_poslov.subjekte!E29</f>
        <v>60.777777777777779</v>
      </c>
      <c r="C22">
        <f>IF(B23=0,0,B22)</f>
        <v>60.777777777777779</v>
      </c>
      <c r="D22">
        <f>IF(C22&gt;20,20,C22)</f>
        <v>20</v>
      </c>
      <c r="F22" s="28">
        <f>D22</f>
        <v>20</v>
      </c>
      <c r="G22" t="s">
        <v>483</v>
      </c>
      <c r="L22" t="s">
        <v>524</v>
      </c>
      <c r="M22">
        <v>-7.6536450000000006E-2</v>
      </c>
      <c r="N22">
        <f t="shared" si="0"/>
        <v>-1.530729</v>
      </c>
      <c r="P22">
        <v>0.01</v>
      </c>
      <c r="Q22" s="36">
        <f>S22/SUM($S$22:$S$49)</f>
        <v>0.6553837340407288</v>
      </c>
      <c r="R22" s="37">
        <f>R3</f>
        <v>5.3443824914585908E-2</v>
      </c>
      <c r="S22" s="29">
        <v>359225</v>
      </c>
    </row>
    <row r="23" spans="1:24" x14ac:dyDescent="0.25">
      <c r="B23" s="29">
        <f>BS_za_VSE_poslov.subjekte!E29</f>
        <v>63</v>
      </c>
      <c r="P23">
        <v>0.02</v>
      </c>
      <c r="Q23" s="36">
        <f t="shared" ref="Q23:Q49" si="5">S23/SUM($S$22:$S$49)</f>
        <v>0.20234476769431176</v>
      </c>
      <c r="S23" s="29">
        <v>110908</v>
      </c>
    </row>
    <row r="24" spans="1:24" x14ac:dyDescent="0.25">
      <c r="A24" s="28" t="s">
        <v>484</v>
      </c>
      <c r="B24">
        <f>(BS_za_VSE_poslov.subjekte!E62+BS_za_VSE_poslov.subjekte!E55+BS_za_VSE_poslov.subjekte!E76+BS_za_VSE_poslov.subjekte!E68+BS_za_VSE_poslov.subjekte!E80+BS_za_VSE_poslov.subjekte!E81-BS_za_VSE_poslov.subjekte!E114)/BS_za_VSE_poslov.subjekte!E29</f>
        <v>-59.777777777777779</v>
      </c>
      <c r="C24" s="29">
        <f>BS_za_VSE_poslov.subjekte!E29</f>
        <v>63</v>
      </c>
      <c r="D24">
        <f>IF(C24=0,B25,B24)</f>
        <v>-59.777777777777779</v>
      </c>
      <c r="E24">
        <f>IF(D24&lt;-20,-20,D24)</f>
        <v>-20</v>
      </c>
      <c r="F24" s="28">
        <f>E24</f>
        <v>-20</v>
      </c>
      <c r="G24" t="s">
        <v>482</v>
      </c>
      <c r="L24" t="s">
        <v>525</v>
      </c>
      <c r="M24">
        <v>-0.14443005</v>
      </c>
      <c r="N24">
        <f t="shared" si="0"/>
        <v>2.888601</v>
      </c>
      <c r="P24">
        <v>0.03</v>
      </c>
      <c r="Q24" s="36">
        <f t="shared" si="5"/>
        <v>6.3804245102296236E-2</v>
      </c>
      <c r="S24" s="29">
        <v>34972</v>
      </c>
    </row>
    <row r="25" spans="1:24" x14ac:dyDescent="0.25">
      <c r="B25">
        <f>(BS_za_VSE_poslov.subjekte!E62+BS_za_VSE_poslov.subjekte!E55+BS_za_VSE_poslov.subjekte!E76+BS_za_VSE_poslov.subjekte!E68+BS_za_VSE_poslov.subjekte!E80+BS_za_VSE_poslov.subjekte!E81-BS_za_VSE_poslov.subjekte!E114)/(BS_za_VSE_poslov.subjekte!E29+1)</f>
        <v>-58.84375</v>
      </c>
      <c r="P25">
        <v>0.04</v>
      </c>
      <c r="Q25" s="36">
        <f t="shared" si="5"/>
        <v>2.5896072714800204E-2</v>
      </c>
      <c r="S25" s="29">
        <v>14194</v>
      </c>
    </row>
    <row r="26" spans="1:24" x14ac:dyDescent="0.25">
      <c r="A26" s="28" t="s">
        <v>486</v>
      </c>
      <c r="B26" s="29">
        <f>BS_za_VSE_poslov.subjekte!E29</f>
        <v>63</v>
      </c>
      <c r="C26">
        <f>LN(MAX(1,B26))</f>
        <v>4.1431347263915326</v>
      </c>
      <c r="F26" s="28">
        <f>C26</f>
        <v>4.1431347263915326</v>
      </c>
      <c r="G26" t="s">
        <v>485</v>
      </c>
      <c r="L26" t="s">
        <v>526</v>
      </c>
      <c r="M26">
        <v>0.23973675</v>
      </c>
      <c r="N26">
        <f t="shared" si="0"/>
        <v>0.99326165411724521</v>
      </c>
      <c r="P26">
        <v>0.05</v>
      </c>
      <c r="Q26" s="36">
        <f t="shared" si="5"/>
        <v>1.445502213043272E-2</v>
      </c>
      <c r="S26" s="29">
        <v>7923</v>
      </c>
    </row>
    <row r="27" spans="1:24" x14ac:dyDescent="0.25">
      <c r="A27" s="28" t="s">
        <v>488</v>
      </c>
      <c r="B27" s="29">
        <f>BS_za_VSE_poslov.subjekte!E62+BS_za_VSE_poslov.subjekte!E55+BS_za_VSE_poslov.subjekte!E76+BS_za_VSE_poslov.subjekte!E68+BS_za_VSE_poslov.subjekte!E80+BS_za_VSE_poslov.subjekte!E81</f>
        <v>63</v>
      </c>
      <c r="C27">
        <f>B27/B26</f>
        <v>1</v>
      </c>
      <c r="D27">
        <f>IF(B26=0,0,C27)</f>
        <v>1</v>
      </c>
      <c r="E27">
        <f>IF(D27&gt;1,1,D27)</f>
        <v>1</v>
      </c>
      <c r="F27" s="28">
        <f>E27</f>
        <v>1</v>
      </c>
      <c r="G27" t="s">
        <v>487</v>
      </c>
      <c r="L27" t="s">
        <v>527</v>
      </c>
      <c r="M27">
        <v>0.93647157000000003</v>
      </c>
      <c r="N27">
        <f t="shared" si="0"/>
        <v>0.93647157000000003</v>
      </c>
      <c r="P27">
        <v>0.06</v>
      </c>
      <c r="Q27" s="36">
        <f t="shared" si="5"/>
        <v>9.5600550250495332E-3</v>
      </c>
      <c r="S27" s="29">
        <v>5240</v>
      </c>
    </row>
    <row r="28" spans="1:24" x14ac:dyDescent="0.25">
      <c r="A28" s="28" t="s">
        <v>490</v>
      </c>
      <c r="B28" s="29">
        <f>BS_za_VSE_poslov.subjekte!E80</f>
        <v>2</v>
      </c>
      <c r="C28">
        <f>B28/B26</f>
        <v>3.1746031746031744E-2</v>
      </c>
      <c r="D28">
        <f>IF(B26=0,0,C28)</f>
        <v>3.1746031746031744E-2</v>
      </c>
      <c r="F28" s="28">
        <f>D28</f>
        <v>3.1746031746031744E-2</v>
      </c>
      <c r="G28" t="s">
        <v>489</v>
      </c>
      <c r="L28" t="s">
        <v>528</v>
      </c>
      <c r="M28">
        <v>-3.0131741000000001</v>
      </c>
      <c r="N28">
        <f t="shared" si="0"/>
        <v>-9.5656320634920633E-2</v>
      </c>
      <c r="P28">
        <v>7.0000000000000007E-2</v>
      </c>
      <c r="Q28" s="36">
        <f t="shared" si="5"/>
        <v>6.6300076261507643E-3</v>
      </c>
      <c r="S28" s="29">
        <v>3634</v>
      </c>
    </row>
    <row r="29" spans="1:24" x14ac:dyDescent="0.25">
      <c r="A29" s="28" t="s">
        <v>492</v>
      </c>
      <c r="B29" s="29">
        <f>IPI_za_VSE_poslov.subjekte!E80-IPI_za_VSE_poslov.subjekte!E81+IPI_za_VSE_poslov.subjekte!E65</f>
        <v>-74</v>
      </c>
      <c r="C29">
        <f>B29/B26</f>
        <v>-1.1746031746031746</v>
      </c>
      <c r="D29">
        <f>IF(B26=0,C30,C29)</f>
        <v>-1.1746031746031746</v>
      </c>
      <c r="E29">
        <f>IF(D29&lt;-6,-6,D29)</f>
        <v>-1.1746031746031746</v>
      </c>
      <c r="F29" s="28">
        <f>E30</f>
        <v>-1.1746031746031746</v>
      </c>
      <c r="G29" t="s">
        <v>491</v>
      </c>
      <c r="L29" t="s">
        <v>529</v>
      </c>
      <c r="M29">
        <v>-0.16843773000000001</v>
      </c>
      <c r="N29">
        <f t="shared" si="0"/>
        <v>0.19784749238095239</v>
      </c>
      <c r="P29">
        <v>0.08</v>
      </c>
      <c r="Q29" s="36">
        <f t="shared" si="5"/>
        <v>4.8493561558361946E-3</v>
      </c>
      <c r="S29" s="29">
        <v>2658</v>
      </c>
    </row>
    <row r="30" spans="1:24" x14ac:dyDescent="0.25">
      <c r="C30">
        <f>B29/(B26+1)</f>
        <v>-1.15625</v>
      </c>
      <c r="E30">
        <f>IF(E29&gt;0.8,0.8,E29)</f>
        <v>-1.1746031746031746</v>
      </c>
      <c r="P30">
        <v>0.09</v>
      </c>
      <c r="Q30" s="36">
        <f t="shared" si="5"/>
        <v>3.6251582699949282E-3</v>
      </c>
      <c r="S30" s="29">
        <v>1987</v>
      </c>
    </row>
    <row r="31" spans="1:24" x14ac:dyDescent="0.25">
      <c r="A31" s="28" t="s">
        <v>494</v>
      </c>
      <c r="B31" s="29">
        <f>BS_za_VSE_poslov.subjekte!E104+BS_za_VSE_poslov.subjekte!E114</f>
        <v>3829</v>
      </c>
      <c r="C31">
        <f>B31/B26</f>
        <v>60.777777777777779</v>
      </c>
      <c r="D31">
        <f>IF(B26=0,C32,C31)</f>
        <v>60.777777777777779</v>
      </c>
      <c r="E31">
        <f>IF(D31&gt;28,28,D31)</f>
        <v>28</v>
      </c>
      <c r="F31" s="28">
        <f>E31</f>
        <v>28</v>
      </c>
      <c r="G31" t="s">
        <v>493</v>
      </c>
      <c r="L31" t="s">
        <v>530</v>
      </c>
      <c r="M31">
        <v>1.0119999999999999E-4</v>
      </c>
      <c r="N31">
        <f t="shared" si="0"/>
        <v>2.8335999999999999E-3</v>
      </c>
      <c r="P31">
        <v>0.1</v>
      </c>
      <c r="Q31" s="36">
        <f t="shared" si="5"/>
        <v>2.6837482713450121E-3</v>
      </c>
      <c r="S31" s="29">
        <v>1471</v>
      </c>
    </row>
    <row r="32" spans="1:24" x14ac:dyDescent="0.25">
      <c r="C32">
        <f>B31/(B26+1)</f>
        <v>59.828125</v>
      </c>
      <c r="P32">
        <v>0.11</v>
      </c>
      <c r="Q32" s="36">
        <f t="shared" si="5"/>
        <v>2.0342483497958453E-3</v>
      </c>
      <c r="S32" s="29">
        <v>1115</v>
      </c>
    </row>
    <row r="33" spans="1:19" x14ac:dyDescent="0.25">
      <c r="A33" s="28" t="s">
        <v>496</v>
      </c>
      <c r="B33">
        <f>(BS_za_VSE_poslov.subjekte!E62+BS_za_VSE_poslov.subjekte!E55+BS_za_VSE_poslov.subjekte!E76+BS_za_VSE_poslov.subjekte!E68+BS_za_VSE_poslov.subjekte!E80+BS_za_VSE_poslov.subjekte!E81)/BS_za_VSE_poslov.subjekte!E114</f>
        <v>1.6453382084095063E-2</v>
      </c>
      <c r="C33">
        <f>IF(C34=0,B34,B33)</f>
        <v>1.6453382084095063E-2</v>
      </c>
      <c r="D33">
        <f>IF(C33&gt;25,25,C33)</f>
        <v>1.6453382084095063E-2</v>
      </c>
      <c r="F33" s="28">
        <f>D33</f>
        <v>1.6453382084095063E-2</v>
      </c>
      <c r="G33" t="s">
        <v>495</v>
      </c>
      <c r="L33" t="s">
        <v>531</v>
      </c>
      <c r="M33">
        <v>-7.312051E-2</v>
      </c>
      <c r="N33">
        <f t="shared" si="0"/>
        <v>-1.203079689213894E-3</v>
      </c>
      <c r="P33">
        <v>0.12</v>
      </c>
      <c r="Q33" s="36">
        <f t="shared" si="5"/>
        <v>1.5161079629420157E-3</v>
      </c>
      <c r="S33">
        <v>831</v>
      </c>
    </row>
    <row r="34" spans="1:19" x14ac:dyDescent="0.25">
      <c r="B34">
        <f>(BS_za_VSE_poslov.subjekte!E62+BS_za_VSE_poslov.subjekte!E55+BS_za_VSE_poslov.subjekte!E76+BS_za_VSE_poslov.subjekte!E68+BS_za_VSE_poslov.subjekte!E80+BS_za_VSE_poslov.subjekte!E81)/(BS_za_VSE_poslov.subjekte!E114+1)</f>
        <v>1.6449086161879897E-2</v>
      </c>
      <c r="C34" s="29">
        <f>BS_za_VSE_poslov.subjekte!E114</f>
        <v>3829</v>
      </c>
      <c r="P34">
        <v>0.13</v>
      </c>
      <c r="Q34" s="36">
        <f t="shared" si="5"/>
        <v>1.2132512579499885E-3</v>
      </c>
      <c r="S34">
        <v>665</v>
      </c>
    </row>
    <row r="35" spans="1:19" x14ac:dyDescent="0.25">
      <c r="A35" s="28" t="s">
        <v>498</v>
      </c>
      <c r="B35" s="29">
        <f>IPI_za_VSE_poslov.subjekte!E84-IPI_za_VSE_poslov.subjekte!E85</f>
        <v>-74</v>
      </c>
      <c r="C35">
        <f>B35/B36</f>
        <v>-7.9982706441850404E-3</v>
      </c>
      <c r="D35">
        <f>IF(B36=0,C36,C35)</f>
        <v>-7.9982706441850404E-3</v>
      </c>
      <c r="E35">
        <f>IF(D35&lt;-10,-10,D35)</f>
        <v>-7.9982706441850404E-3</v>
      </c>
      <c r="F35" s="28">
        <f>E36</f>
        <v>-7.9982706441850404E-3</v>
      </c>
      <c r="G35" t="s">
        <v>497</v>
      </c>
      <c r="L35" t="s">
        <v>532</v>
      </c>
      <c r="M35">
        <v>-8.4231029999999998E-2</v>
      </c>
      <c r="N35">
        <f t="shared" si="0"/>
        <v>6.7370257457846942E-4</v>
      </c>
      <c r="P35">
        <v>0.14000000000000001</v>
      </c>
      <c r="Q35" s="36">
        <f t="shared" si="5"/>
        <v>9.4323443663179554E-4</v>
      </c>
      <c r="S35">
        <v>517</v>
      </c>
    </row>
    <row r="36" spans="1:19" x14ac:dyDescent="0.25">
      <c r="B36" s="29">
        <f>BS_za_VSE_poslov.subjekte!E86</f>
        <v>9252</v>
      </c>
      <c r="C36">
        <f>B35/(B36+1)</f>
        <v>-7.9974062466227173E-3</v>
      </c>
      <c r="E36">
        <f>IF(E35&gt;34,34,E35)</f>
        <v>-7.9982706441850404E-3</v>
      </c>
      <c r="P36">
        <v>0.15</v>
      </c>
      <c r="Q36" s="36">
        <f t="shared" si="5"/>
        <v>7.7173726633510543E-4</v>
      </c>
      <c r="S36">
        <v>423</v>
      </c>
    </row>
    <row r="37" spans="1:19" x14ac:dyDescent="0.25">
      <c r="A37" s="28" t="s">
        <v>500</v>
      </c>
      <c r="B37" s="29">
        <f>B29</f>
        <v>-74</v>
      </c>
      <c r="C37" t="e">
        <f>B37/B38</f>
        <v>#DIV/0!</v>
      </c>
      <c r="D37">
        <f>IF(B38=0,C38,C37)</f>
        <v>-74</v>
      </c>
      <c r="E37">
        <f>IF(D37&lt;-29000,-29000,D37)</f>
        <v>-74</v>
      </c>
      <c r="F37" s="28">
        <f>E38</f>
        <v>-74</v>
      </c>
      <c r="G37" t="s">
        <v>499</v>
      </c>
      <c r="L37" t="s">
        <v>533</v>
      </c>
      <c r="M37">
        <v>-1.466E-5</v>
      </c>
      <c r="N37">
        <f t="shared" si="0"/>
        <v>1.0848400000000001E-3</v>
      </c>
      <c r="P37">
        <v>0.16</v>
      </c>
      <c r="Q37" s="36">
        <f t="shared" si="5"/>
        <v>6.2213335182097153E-4</v>
      </c>
      <c r="S37">
        <v>341</v>
      </c>
    </row>
    <row r="38" spans="1:19" x14ac:dyDescent="0.25">
      <c r="B38" s="29">
        <f>IPI_za_VSE_poslov.subjekte!E65</f>
        <v>0</v>
      </c>
      <c r="C38">
        <f>B37/(B38+1)</f>
        <v>-74</v>
      </c>
      <c r="E38">
        <f>IF(E37&gt;130000,130000,E37)</f>
        <v>-74</v>
      </c>
      <c r="P38">
        <v>0.17</v>
      </c>
      <c r="Q38" s="36">
        <f t="shared" si="5"/>
        <v>4.9077381712563442E-4</v>
      </c>
      <c r="S38">
        <v>269</v>
      </c>
    </row>
    <row r="39" spans="1:19" x14ac:dyDescent="0.25">
      <c r="A39" s="28" t="s">
        <v>502</v>
      </c>
      <c r="B39" s="29">
        <f>BS_za_VSE_poslov.subjekte!E80+BS_za_VSE_poslov.subjekte!E76</f>
        <v>63</v>
      </c>
      <c r="C39">
        <f>B39/B26</f>
        <v>1</v>
      </c>
      <c r="D39">
        <f>IF(B26=0,0,C39)</f>
        <v>1</v>
      </c>
      <c r="E39">
        <f>IF(D39&gt;1,1,D39)</f>
        <v>1</v>
      </c>
      <c r="F39" s="28">
        <f>E39</f>
        <v>1</v>
      </c>
      <c r="G39" t="s">
        <v>501</v>
      </c>
      <c r="L39" t="s">
        <v>534</v>
      </c>
      <c r="M39">
        <v>0.27984334999999999</v>
      </c>
      <c r="N39">
        <f t="shared" si="0"/>
        <v>0.27984334999999999</v>
      </c>
      <c r="P39">
        <v>0.18</v>
      </c>
      <c r="Q39" s="36">
        <f t="shared" si="5"/>
        <v>4.1232298390480812E-4</v>
      </c>
      <c r="S39">
        <v>226</v>
      </c>
    </row>
    <row r="40" spans="1:19" x14ac:dyDescent="0.25">
      <c r="A40" s="28" t="s">
        <v>504</v>
      </c>
      <c r="B40">
        <f>B13/B26</f>
        <v>8.8730158730158735</v>
      </c>
      <c r="C40">
        <f>IF(B26=0,0,B40)</f>
        <v>8.8730158730158735</v>
      </c>
      <c r="D40">
        <f>IF(C40&gt;12,12,C40)</f>
        <v>8.8730158730158735</v>
      </c>
      <c r="F40" s="28">
        <f>D40</f>
        <v>8.8730158730158735</v>
      </c>
      <c r="G40" t="s">
        <v>503</v>
      </c>
      <c r="L40" t="s">
        <v>535</v>
      </c>
      <c r="M40">
        <v>7.5386019999999998E-2</v>
      </c>
      <c r="N40">
        <f t="shared" si="0"/>
        <v>0.66890135206349211</v>
      </c>
      <c r="P40">
        <v>0.19</v>
      </c>
      <c r="Q40" s="36">
        <f t="shared" si="5"/>
        <v>3.3022327472022241E-4</v>
      </c>
      <c r="S40">
        <v>181</v>
      </c>
    </row>
    <row r="41" spans="1:19" x14ac:dyDescent="0.25">
      <c r="A41" s="28" t="s">
        <v>506</v>
      </c>
      <c r="B41" s="29">
        <f>BS_za_VSE_poslov.subjekte!E80-BS_za_VSE_poslov.subjekte!F80</f>
        <v>2</v>
      </c>
      <c r="C41">
        <f>B41/B26</f>
        <v>3.1746031746031744E-2</v>
      </c>
      <c r="D41">
        <f>IF(B26=0,C42,C41)</f>
        <v>3.1746031746031744E-2</v>
      </c>
      <c r="E41">
        <f>IF(D41&lt;-1.3,-1.3,D41)</f>
        <v>3.1746031746031744E-2</v>
      </c>
      <c r="F41" s="28">
        <f>E41</f>
        <v>3.1746031746031744E-2</v>
      </c>
      <c r="G41" t="s">
        <v>505</v>
      </c>
      <c r="L41" t="s">
        <v>536</v>
      </c>
      <c r="M41">
        <v>0.29935810000000002</v>
      </c>
      <c r="N41">
        <f t="shared" si="0"/>
        <v>9.5034317460317465E-3</v>
      </c>
      <c r="P41">
        <v>0.2</v>
      </c>
      <c r="Q41" s="36">
        <f t="shared" si="5"/>
        <v>2.8461232517323036E-4</v>
      </c>
      <c r="S41">
        <v>156</v>
      </c>
    </row>
    <row r="42" spans="1:19" x14ac:dyDescent="0.25">
      <c r="C42">
        <f>B41/(B26+1)</f>
        <v>3.125E-2</v>
      </c>
      <c r="P42">
        <v>0.3</v>
      </c>
      <c r="Q42" s="36">
        <f t="shared" si="5"/>
        <v>1.4358326917393097E-3</v>
      </c>
      <c r="S42">
        <v>787</v>
      </c>
    </row>
    <row r="43" spans="1:19" x14ac:dyDescent="0.25">
      <c r="A43" s="28" t="s">
        <v>509</v>
      </c>
      <c r="B43" s="29">
        <f>BS_za_VSE_poslov.subjekte!E38</f>
        <v>0</v>
      </c>
      <c r="C43">
        <f>B43/B44</f>
        <v>0</v>
      </c>
      <c r="D43">
        <f>IF(B44=0,0,C43)</f>
        <v>0</v>
      </c>
      <c r="E43">
        <f>IF(D43&gt;8,8,D43)</f>
        <v>0</v>
      </c>
      <c r="F43" s="28">
        <f>E43</f>
        <v>0</v>
      </c>
      <c r="G43" t="s">
        <v>507</v>
      </c>
      <c r="L43" t="s">
        <v>537</v>
      </c>
      <c r="M43">
        <v>-9.9548520000000001E-2</v>
      </c>
      <c r="N43">
        <f t="shared" si="0"/>
        <v>0</v>
      </c>
      <c r="P43">
        <v>0.4</v>
      </c>
      <c r="Q43" s="36">
        <f t="shared" si="5"/>
        <v>5.0172044501691252E-4</v>
      </c>
      <c r="S43">
        <v>275</v>
      </c>
    </row>
    <row r="44" spans="1:19" x14ac:dyDescent="0.25">
      <c r="B44" s="29">
        <f>BS_za_VSE_poslov.subjekte!E86+BS_za_VSE_poslov.subjekte!E104</f>
        <v>9252</v>
      </c>
      <c r="P44">
        <v>0.5</v>
      </c>
      <c r="Q44" s="36">
        <f t="shared" si="5"/>
        <v>1.1493959285841997E-4</v>
      </c>
      <c r="S44">
        <v>63</v>
      </c>
    </row>
    <row r="45" spans="1:19" x14ac:dyDescent="0.25">
      <c r="A45" s="28" t="s">
        <v>510</v>
      </c>
      <c r="B45">
        <f>B35/B26</f>
        <v>-1.1746031746031746</v>
      </c>
      <c r="C45">
        <f>IF(B26=0,0,B45)</f>
        <v>-1.1746031746031746</v>
      </c>
      <c r="D45">
        <f>IF(C45&lt;-10,-10,C45)</f>
        <v>-1.1746031746031746</v>
      </c>
      <c r="E45">
        <f>IF(D45&gt;10,10,D45)</f>
        <v>-1.1746031746031746</v>
      </c>
      <c r="F45" s="28">
        <f>E45</f>
        <v>-1.1746031746031746</v>
      </c>
      <c r="G45" t="s">
        <v>508</v>
      </c>
      <c r="L45" t="s">
        <v>538</v>
      </c>
      <c r="M45">
        <v>2.855282E-2</v>
      </c>
      <c r="N45">
        <f t="shared" si="0"/>
        <v>-3.3538233015873019E-2</v>
      </c>
      <c r="P45">
        <v>0.6</v>
      </c>
      <c r="Q45" s="36">
        <f t="shared" si="5"/>
        <v>6.9328643311427916E-5</v>
      </c>
      <c r="S45">
        <v>38</v>
      </c>
    </row>
    <row r="46" spans="1:19" x14ac:dyDescent="0.25">
      <c r="L46" t="s">
        <v>539</v>
      </c>
      <c r="M46">
        <v>-6.2158522999999999</v>
      </c>
      <c r="N46">
        <f>M46</f>
        <v>-6.2158522999999999</v>
      </c>
      <c r="P46">
        <v>0.7</v>
      </c>
      <c r="Q46" s="36">
        <f t="shared" si="5"/>
        <v>2.0068817800676501E-5</v>
      </c>
      <c r="S46">
        <v>11</v>
      </c>
    </row>
    <row r="47" spans="1:19" x14ac:dyDescent="0.25">
      <c r="P47">
        <v>0.8</v>
      </c>
      <c r="Q47" s="36">
        <f t="shared" si="5"/>
        <v>7.2977519275187277E-6</v>
      </c>
      <c r="S47">
        <v>4</v>
      </c>
    </row>
    <row r="48" spans="1:19" x14ac:dyDescent="0.25">
      <c r="P48">
        <v>0.9</v>
      </c>
      <c r="Q48" s="36">
        <f t="shared" si="5"/>
        <v>0</v>
      </c>
      <c r="S48">
        <v>0</v>
      </c>
    </row>
    <row r="49" spans="16:45" x14ac:dyDescent="0.25">
      <c r="P49">
        <v>1</v>
      </c>
      <c r="Q49" s="36">
        <f t="shared" si="5"/>
        <v>0</v>
      </c>
      <c r="S49">
        <v>0</v>
      </c>
    </row>
    <row r="50" spans="16:45" x14ac:dyDescent="0.25">
      <c r="P50" s="37">
        <f>R3</f>
        <v>5.3443824914585908E-2</v>
      </c>
      <c r="Q50" s="36">
        <v>0</v>
      </c>
    </row>
    <row r="53" spans="16:45" x14ac:dyDescent="0.25">
      <c r="P53" t="s">
        <v>543</v>
      </c>
      <c r="Q53">
        <v>0.01</v>
      </c>
      <c r="R53">
        <v>0.02</v>
      </c>
      <c r="S53">
        <v>0.03</v>
      </c>
      <c r="T53">
        <v>0.04</v>
      </c>
      <c r="U53">
        <v>0.05</v>
      </c>
      <c r="V53">
        <v>0.06</v>
      </c>
      <c r="W53">
        <v>7.0000000000000007E-2</v>
      </c>
      <c r="X53">
        <v>0.08</v>
      </c>
      <c r="Y53">
        <v>0.09</v>
      </c>
      <c r="Z53">
        <v>0.1</v>
      </c>
      <c r="AA53">
        <v>0.11</v>
      </c>
      <c r="AB53">
        <v>0.12</v>
      </c>
      <c r="AC53">
        <v>0.13</v>
      </c>
      <c r="AD53">
        <v>0.14000000000000001</v>
      </c>
      <c r="AE53">
        <v>0.15</v>
      </c>
      <c r="AF53">
        <v>0.16</v>
      </c>
      <c r="AG53">
        <v>0.17</v>
      </c>
      <c r="AH53">
        <v>0.18</v>
      </c>
      <c r="AI53">
        <v>0.19</v>
      </c>
      <c r="AJ53">
        <v>0.2</v>
      </c>
      <c r="AK53">
        <v>0.3</v>
      </c>
      <c r="AL53">
        <v>0.4</v>
      </c>
      <c r="AM53">
        <v>0.5</v>
      </c>
      <c r="AN53">
        <v>0.6</v>
      </c>
      <c r="AO53">
        <v>0.7</v>
      </c>
      <c r="AP53">
        <v>0.8</v>
      </c>
      <c r="AQ53">
        <v>0.9</v>
      </c>
      <c r="AR53">
        <v>1</v>
      </c>
      <c r="AS53" s="37">
        <f>MAX(R3,0.01)</f>
        <v>5.3443824914585908E-2</v>
      </c>
    </row>
    <row r="54" spans="16:45" x14ac:dyDescent="0.25">
      <c r="P54" t="s">
        <v>564</v>
      </c>
      <c r="Q54">
        <v>0.6553837340407288</v>
      </c>
      <c r="R54">
        <v>0.20234476769431176</v>
      </c>
      <c r="S54">
        <v>6.3804245102296236E-2</v>
      </c>
      <c r="T54">
        <v>2.5896072714800204E-2</v>
      </c>
      <c r="U54">
        <v>1.445502213043272E-2</v>
      </c>
      <c r="V54">
        <v>9.5600550250495332E-3</v>
      </c>
      <c r="W54">
        <v>6.6300076261507643E-3</v>
      </c>
      <c r="X54">
        <v>4.8493561558361946E-3</v>
      </c>
      <c r="Y54">
        <v>3.6251582699949282E-3</v>
      </c>
      <c r="Z54">
        <v>2.6837482713450121E-3</v>
      </c>
      <c r="AA54">
        <v>2.0342483497958453E-3</v>
      </c>
      <c r="AB54">
        <v>1.5161079629420157E-3</v>
      </c>
      <c r="AC54">
        <v>1.2132512579499885E-3</v>
      </c>
      <c r="AD54">
        <v>9.4323443663179554E-4</v>
      </c>
      <c r="AE54">
        <v>7.7173726633510543E-4</v>
      </c>
      <c r="AF54">
        <v>6.2213335182097153E-4</v>
      </c>
      <c r="AG54">
        <v>4.9077381712563442E-4</v>
      </c>
      <c r="AH54">
        <v>4.1232298390480812E-4</v>
      </c>
      <c r="AI54">
        <v>3.3022327472022241E-4</v>
      </c>
      <c r="AJ54">
        <v>2.8461232517323036E-4</v>
      </c>
      <c r="AK54">
        <v>1.4358326917393097E-3</v>
      </c>
      <c r="AL54">
        <v>5.0172044501691252E-4</v>
      </c>
      <c r="AM54">
        <v>1.1493959285841997E-4</v>
      </c>
      <c r="AN54">
        <v>6.9328643311427916E-5</v>
      </c>
      <c r="AO54">
        <v>2.0068817800676501E-5</v>
      </c>
      <c r="AP54">
        <v>7.2977519275187277E-6</v>
      </c>
      <c r="AQ54">
        <v>0</v>
      </c>
      <c r="AR54">
        <v>0</v>
      </c>
      <c r="AS54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Navodila</vt:lpstr>
      <vt:lpstr>BS_za_VSE_poslov.subjekte</vt:lpstr>
      <vt:lpstr>IPI_za_VSE_poslov.subjekte</vt:lpstr>
      <vt:lpstr>Ocena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Burger, Anže</dc:creator>
  <cp:lastModifiedBy>Gorazd Kovačič</cp:lastModifiedBy>
  <dcterms:created xsi:type="dcterms:W3CDTF">2022-09-19T11:28:42Z</dcterms:created>
  <dcterms:modified xsi:type="dcterms:W3CDTF">2023-03-02T11:51:22Z</dcterms:modified>
</cp:coreProperties>
</file>