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tables/table4.xml" ContentType="application/vnd.openxmlformats-officedocument.spreadsheetml.table+xml"/>
  <Override PartName="/xl/charts/chartEx1.xml" ContentType="application/vnd.ms-office.chartex+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mnz-my.sharepoint.com/personal/anja_gartner_gov_si/Documents/PROJEKT TRAJNOSTNA OBVEZNICA/Za objavo/"/>
    </mc:Choice>
  </mc:AlternateContent>
  <xr:revisionPtr revIDLastSave="223" documentId="8_{8720B0BB-ABF1-4375-B2C3-632CBCB9D7D5}" xr6:coauthVersionLast="47" xr6:coauthVersionMax="47" xr10:uidLastSave="{B8CAEC3C-B480-441E-9C4A-2BA5316EA164}"/>
  <bookViews>
    <workbookView xWindow="-108" yWindow="-108" windowWidth="30936" windowHeight="16896" tabRatio="874" activeTab="2" xr2:uid="{00000000-000D-0000-FFFF-FFFF00000000}"/>
  </bookViews>
  <sheets>
    <sheet name="Social projects (SP)" sheetId="1" r:id="rId1"/>
    <sheet name="Green projects (GP)" sheetId="5" r:id="rId2"/>
    <sheet name="Summary 2022+2023 " sheetId="29" r:id="rId3"/>
    <sheet name="Drop list" sheetId="8" state="hidden" r:id="rId4"/>
    <sheet name="Analysis" sheetId="25" r:id="rId5"/>
    <sheet name="Allocation aggregate" sheetId="26" r:id="rId6"/>
    <sheet name="Allocation report contracted" sheetId="28" r:id="rId7"/>
    <sheet name="Portfolio nr. 1" sheetId="18" r:id="rId8"/>
    <sheet name="Portfolio nr. 2" sheetId="19" r:id="rId9"/>
    <sheet name="Portfolio nr. 3" sheetId="20" r:id="rId10"/>
    <sheet name="Portfolio nr. 4" sheetId="21" r:id="rId11"/>
    <sheet name="Portfolio nr. 5" sheetId="22" r:id="rId12"/>
    <sheet name="Portfolio nr. 92" sheetId="9" r:id="rId13"/>
    <sheet name="Portfolio nr. 93" sheetId="10" r:id="rId14"/>
    <sheet name="Portfolio nr. 94" sheetId="11" r:id="rId15"/>
    <sheet name="Portfolio nr. 95" sheetId="12" r:id="rId16"/>
    <sheet name="Portfolio nr. 96" sheetId="13" r:id="rId17"/>
    <sheet name="Portfolio nr.156" sheetId="14" r:id="rId18"/>
  </sheets>
  <externalReferences>
    <externalReference r:id="rId19"/>
    <externalReference r:id="rId20"/>
    <externalReference r:id="rId21"/>
  </externalReferences>
  <definedNames>
    <definedName name="_xlnm._FilterDatabase" localSheetId="1" hidden="1">'Green projects (GP)'!$A$1:$R$39</definedName>
    <definedName name="_xlnm._FilterDatabase" localSheetId="0" hidden="1">'Social projects (SP)'!$A$1:$Q$138</definedName>
    <definedName name="_xlchart.v1.0" hidden="1">Analysis!$A$2:$A$6</definedName>
    <definedName name="_xlchart.v1.1" hidden="1">Analysis!$E$2:$E$6</definedName>
    <definedName name="Country_List">[1]Country_List!$A$1:$A$275</definedName>
    <definedName name="EIB_list_of_sludge_disposal">[2]EIB_EFs!$H$9:$H$15</definedName>
    <definedName name="EIB_list_of_WWTP">[2]EIB_EFs!$G$9:$G$20</definedName>
  </definedNames>
  <calcPr calcId="191028"/>
  <pivotCaches>
    <pivotCache cacheId="9" r:id="rId22"/>
    <pivotCache cacheId="10" r:id="rId2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28" l="1"/>
  <c r="E21" i="28"/>
  <c r="E22" i="28"/>
  <c r="E20" i="28"/>
  <c r="E13" i="28"/>
  <c r="C7" i="28"/>
  <c r="O34" i="5"/>
  <c r="O33" i="5"/>
  <c r="O32" i="5"/>
  <c r="O31" i="5"/>
  <c r="O30" i="5"/>
  <c r="O29" i="5"/>
  <c r="O28" i="5"/>
  <c r="O26" i="5"/>
  <c r="O25" i="5"/>
  <c r="O24" i="5"/>
  <c r="O23" i="5"/>
  <c r="O22" i="5"/>
  <c r="O21" i="5"/>
  <c r="O20" i="5"/>
  <c r="O19" i="5"/>
  <c r="O18" i="5"/>
  <c r="O17" i="5"/>
  <c r="O16" i="5"/>
  <c r="O15" i="5"/>
  <c r="O14" i="5"/>
  <c r="O13" i="5"/>
  <c r="O12" i="5"/>
  <c r="O11" i="5"/>
  <c r="O10" i="5"/>
  <c r="O9" i="5"/>
  <c r="O8" i="5"/>
  <c r="O7" i="5"/>
  <c r="O6" i="5"/>
  <c r="O5" i="5"/>
  <c r="O4" i="5"/>
  <c r="O3" i="5"/>
  <c r="O2" i="5"/>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2" i="1"/>
  <c r="N125" i="1" l="1"/>
  <c r="F23" i="13"/>
  <c r="E38" i="28" l="1"/>
  <c r="E40" i="28"/>
  <c r="E37" i="28"/>
  <c r="C23" i="13" l="1"/>
  <c r="E3" i="14"/>
  <c r="E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2" i="14"/>
  <c r="D32" i="12"/>
  <c r="F32" i="12"/>
  <c r="G3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2" i="12"/>
  <c r="C32" i="12"/>
  <c r="E3" i="9"/>
  <c r="E4" i="9"/>
  <c r="E5" i="9"/>
  <c r="E6" i="9"/>
  <c r="E7" i="9"/>
  <c r="E8" i="9"/>
  <c r="E9" i="9"/>
  <c r="E2" i="9"/>
  <c r="E3" i="11"/>
  <c r="E4" i="11"/>
  <c r="E5" i="11"/>
  <c r="E6" i="11"/>
  <c r="E7" i="11"/>
  <c r="E8" i="11"/>
  <c r="E9" i="11"/>
  <c r="E10" i="11"/>
  <c r="E11" i="11"/>
  <c r="E2" i="11"/>
  <c r="D12" i="11"/>
  <c r="F12" i="11"/>
  <c r="G12" i="11"/>
  <c r="C12" i="11"/>
  <c r="D5" i="10"/>
  <c r="E5" i="10"/>
  <c r="F5" i="10"/>
  <c r="G5" i="10"/>
  <c r="C5" i="10"/>
  <c r="D10" i="9"/>
  <c r="F10" i="9"/>
  <c r="G10" i="9"/>
  <c r="C10" i="9"/>
  <c r="D15" i="22"/>
  <c r="F15" i="22"/>
  <c r="G15" i="22"/>
  <c r="C15" i="22"/>
  <c r="E3" i="22"/>
  <c r="E4" i="22"/>
  <c r="E5" i="22"/>
  <c r="E6" i="22"/>
  <c r="E7" i="22"/>
  <c r="E8" i="22"/>
  <c r="E9" i="22"/>
  <c r="E10" i="22"/>
  <c r="E11" i="22"/>
  <c r="E12" i="22"/>
  <c r="E13" i="22"/>
  <c r="E14" i="22"/>
  <c r="E2" i="22"/>
  <c r="E3" i="21"/>
  <c r="E4" i="21"/>
  <c r="E5" i="21"/>
  <c r="E2" i="21"/>
  <c r="D6" i="21"/>
  <c r="F6" i="21"/>
  <c r="G6" i="21"/>
  <c r="C6" i="21"/>
  <c r="B69" i="25"/>
  <c r="B72" i="25"/>
  <c r="B71" i="25"/>
  <c r="B70" i="25"/>
  <c r="E12" i="11" l="1"/>
  <c r="E10" i="9"/>
  <c r="E15" i="22"/>
  <c r="E32" i="12"/>
  <c r="B73" i="25"/>
  <c r="E6" i="21"/>
  <c r="E4" i="19" l="1"/>
  <c r="D4" i="19"/>
  <c r="C4" i="19"/>
  <c r="B45" i="29"/>
  <c r="B42" i="29"/>
  <c r="G2" i="18" l="1"/>
  <c r="E3" i="13"/>
  <c r="E4" i="13"/>
  <c r="E5" i="13"/>
  <c r="E6" i="13"/>
  <c r="E7" i="13"/>
  <c r="E8" i="13"/>
  <c r="E9" i="13"/>
  <c r="E10" i="13"/>
  <c r="E11" i="13"/>
  <c r="E12" i="13"/>
  <c r="E13" i="13"/>
  <c r="E14" i="13"/>
  <c r="E15" i="13"/>
  <c r="E16" i="13"/>
  <c r="E17" i="13"/>
  <c r="E18" i="13"/>
  <c r="E19" i="13"/>
  <c r="E20" i="13"/>
  <c r="E21" i="13"/>
  <c r="E22" i="13"/>
  <c r="E2" i="13"/>
  <c r="D23" i="13"/>
  <c r="G23" i="13"/>
  <c r="D34" i="29"/>
  <c r="C34" i="29"/>
  <c r="B34" i="29"/>
  <c r="C33" i="29"/>
  <c r="B33" i="29"/>
  <c r="D33" i="29"/>
  <c r="E23" i="13" l="1"/>
  <c r="E30" i="28"/>
  <c r="E29" i="28"/>
  <c r="G98" i="14"/>
  <c r="F98" i="14"/>
  <c r="E98" i="14"/>
  <c r="D98" i="14"/>
  <c r="C98" i="14"/>
  <c r="O35" i="5"/>
  <c r="M35" i="5"/>
  <c r="D7" i="28"/>
  <c r="E4" i="28"/>
  <c r="E5" i="28"/>
  <c r="E6" i="28"/>
  <c r="E3" i="28"/>
  <c r="D8" i="26"/>
  <c r="D6" i="26"/>
  <c r="E4" i="26"/>
  <c r="C8" i="26"/>
  <c r="C7" i="26"/>
  <c r="C6" i="26"/>
  <c r="B7" i="25"/>
  <c r="F15" i="25" s="1"/>
  <c r="D3" i="25"/>
  <c r="D4" i="25"/>
  <c r="D5" i="25"/>
  <c r="D6" i="25"/>
  <c r="D2" i="25"/>
  <c r="E3" i="18"/>
  <c r="E4" i="18"/>
  <c r="E5" i="18"/>
  <c r="E6" i="18"/>
  <c r="E7" i="18"/>
  <c r="B35" i="29"/>
  <c r="D31" i="28"/>
  <c r="C7" i="25"/>
  <c r="G16" i="18"/>
  <c r="D16" i="18"/>
  <c r="C16" i="18"/>
  <c r="F8" i="18"/>
  <c r="E8" i="18" s="1"/>
  <c r="F3" i="28"/>
  <c r="G3" i="28"/>
  <c r="C14" i="28"/>
  <c r="D14" i="28"/>
  <c r="E14" i="28"/>
  <c r="F20" i="28"/>
  <c r="F21" i="28"/>
  <c r="F22" i="28"/>
  <c r="C23" i="28"/>
  <c r="D23" i="28"/>
  <c r="E23" i="28"/>
  <c r="C31" i="28"/>
  <c r="C41" i="28"/>
  <c r="D41" i="28"/>
  <c r="E41" i="28"/>
  <c r="N35" i="5"/>
  <c r="P35" i="5"/>
  <c r="Q35" i="5"/>
  <c r="M125" i="1"/>
  <c r="O125" i="1"/>
  <c r="P125" i="1"/>
  <c r="L125" i="1"/>
  <c r="B41" i="29"/>
  <c r="B44" i="29"/>
  <c r="B43" i="29"/>
  <c r="E41" i="29"/>
  <c r="E42" i="29"/>
  <c r="C9" i="26" l="1"/>
  <c r="E7" i="28"/>
  <c r="E8" i="26"/>
  <c r="D7" i="25"/>
  <c r="F31" i="28"/>
  <c r="E31" i="28"/>
  <c r="E2" i="18"/>
  <c r="F9" i="18"/>
  <c r="E9" i="18" s="1"/>
  <c r="E7" i="26"/>
  <c r="D9" i="26"/>
  <c r="E6" i="26"/>
  <c r="E5" i="26"/>
  <c r="C35" i="29"/>
  <c r="B46" i="29"/>
  <c r="E43" i="29"/>
  <c r="C45" i="29"/>
  <c r="F10" i="18"/>
  <c r="E10" i="18" s="1"/>
  <c r="G15" i="25"/>
  <c r="H15" i="25" s="1"/>
  <c r="D35" i="29" l="1"/>
  <c r="E9" i="26"/>
  <c r="F7" i="26" s="1"/>
  <c r="F11" i="18"/>
  <c r="E5" i="25"/>
  <c r="E4" i="25"/>
  <c r="E2" i="25"/>
  <c r="E3" i="25"/>
  <c r="E6" i="25"/>
  <c r="F5" i="26" l="1"/>
  <c r="F12" i="18"/>
  <c r="E12" i="18" s="1"/>
  <c r="E11" i="18"/>
  <c r="F8" i="26"/>
  <c r="F6" i="26"/>
  <c r="F4" i="26"/>
  <c r="F13" i="18"/>
  <c r="E13" i="18" s="1"/>
  <c r="E7" i="25"/>
  <c r="F14" i="18" l="1"/>
  <c r="F15" i="18" l="1"/>
  <c r="E15" i="18" s="1"/>
  <c r="E14" i="18"/>
  <c r="E16" i="18" l="1"/>
</calcChain>
</file>

<file path=xl/sharedStrings.xml><?xml version="1.0" encoding="utf-8"?>
<sst xmlns="http://schemas.openxmlformats.org/spreadsheetml/2006/main" count="2639" uniqueCount="1215">
  <si>
    <t xml:space="preserve">Project nr. </t>
  </si>
  <si>
    <t xml:space="preserve">NRP nr. </t>
  </si>
  <si>
    <t xml:space="preserve">Project name </t>
  </si>
  <si>
    <t xml:space="preserve">Description and rationale for social eligibility </t>
  </si>
  <si>
    <t xml:space="preserve"> 
SBP Category</t>
  </si>
  <si>
    <t>Sub-category</t>
  </si>
  <si>
    <t>UN SDG goal</t>
  </si>
  <si>
    <t>Type of expenditure</t>
  </si>
  <si>
    <t>Beneficiary</t>
  </si>
  <si>
    <t xml:space="preserve">Target Population </t>
  </si>
  <si>
    <t>Phase of the project</t>
  </si>
  <si>
    <t>Total project amount (EUR)</t>
  </si>
  <si>
    <t>Total RS financing amount (EUR)</t>
  </si>
  <si>
    <t>Bond eligible amount (EUR)
Σ 22+23</t>
  </si>
  <si>
    <t>RS financing 2022 (EUR)</t>
  </si>
  <si>
    <t>RS financing 2023 (EUR)</t>
  </si>
  <si>
    <t>Responsible Ministry</t>
  </si>
  <si>
    <t>2711-02-0001</t>
  </si>
  <si>
    <t>Replacement of worn-out equipment for several public health institutions, as well as purchases of equipment to introduce new medical technologies</t>
  </si>
  <si>
    <t>Procedures will be carried out for the procurement of medical and other equipment for public health care institutions founded by the Republic of Slovenia. The completed purchases will replace worn-out equipment, as well as a few pieces of equipment that represent the introduction of new medical technologies.</t>
  </si>
  <si>
    <t xml:space="preserve">Access to Essential Services - Healthcare </t>
  </si>
  <si>
    <t>Health institutions construction, renovation, and equipping</t>
  </si>
  <si>
    <t>Industry, innovation and infrastructure</t>
  </si>
  <si>
    <t xml:space="preserve">investment expenditure </t>
  </si>
  <si>
    <t>Public health institutes on secondary and tertiary level</t>
  </si>
  <si>
    <t>All population</t>
  </si>
  <si>
    <t>Execution</t>
  </si>
  <si>
    <t>Ministry of health</t>
  </si>
  <si>
    <t>2711-08-0012</t>
  </si>
  <si>
    <t>Establishing a modern and interoperable health information system that will enable secure electronic business and efficient management of data and information related to health and health services.</t>
  </si>
  <si>
    <t>Nacionalni inštitut za javno zdravje</t>
  </si>
  <si>
    <t>11. All population</t>
  </si>
  <si>
    <t>2711-10-0009</t>
  </si>
  <si>
    <t>Establishment of a health dispatch service to ensure equal access to emergency medical care, emergency, non-emergency and ambulance transport of patients throughout the country</t>
  </si>
  <si>
    <t>The main goals of the investment are: the establishment of a health dispatch service according to established international standards, which will ensure equal access to emergency medical care, emergency, non-emergency and ambulance transport of patients throughout the country. Improve the quality of emergency medical services with an emphasis on improving long-term survival and quality of survival in cases of community-acquired heart failure and other life-threatening conditions. Reduce the costs of emergency medical care and improve the readiness of health care to operate in emergency situations by establishing comprehensive monitoring of the state of the system and the capacity to implement operational crisis management.</t>
  </si>
  <si>
    <t>Health care system development</t>
  </si>
  <si>
    <t>UKC Ljubljana</t>
  </si>
  <si>
    <t>2711-16-0001</t>
  </si>
  <si>
    <t>Construction of new premises to replace and extend the capacities of the Department for Disabled Youth within the General Hospital -Dr. Franca Derganca- Nova Gorica</t>
  </si>
  <si>
    <t>The purpose of the investment is the construction of new premises for the implementation of medical activities within the General Hospital -Dr. Franca Derganca- Nova Gorica, namely the replacement and supplementation of the capacities of the Department for Disabled Youth.</t>
  </si>
  <si>
    <t>ZIM Stara gora</t>
  </si>
  <si>
    <t>2711-16-0002</t>
  </si>
  <si>
    <t>Construct an emergency center at the General Hospital Ptuj to enable optimal access to services and to provide urgent and urgent medical care to urgent patients in one place at any time</t>
  </si>
  <si>
    <t>The purpose of the construction of the Emergency Center at the General Hospital Ptuj is to enable optimal access to services and to provide urgent and urgent medical care to urgent patients in one place at any time. The goals of the investment are quality operation of the emergency service in SB Ptuj, uniform and comprehensive treatment in one place, both injured and suddenly ill patients, acquisition of equipment necessary for modern emergency care and with which it will be possible to shorten patient treatment times and improve outcome treatment.</t>
  </si>
  <si>
    <t>Splošna bolnišnica dr. Jožeta Potrča Ptuj</t>
  </si>
  <si>
    <t>Planning</t>
  </si>
  <si>
    <t>2711-16-0004</t>
  </si>
  <si>
    <t xml:space="preserve">Constructing and equipping an intensive care unit for operative specialities and an intensive care unit for internal medicine at General Hospital Jesenice </t>
  </si>
  <si>
    <t>The purpose of the investment project is to ensure the concentration of all intensive care units at GH Jesenice and thereby bring them closer to the standards of modern medical technology. The goal of the investment is the construction of a new extension to accommodate the intensive care unit for operative specialties and the intensive care unit for internal medicine, the reconstruction of the existing rooms on both floors is necessary to combine the new and old rooms, the construction of a new northern external fire escape and the procurement of equipment for both units.</t>
  </si>
  <si>
    <t xml:space="preserve">intervention expenditure </t>
  </si>
  <si>
    <t>SB Jesenice</t>
  </si>
  <si>
    <t>2711-17-0001</t>
  </si>
  <si>
    <t>Support for the regulation and development of the health care system, in particular around funding, organization and effective governance, as well as the provision of health care and long-term care.</t>
  </si>
  <si>
    <t>Activities include support for the implementation of comprehensive systemic legislative changes in the areas of funding, organization and effective governance, and the provision of health care and long-term care.</t>
  </si>
  <si>
    <t>Good health and well-being</t>
  </si>
  <si>
    <t xml:space="preserve">operating expenditure </t>
  </si>
  <si>
    <t>External contractors, non-profit organizations, public institutions</t>
  </si>
  <si>
    <t>2711-17-0009</t>
  </si>
  <si>
    <t>Funding for the National Institute of Public Health to provide services for public health</t>
  </si>
  <si>
    <t>Funds are provided for the provision of public service in the field of public health activities, which is performed by the National Institute of Public Health (NIJZ) in accordance with the Health Activity Act. The content and scope of tasks shall be determined in the annual work program approved by the Ministry. Professional and development tasks in the field of worker protection are co-financed.</t>
  </si>
  <si>
    <t>Health services</t>
  </si>
  <si>
    <t>2711-17-0010</t>
  </si>
  <si>
    <t xml:space="preserve">Funding for the National Laboratory for Health, Environment and Food, which provides services related to public health such as monitoring the quality of drinking water </t>
  </si>
  <si>
    <t>The measure ensures the implementation of the annual work program of the National Laboratory for Health, Environment and Food, which, based on the provisions of the ZZDej, performs a public service in the field of public health. Tasks are defined in 23 c. Article ZZDej, which includes, among other things, the implementation of drinking water monitoring and a comprehensive environmental impact assessment.</t>
  </si>
  <si>
    <t>Nacionalni laboratorij za zdravje, okolje in hrano</t>
  </si>
  <si>
    <t>2711-17-0012</t>
  </si>
  <si>
    <t xml:space="preserve">Development, promotion and coordination of organ transplant and blood donation within Slovenia </t>
  </si>
  <si>
    <t>As part of the transfusion and transplantation activities, we will perform the following activities: blood supply as part of the transfusion activity (performed by the Institute of Transfusion Medicine and, to a lesser extent, transfusion centers at the University Medical Center Maribor and the Celje General Hospital), which includes planning, collection, processing, testing, storage, distribution, treatment and even and sufficient supply of the population with blood and blood products (ie blood plasma drugs) and trade in them, providing a sufficient amount of blood for the needs of the Republic of Slovenia through blood donation campaigns (carried out by the Red Cross), development , promotion and coordination of transplantation activity in Slovenia (performed by Slovenija Transplant).</t>
  </si>
  <si>
    <t>Public institutions, non-profit organizations, other public service providers, individuals</t>
  </si>
  <si>
    <t>2711-17-0013</t>
  </si>
  <si>
    <t>Operation and development of the emergency medical care system, the development of system solutions and other tasks that affect the entire system of health care in the event of natural and other disasters in the Republic of Slovenia</t>
  </si>
  <si>
    <t>The purpose of the measure is to provide conditions for the operation and development of the emergency medical care system, the development of system solutions and other tasks that affect the entire system of health care in the event of natural and other disasters in the Republic of Slovenia.</t>
  </si>
  <si>
    <t>Public institutions, non-profit organizations, other public service providers, municipalities</t>
  </si>
  <si>
    <t>2711-17-0014</t>
  </si>
  <si>
    <t>Inclusion of socially at-risk people in the health care system by covering the difference to the full value of health services to beneficiaries of financial social assistance</t>
  </si>
  <si>
    <t>Within the measure, activities will be carried out to include socially endangered persons in the health care system by covering the difference to the full value of health services to beneficiaries of financial social assistance.</t>
  </si>
  <si>
    <t>2711-17-0023</t>
  </si>
  <si>
    <t xml:space="preserve">Construction of new building fortreatment and rehabilitation of chronically ill children
</t>
  </si>
  <si>
    <t>The goals of the investment project are better care of children (more successful treatment and achieving a greater share of lasting effects of treatment), shortening the time of treatment of children (reduction of nosocomial infections), improvement of health services (more suitable places for children and escorts), implementation of additional activities of existing programs. lifestyle, therapeutic treatment of children with developmental disabilities), improving the working conditions of employees, improving the conditions for the operation of the kitchen and other service activities. The social benefit of the project is also the provision of conditions for greater social inclusion of young people with special needs in the local environment and the development of deinstitutional forms of care. The new facility will offer users and employees improved living and working conditions.</t>
  </si>
  <si>
    <t>CZBO Šentvid pri Stični</t>
  </si>
  <si>
    <t>2711-17-0029</t>
  </si>
  <si>
    <t>Renovation and improvement of the hospital pharmacy at SB Trbovlje</t>
  </si>
  <si>
    <t>The purpose of the investment is to provide the spatial and equipment conditions for performing the hospital pharmacy activity by carrying out the adaptation of the existing premises of the hospital pharmacy and by acquiring additional spatial areas.</t>
  </si>
  <si>
    <t>Splošna bolnišnica Trbovlje</t>
  </si>
  <si>
    <t>2711-17-0035</t>
  </si>
  <si>
    <t>Postgraduate training of health professionals</t>
  </si>
  <si>
    <t>Providing conditions for the qualification of health care workers and associates for independent work in the health care activity.</t>
  </si>
  <si>
    <t>Health professionals training</t>
  </si>
  <si>
    <t>Zavod za zdravstveno zavarovanje RS</t>
  </si>
  <si>
    <t>2711-17-0041</t>
  </si>
  <si>
    <t xml:space="preserve">Provision of a mobile unit to enable DrogArt to facilitate early identification of potential recipients for counseling, healthcare, information services and other appropriate forms of assistance
</t>
  </si>
  <si>
    <t>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t>
  </si>
  <si>
    <t>Združenje DrogArt</t>
  </si>
  <si>
    <t>10. Other vulnerable groups, including as a result of natural disasters.</t>
  </si>
  <si>
    <t>2711-17-0042</t>
  </si>
  <si>
    <t xml:space="preserve">Provision of a mobile unit Society project  to facilitate early identification of potential recipients for counseling, healthcare, ,information services and other appropriate forms of assistance
</t>
  </si>
  <si>
    <t>Društvo Projekt Človek</t>
  </si>
  <si>
    <t>2711-17-0043</t>
  </si>
  <si>
    <t>Provision of a mobile unit Society Šent to facilitate early identification of potential recipients for counseling, healthcare, information services and other appropriate forms of assistance</t>
  </si>
  <si>
    <t>Društvo Šent</t>
  </si>
  <si>
    <t>2711-17-0044</t>
  </si>
  <si>
    <t xml:space="preserve">Provision of a mobile unit Socio to facilitate early identification of potential recipients for counseling, healthcare, information services and and other appropriate forms of assistance
</t>
  </si>
  <si>
    <t>JZ Socio</t>
  </si>
  <si>
    <t>2711-17-0045</t>
  </si>
  <si>
    <t xml:space="preserve">Provision of a mobile unit Stigma to facilitate early identification of potential recipients for counseling, healthcare, information services and other appropriate forms of assistance
</t>
  </si>
  <si>
    <t>Društvo Stigma</t>
  </si>
  <si>
    <t>2711-17-0046</t>
  </si>
  <si>
    <t xml:space="preserve">Provision of a mobile unit Svit Koper to facilitate early identification of potential recipients for counseling, healthcare, information services and other appropriate forms of assistance
</t>
  </si>
  <si>
    <t>Društvo Svit Koper</t>
  </si>
  <si>
    <t>2711-17-0047</t>
  </si>
  <si>
    <t xml:space="preserve">Provision of a mobile unit Zdrava pot to facilitate early identification of potential recipients for counseling, healthcare, information services and other appropriate forms of assistance
</t>
  </si>
  <si>
    <t>Društvo Zdrava pot</t>
  </si>
  <si>
    <t>2711-17-0048</t>
  </si>
  <si>
    <t xml:space="preserve">Provision of a mobile unit Medical rehabilitation facilitate early identification of potential recipients for counseling, healthcare, information services and other appropriate forms of assistance
</t>
  </si>
  <si>
    <t>UPK LJ</t>
  </si>
  <si>
    <t>2711-17-0049</t>
  </si>
  <si>
    <t xml:space="preserve">Provision of a mobile unit Mobile Clinic to facilitate early identification of potential recipients for counseling, healthcare, information services and other appropriate forms of assistance
</t>
  </si>
  <si>
    <t>ZD Ptuj</t>
  </si>
  <si>
    <t>2711-17-0050</t>
  </si>
  <si>
    <t>ZD SG</t>
  </si>
  <si>
    <t>2711-18-0002</t>
  </si>
  <si>
    <t>Implementation of prevention programmes related to mental health and addiction</t>
  </si>
  <si>
    <t>By the measure of ensuring the implementation of prevention programs of governmental and non-governmental organizations in the field of mental health and addiction through unresolved strategies, national program and legislation of the Member States by the Republic of Slovenia, which is internationally committed, including regular monitoring and evaluation of these programs. emphasis on promoting and consolidating healthy lifestyles, reducing the harmful effects of alcohol and tobacco use and the risks of illicit drug use, improving mental health and preventing intentional and unintentional injuries and poisonings</t>
  </si>
  <si>
    <t>Public institutions, external contractors, non-profit organizations, other providers of public services</t>
  </si>
  <si>
    <t>2711-18-0003</t>
  </si>
  <si>
    <t>Implementation of prevention programmes related to chronic non-communicable disease, including early detection and comprehensive treatment of patients</t>
  </si>
  <si>
    <t>The measure ensures the implementation of prevention programs of governmental and non-governmental organizations for the implementation of strategies, national programs and objectives of legislation and adopted strategic documents in the field of prevention and control of KNB, including regular monitoring and evaluation of programs for effectiveness. with environmental risks and injuries), early detection and comprehensive treatment of patients.</t>
  </si>
  <si>
    <t>2711-18-0014</t>
  </si>
  <si>
    <t>Renovation of and equipment for the hospital pharmacy at the General Hospital Celje</t>
  </si>
  <si>
    <t>The purpose of the investment is to provide appropriate conditions regarding the premises and equipment for performing hospital pharmacy activities and consequently to regulate the conditions for aseptic work in the hospital pharmacy of the General Hospital Celje.</t>
  </si>
  <si>
    <t>Splošna bolnišnica Celje</t>
  </si>
  <si>
    <t>2711-18-0036</t>
  </si>
  <si>
    <t>Renovation of the hospital pharmacy at OP Valdoltra</t>
  </si>
  <si>
    <t>The aim of the investment is to arrange the premises of the hospital pharmacy to obtain verification.</t>
  </si>
  <si>
    <t>Ortopedska bolnišnica Valdoltra</t>
  </si>
  <si>
    <t>2711-18-0047</t>
  </si>
  <si>
    <t xml:space="preserve">Renovation of the hospital pharmacy at B Postojna </t>
  </si>
  <si>
    <t>The purpose of the investment is the implementation of GOI works (extension) and the purchase of equipment and personal and hospital elevators for the arrangement of the hospital pharmacy. The aim of the investment is to arrange the premises of the hospital pharmacy to obtain verification</t>
  </si>
  <si>
    <t>Bolnišnica Postojna</t>
  </si>
  <si>
    <t>2611-20-0906</t>
  </si>
  <si>
    <t>Co-financing the reconstruction and extension of the Intergenerational Center in the Municipality of Loški Potok, which will contain serviced apartments and apartments for young families</t>
  </si>
  <si>
    <t xml:space="preserve">Co-financing the reconstruction and extension of the Intergenerational Center in the Municipality of Loški Potok, in which serviced apartments and apartments for young families will be arranged. </t>
  </si>
  <si>
    <t>Access to Essential Services - Social Inclusion</t>
  </si>
  <si>
    <t>Social activation</t>
  </si>
  <si>
    <t>Reduced inequalities</t>
  </si>
  <si>
    <t>Intergenerational Center in the Municipality of Loški Potok</t>
  </si>
  <si>
    <t>persons aged 65 and over, young families</t>
  </si>
  <si>
    <t>Ministry of Labour, Family, Social Affairs and Equal Opportunities</t>
  </si>
  <si>
    <t>3311-11-0002</t>
  </si>
  <si>
    <t>Increasing children's participation in pre-school education, which also ensures better results in further education</t>
  </si>
  <si>
    <t xml:space="preserve">Shorter programs for preschool children not included in kindergarten. </t>
  </si>
  <si>
    <t xml:space="preserve">Access to Essential Services - Education </t>
  </si>
  <si>
    <t>Pre-school</t>
  </si>
  <si>
    <t>children and their families</t>
  </si>
  <si>
    <t>All population and vulnerable families</t>
  </si>
  <si>
    <t>Performance/monitoring</t>
  </si>
  <si>
    <t>Ministry of education science and sport</t>
  </si>
  <si>
    <t>3311-11-0016</t>
  </si>
  <si>
    <t>Provision of cheaper or free school meals for primary school students with lower socieoeconomic status</t>
  </si>
  <si>
    <t>Ensuring quality school nutrition affects the optimal development of students, the development of awareness of healthy eating and eating culture, education and training for a responsible attitude towards themselves, their health and the environment. Students from socially less stimulating backgrounds are provided with a cheaper or free meal of school meals with a subsidy.</t>
  </si>
  <si>
    <t>Primary school</t>
  </si>
  <si>
    <t>subsidies, grant, loans</t>
  </si>
  <si>
    <t>Pupils in primary schools and their families</t>
  </si>
  <si>
    <t>Population with lower income</t>
  </si>
  <si>
    <t>3311-11-0019</t>
  </si>
  <si>
    <t>Provision of cheaper or free school meals for secondary school students with lower socieoeconomic status</t>
  </si>
  <si>
    <t>Students from socially less stimulating backgrounds are provided with a cheaper or free meal of school lunch with a subsidy, which has a favorable effect on their psycho-physical development and on the development of awareness of healthy eating and eating culture.</t>
  </si>
  <si>
    <t>Secondary school</t>
  </si>
  <si>
    <t>2711-19-0002</t>
  </si>
  <si>
    <t xml:space="preserve">Improvement of the dialysis and associated ancillary rooms at SB Murska Sobota </t>
  </si>
  <si>
    <t>The aim of the investment is to provide a modern arrangement of all dialysis rooms and associated ancillary and auxiliary rooms of the department, which will be used for outpatient and inpatient patients in need of dialysis.</t>
  </si>
  <si>
    <t>Splošna bolnišnica Murska Sobota</t>
  </si>
  <si>
    <t>2711-19-0007</t>
  </si>
  <si>
    <t>Implementation of health programmes to reduce healthcare waiting times</t>
  </si>
  <si>
    <t>The project refers to a private national regulation for the selection of the most favorable bidders for the implementation of selected health programs for 2020 in 2021, which will include services with inadmissibly waiting patients for all levels of urgency.</t>
  </si>
  <si>
    <t>Healthcare service providers</t>
  </si>
  <si>
    <t>2711-19-0010</t>
  </si>
  <si>
    <t xml:space="preserve">Ensure adequate fire safety and environmental sustainability of buildings at SB Jesenice </t>
  </si>
  <si>
    <t>The purpose of the investment is to eliminate technical or safety deficiencies of the existing state of architectural designs, construction elements and installation systems of buildings, to ensure adequate fire safety and environmental sustainability of renovated buildings, and to eliminate the safety risks of the existing state.</t>
  </si>
  <si>
    <t xml:space="preserve"> Splošna bolnišnica Jesenice</t>
  </si>
  <si>
    <t>2711-19-0012</t>
  </si>
  <si>
    <t>Various projects to promote integrated care for the elderly, such as training of employees, trial of new sercies such as e-care, creation of pathways for cooperation
Which municipality is this project for?</t>
  </si>
  <si>
    <t>The purpose and goals of the project are: - establishment of a single entry information point; - testing of a new assessment tool for assessing entitlement to integrated care; - development, testing, implementation, monitoring and evaluation of new services, including e-care services, for the adult and elderly population who, due to the consequences of illness, age-related weakness, injuries, disability, lack or loss of intellectual abilities, are dependent on the assistance of other persons in performing basic and supporting daily tasks and, in accordance with the assessment tool determined by the Ministry, are assessed as entitled to services; - creation of an integrated treatment of the individual (by connecting existing and new services) and continuous monitoring in case of transitions between providers in the field of health and social care; - creation of clinical pathways or cooperation protocols between the healthcare and social care system; - creation and monitoring of service quality indicators; - establishment of information support for eligibility assessment, planning and monitoring of the implementation of existing and new services of the contractor in real time; - development and strengthening of networks for palliative care at the primary level; - training of employees for high-quality, safe, multi-professional and multi-sector provision of services oriented towards the user and his needs.</t>
  </si>
  <si>
    <t>Dom Danice Vogrinec Maribor</t>
  </si>
  <si>
    <t>9. Aging populations and/or vulnerable youth</t>
  </si>
  <si>
    <t>2711-19-0013</t>
  </si>
  <si>
    <t>Various projects to promote integrated care for the elderly in the municipality of Koper, such as training of employees, trial of new sercies such as e-care, creation of pathways for cooperation</t>
  </si>
  <si>
    <t>Obalni dom upokojencev Koper</t>
  </si>
  <si>
    <t>2711-19-0014</t>
  </si>
  <si>
    <t xml:space="preserve">Various projects to promote integrated care for the elderly, such as training of employees, trial of new servicies such as e-care, creation of pathways for cooperation
</t>
  </si>
  <si>
    <t>Dom Petra Uzarja</t>
  </si>
  <si>
    <t>2711-20-0001</t>
  </si>
  <si>
    <t>Purchase of necessary equipment for the Ministry of Health</t>
  </si>
  <si>
    <t>The project is intended to provide material equipment and thus conditions for the operation and implementation of the tasks of the Ministry of Health. The project includes the purchase of equipment for normal operation of employees at the Ministry of Health from office furniture, telephone and mobile devices, multifunctional devices, devices for cutting and destroying materials, security equipment, other office devices and fixed assets and a company car.</t>
  </si>
  <si>
    <t>External contractors</t>
  </si>
  <si>
    <t>2711-20-0002</t>
  </si>
  <si>
    <t xml:space="preserve">Procurement for the reservation/purchase of a pandemic influenza vaccine 
</t>
  </si>
  <si>
    <t>The measure has three objectives, namely to maintain and strengthen the health of the population in the areas of nutrition, exercise, alcohol, diabetes, HIV, cancer, injuries and addiction prevention, and the objective of this measure public procurement of Member States for the reservation or purchase of a pandemic influenza vaccine (Decision of the Government of the Republic of Slovenia No. 43000-7 / 2017/3, dated 20 April 2017), this measure also ensures the implementation of measures and activities in the field of vaccination.</t>
  </si>
  <si>
    <t>Public institutions, external contractors, non-profit organizations</t>
  </si>
  <si>
    <t>2711-20-0005</t>
  </si>
  <si>
    <t>Implementation of integrated care for the elderly in the municipality of Ptuj</t>
  </si>
  <si>
    <t>The purpose is the implementation of integrated care in the area of ​​the Municipality of Ptuj, the development of new services in the community and the strengthening of the field of prevention, as well as the provision of continuous treatment of individuals who need services to maintain independence. The project aims to transform the existing way of implementing community services and programs for the elderly. No. will be measured. involved users in the provision of community services and programs for the elderly.</t>
  </si>
  <si>
    <t>Dom upokojencev Ptuj</t>
  </si>
  <si>
    <t>2711-20-0006</t>
  </si>
  <si>
    <t xml:space="preserve">Implementation of integrated care for the elderly, development of new services in the community and strengthening of the field of prevention, as well as ensuring the continuity of treatment between various providers from the field of health and social care in the public network in the municipality of Slovenska Bistrica
</t>
  </si>
  <si>
    <t>Dom dr. Jožeta Potrča Poljčane</t>
  </si>
  <si>
    <t>2711-20-1007</t>
  </si>
  <si>
    <t>Systemic regulation of long-term care</t>
  </si>
  <si>
    <t>The Ministry of Health creates the necessary conditions for the preparation and transition to the implementation of the new integrated DO system. The measure provides conditions for the implementation of activities, the purpose of which is to support the implementation of comprehensive system changes in the field of organization and effective management of the DO system, including the establishment of an effective system of control over the quality and safety of services in long-term care. As part of the measure, funding is provided for the work of individual experts and expert groups, who provide professional assistance to the Ministry in preparing the necessary professional bases, such as clinical pathways and protocols in the field of long-term care, proposals for staff training curricula in the field of long-term care, and links between social care, health care and long-term care systems. The measure is also intended for activities for the effective management of the long-term care system.</t>
  </si>
  <si>
    <t>2711-21-0002</t>
  </si>
  <si>
    <t xml:space="preserve">Provision of additional funds for public health insurance </t>
  </si>
  <si>
    <t>Due to the reduction of economic activity as a consequence of the epidemic, the revenues of the HIIS from contributions for compulsory health insurance are also decreasing, as a result of which the operating conditions of the HIIS are significantly deteriorating. Therefore, ZZZS, as one of the public coffers established by the state, must provide additional liquid funds from the budget of the Republic of Slovenia for the provision of public health insurance, ie to cover the rights of insured persons from this insurance and thus to pay obligations. to health care providers if the ZZZS 'own resources are not sufficient for this purpose. This will also enable more stable operations of the health insurance fund and health care providers in public networks, and thus the smooth implementation of health care activities and access to health care services for the population.</t>
  </si>
  <si>
    <t>2711-21-0035</t>
  </si>
  <si>
    <t>Improvements to facilities for the blind and partially sighted to enable an increase in autonomy and independence</t>
  </si>
  <si>
    <t>The purpose of the operation is to improve the conditions for blind and partially sighted rehabilitators, increase the efficiency of individual treatment as part of their comprehensive rehabilitation, including the provision of modern and attractively arranged medical facilities, and improve working conditions and facilitate work for participating medical staff. The anticipated results of the operation are an increase in the autonomy, independence and self-regulation of rehabilitators, which enables the relief of care or foreign aid, and the reduction of the scope and costs of institutional care for the blind and partially sighted.</t>
  </si>
  <si>
    <t>2711-21-0057</t>
  </si>
  <si>
    <t xml:space="preserve">Construction of a new building in the Isolation Department at the Golnik Clinic to increase readiness for treatment of a large number of patients with infectious diseases </t>
  </si>
  <si>
    <t>The purpose of the 1st phase of the investment is the preparation of project and investment documentation for the investment in the new building of the Isolation Department of the Golnik Clinic. The objectives of the 1st phase of the investment is to provide the necessary conditions - project and investment documentation, which will be the basis for providing all the necessary resources for the implementation of the entire investment, with the aim of arranging an isolation department to increase the readiness of the Golnik Clinic for acute hospital treatment of a large number of patients with COVID-19 and other infectious diseases, with equal opportunities for others, especially for immunocompromised patients.</t>
  </si>
  <si>
    <t>Klinika Golnik</t>
  </si>
  <si>
    <t>2711-21-0076</t>
  </si>
  <si>
    <t>Renovation of UKC Maribor to create a Nursing Hospital</t>
  </si>
  <si>
    <t>The object of the investment is the arrangement of premises for the purpose of the Nursing Hospital as part of UKC Maribor, namely at the location of Slivniško Pohorje, in the premises of the current Department of Pulmonary Diseases, with the aim of increasing the capacity of bed units for the reception of acute patients at UKC Maribor.</t>
  </si>
  <si>
    <t>UKC Maribor</t>
  </si>
  <si>
    <t>2711-21-0078</t>
  </si>
  <si>
    <t>Upgrade and equip the Clinic for Infectious Diseases and Febrile Conditions at UKC Ljubljana</t>
  </si>
  <si>
    <t>The goal of the investment is the preparation of documentation for the implementation of the project to upgrade the Clinic for Infectious Diseases and Febrile Conditions at UKC Ljubljana. The investment in question will be co-financed by the EU from the Recovery and Resilience Fund in the amount of EUR 70,000,000.00, but it is necessary to provide funds for the preparation of documentation before obtaining the funds and placing the project in the NRP. The investment will otherwise include the execution of construction, tradesman and installation (GOI) works, with which the construction of the new facility is carried out, the purchase, supply and installation of medical, general and furniture equipment, as well as services related to the implementation of the investment. The purpose of the investment is to improve the conditions for the implementation of quality medical treatment of all patients with infectious diseases within the Clinic for Infectious Diseases and Febrile Conditions of the UKC Ljubljana and thereby enable the public health system in the Central Slovenian (largest) statistical and health region, and for some infections and diseases in national framework to further improve the effectiveness of detection and treatment of communicable diseases.</t>
  </si>
  <si>
    <t>2711-21-0079</t>
  </si>
  <si>
    <t>Renovate the Department for Infectious Diseases and Febrile Conditions at UKC Maribor</t>
  </si>
  <si>
    <t>The goal of the investment is the preparation of documentation for the implementation of the replacement project for the building of the Department for Infectious Diseases and Febrile Conditions in the University Medical Center Maribor. The latter will be co-financed by the EU from the Recovery and Resilience Fund in the amount of EUR 50,000,000.00, but it is necessary to provide funds for the preparation of documentation before obtaining the funds and placing the project in the NRP. The purpose of the investment in the replacement of the new building of the Department for Infectious Diseases and Febrile Conditions in UKC Maribor is to ensure professional and safe outpatient and hospital treatment of patients with infectious diseases.</t>
  </si>
  <si>
    <t>2711-21-0081</t>
  </si>
  <si>
    <t>Renovation and expansion to create and equip the Nursing Department at the Murska Sobota General Hospital</t>
  </si>
  <si>
    <t>The object of the investment is the arrangement of the Nursing Department of the Murska Sobota General Hospital (hereinafter: SB Murska Sobota) and includes a new building, in which the old gynecology facility is reconstructed and added for the purpose of arranging the premises of the Nursing Department. maternity hospital SB Murska Sobota and build a replacement facility for the Technical Maintenance Service on undeveloped land north of the existing boiler house. The investment also includes the purchase of general and medical equipment for the new premises of the Nursing Department, related services (investment and project documentation and construction supervision) and other costs (utility contribution and taxes).</t>
  </si>
  <si>
    <t>2711-22-0002</t>
  </si>
  <si>
    <t>Remodeling of the Internal Department of SB Novo mesto to house the Nursing Hospital Department</t>
  </si>
  <si>
    <t>The subject of the investment is the remodeling of the existing building of the Internal Department of SB Novo mesto, Kandijska cesta 3, with a usable area of 1,179 m2, which will house the premises of the Nursing Hospital Department, namely: - in the basement: changing rooms, heating substation, electrical room, storage of cleaning products, archive (as before), - on the ground floor: common areas for the department for non-acute hospital treatment ? NBO (day room for visiting relatives, carrying out workshops, various therapies, doctor's room, room for the head of the department), - on the 1st and 2nd floors: department for non-acute hospital treatment - NBO, - on the 3rd floor / attic: department for non-acute hospital treatment - NBO and palliative care department.</t>
  </si>
  <si>
    <t>Splošna bolnišnica Novo mesto</t>
  </si>
  <si>
    <t>2711-22-0005</t>
  </si>
  <si>
    <t>Renovate the ZVD building in the University Medical Center in Ljubljana to house the Hematology Internal Clinic and the Center for Transplantation</t>
  </si>
  <si>
    <t>The object of the investment is the arrangement of the ZVD building in the University Medical Center Ljubljana, which is currently not in use, and the purchase of equipment for the needs of: - the gray zone of the Urgentne block, - the specialist clinics and day hospital of the KO Hematology Internal Clinic and - the specialist clinics and day hospital of the Center for Transplantation activity, for which the renovation of the ground floor, 1st and 2nd floors (total 1,722 m2) of the ZVD UKC Ljubljana building, Bohoričeva ulica 22, will be carried out. For the investment, a conceptual design of the placement of the gray zone in the ZVD facility COVID 19 gray zone.</t>
  </si>
  <si>
    <t>ZVD</t>
  </si>
  <si>
    <t>2711-22-0006</t>
  </si>
  <si>
    <t xml:space="preserve">Investments into the digitalisation of healthcare </t>
  </si>
  <si>
    <t>The object of the investment is an investment in 13 areas of digitization of healthcare within the framework of the Recovery and Resilience Plan. It will focus on 4 main areas - users and providers of health services, decision makers and planners of the health system and payers of services. The investment will enable the inclusion of new digital services in healthcare, including telemedicine, digitization of medical records, establishment of a central storage of imaging material, introduction of safer dispensing of drugs using robots in hospitals and certification of IT solutions.</t>
  </si>
  <si>
    <t>Users of digital services</t>
  </si>
  <si>
    <t>2711-22-0007</t>
  </si>
  <si>
    <t>Construct and equip the Isolation Department of the Golnik University Clinic for Lung Diseases and Allergy</t>
  </si>
  <si>
    <t>The goal of the investment is to organize the Isolation Department of the Golnik University Clinic for Lung Diseases and Allergy, which includes the new construction of a building with an approximate net area of 7,032 m2, the purchase of equipment, services (design, investment documentation and construction supervision) and other costs (communal contribution, costs of the measure artistic share in public investment projects from Article 79b of the Act on the realization of public interest in culture and value added tax - VAT). The location of the new facility is on the northeast side of the existing hospital complex of the Golnik Clinic. More precisely, the future new construction is located in the bank north of the railway building from 1937 and between the manor house and the infectious disease clinic, which is scheduled for removal.</t>
  </si>
  <si>
    <t>2711-22-0017</t>
  </si>
  <si>
    <t>Renovate, extend, and equip the Department of Oncology at UKC Maribor</t>
  </si>
  <si>
    <t>The goal of the investment is: construction, craftsmanship and installation (GOI) works, namely the reconstruction and extension of the existing premises of the Department of Oncology at the address Ljubljanska ulica 5, Maribor and the addition of a new tower, supply and installation of general furniture equipment, general medical equipment and equipment for distribution food, supervision and other investment-related costs. The purpose of the investment is to improve the possibilities and hospital capacities in the field of cancer management, to increase the proportion of cancer treatment with radiation, to increase the proportion of nuclear medicine diagnostic examinations for the early detection of diseases, to increase the proportion of hematological-oncological medical treatments, to increase the accessibility of oncology services at UKC Maribor, oncology activity at a common location.</t>
  </si>
  <si>
    <t>2711-22-0018</t>
  </si>
  <si>
    <t xml:space="preserve">Renovate UKC Ljubljana to improve energy use and align with the Technical Construction Guidelines for medical buildings </t>
  </si>
  <si>
    <t>The goal of the investment is the comprehensive renovation (revitalization) of the Hospital UKC Ljubljana building, Zaloška cesta 2, Ljubljana. With the revitalization, 49,987 m 2 of net floor area will be renovated. Renovation or revitalization of the Hospital building will take place in parallel with the energy renovation of the building. Therefore, for the comprehensive renovation of the building, it is also necessary to carry out its revitalization, which will be carried out at the same time as the energy renovation, for which the funds have already been approved. With the simultaneous implementation of energy rehabilitation and revitalization, the downtime of the work process, which in this case is hospital care, is reduced to a minimum. With the revitalization, we are also getting closer to the requirements prescribed by the new Technical Construction Guideline for medical buildings. The purpose of the implementation of the investment project is to improve the building, with which we contribute to better well-being, functionality and efficiency of the building and its general appearance, which is especially true for the renovation of the interior of the building.</t>
  </si>
  <si>
    <t>Conception and initiation</t>
  </si>
  <si>
    <t>2711-22-0020</t>
  </si>
  <si>
    <t>Constructing an extension for the Clinic for Infectious Diseases and Febrile Conditions at the UKC Ljubljana</t>
  </si>
  <si>
    <t>The investment in the extension of the Clinic for Infectious Diseases and Febrile Conditions of the UKC Ljubljana includes construction, trade and installation (GOI) works, with which the construction of the new facility is carried out, the purchase, supply and installation of medical, general and furniture equipment, as well as services related to the implementation of the investment. The purpose of the investment is to: - improve the infrastructural readiness of public health in the Republic of Slovenia for detecting, limiting the spread and treatment of infectious diseases and strengthening the resistance of Slovenian society as a whole to pandemics and epidemics; - The clinic for infectious diseases and febrile conditions of the UKC Ljubljana, as the only regional tertiary health institution, must provide the appropriate conditions of premises and equipment in accordance with applicable regulations and other established norms; -reduce the burden of infectious diseases, especially the impact of epidemics and pandemics on society and the individual; - prevent or limit to a minimum the disruption in the activities and operations of UKC Ljubljana caused by seasonal phenomena or epidemics of communicable diseases.</t>
  </si>
  <si>
    <t>2711-22-0021</t>
  </si>
  <si>
    <t>Construction of a new Clinic for Infectious Diseases and Febrile Conditions at UMC MB</t>
  </si>
  <si>
    <t>The main goal of the investment is to ensure adequate conditions for the provision of health services, better patient care and higher quality specialist medical treatment in accordance with modern standards. The other goals of the project are as follows: - to ensure spatial conditions for the timely, high-quality and safe implementation of health services under the jurisdiction of the Department for Infectious Diseases and Fever Conditions; - maintain the professional level and ensure normal working conditions for the staff; - to improve the possibilities and hospital capacities in the field of managing infectious diseases and febrile conditions; - to shorten the time otherwise required for the (re)organization of the existing spatial capacities so that they are suitable for managing a larger number of patients in the event of an outbreak of an infectious disease epidemic; - ensure greater accessibility to health services; - increase the efficiency of medical equipment management; - increase the efficiency of the hospital; - to provide opportunities for introducing new methods and improving the conditions for the education of medical personnel; - ensure working conditions in accordance with professional standards.</t>
  </si>
  <si>
    <t>2711-22-1001</t>
  </si>
  <si>
    <t>Renovate and equip the Ivančna Gorica primary care health centre</t>
  </si>
  <si>
    <t>The purpose of the investment is to build and equip the following premises for the implementation of medical programs: reception (71 m2), general and family medicine (281 m2), dental service (216 m2). The aim of the investments is to ensure better conditions for meeting the needs of residents at the primary level of health care.</t>
  </si>
  <si>
    <t>Občina Ivančna Gorica</t>
  </si>
  <si>
    <t>2711-22-1002</t>
  </si>
  <si>
    <t>Renovate and equip the Celje primary care health centre</t>
  </si>
  <si>
    <t>The purpose of the investment is to build and equip the following premises for the implementation of health programs: reception (204 m2), general and family medicine (909 m2), health care for preschool children and youth (99 m2), preventive activities (322 m2), dental service (134 m2). The aim of the investments is to ensure better conditions for meeting the needs of residents at the primary level of health care.</t>
  </si>
  <si>
    <t>Občina Celje</t>
  </si>
  <si>
    <t>2711-22-1004</t>
  </si>
  <si>
    <t>Build and equip the Idrija primary care health centre</t>
  </si>
  <si>
    <t>The purpose is to build and equip premises for the implementation of medical programs: reception (16 m2), general medicine and family medicine (113 m2), health care for preschool children and youth (78 m2). The goal of the investment is to ensure better conditions for meeting the needs of residents at the primary level of health care.</t>
  </si>
  <si>
    <t>Občina Idrija</t>
  </si>
  <si>
    <t>2711-22-1008</t>
  </si>
  <si>
    <t>Extend and equip the Ilirska Bistrica primary care health centre</t>
  </si>
  <si>
    <t>The purpose is to build and equip premises for the implementation of medical programs: reception (728 m2), general and family medicine (488 m2), preventive activities (47 m2), physical medicine (149 m2). The goal of the investment is to ensure better conditions for meeting the needs of residents at the primary level of health care.</t>
  </si>
  <si>
    <t>Občina Ilirska Bistrica</t>
  </si>
  <si>
    <t>2711-22-1009</t>
  </si>
  <si>
    <t>Extend and equip the Logatec primary care health centre</t>
  </si>
  <si>
    <t>The purpose is to build and equip premises for the implementation of health programs: reception (255 m2), general and family medicine (257 m2), health care for pre-school children and youth (12 m2), outpatient care for families (39 m2), dental service (124 m2 ). The goal of the investment is to ensure better conditions for meeting the needs of residents at the primary level of health care.</t>
  </si>
  <si>
    <t>Občina Logatec</t>
  </si>
  <si>
    <t>2711-22-1010</t>
  </si>
  <si>
    <t>Renovate the Logatec primary care  health centre to include mental health facilities</t>
  </si>
  <si>
    <t>The purpose is to build and equip premises for the implementation of health programs: preventive activities ? mental health center (287 m2). The goal of the investment is to ensure better conditions for meeting the needs of residents at the primary level of health care.</t>
  </si>
  <si>
    <t>2711-22-1011</t>
  </si>
  <si>
    <t>Renovate and equip the Piran primary care health centre</t>
  </si>
  <si>
    <t>The purpose is to build and equip premises for the implementation of medical programs: reception (18 m2), general and family medicine (53 m2), dental service (91 m2). The goal of the investment is to ensure better conditions for meeting the needs of residents at the primary level of health care.</t>
  </si>
  <si>
    <t>Občina Piran</t>
  </si>
  <si>
    <t>2711-22-1014</t>
  </si>
  <si>
    <t xml:space="preserve">Renovate and equip the Piran primary care health centre to include radiological and ultrasound diagnostics </t>
  </si>
  <si>
    <t>The purpose of the investment is the construction and equipment of the following premises for the implementation of medical programs: radiological and ultrasound diagnostics (59 m2). The aim of the investments is to ensure better conditions for meeting the needs of residents at the primary level of health care.</t>
  </si>
  <si>
    <t>2711-22-1015</t>
  </si>
  <si>
    <t>Renovate and equip the Mozirje primary care  health centre</t>
  </si>
  <si>
    <t>The purpose is to build and equip premises for the implementation of medical programs: general medicine and family medicine (153 m2). The goal of the investment is to ensure better conditions for meeting the needs of residents at the primary level of health care.</t>
  </si>
  <si>
    <t>Občina Mozirje</t>
  </si>
  <si>
    <t>2711-22-1016</t>
  </si>
  <si>
    <t>Extend and equip the Izola primary care health centre</t>
  </si>
  <si>
    <t>The purpose is to build and equip premises for the implementation of medical programs: general medicine and family medicine (26 m2), preventive activities (282 m2), physical medicine (50 m2). The goal of the investment is to ensure better conditions for meeting the needs of residents at the primary level of health care.</t>
  </si>
  <si>
    <t>Občina Izola</t>
  </si>
  <si>
    <t>2711-22-1017</t>
  </si>
  <si>
    <t>Extend and equip the Lovrenc na Pohorju primary care health centre</t>
  </si>
  <si>
    <t>The purpose is the construction and equipment of premises for the implementation of medical programs: reception (18 m2), general medicine and family medicine (369 m2), outpatient family care (19 m2). The goal of the investment is to ensure better conditions for meeting the needs of residents at the primary level of health care.</t>
  </si>
  <si>
    <t>Občina Lovrenc na Pohorju</t>
  </si>
  <si>
    <t>2711-22-1020</t>
  </si>
  <si>
    <t>Renovate and equip the Vitanje primary care health centre</t>
  </si>
  <si>
    <t>The purpose is to build and equip the following premises for the implementation of medical programs: reception (23 m2), general medicine and family medicine (23 m2). The aim of the investments is to ensure better conditions for meeting the needs of residents at the primary level of health care.</t>
  </si>
  <si>
    <t>Občina Vitanje</t>
  </si>
  <si>
    <t>2711-22-1021</t>
  </si>
  <si>
    <t>Renovate, extend and equip the Črenšovci primary care health centre</t>
  </si>
  <si>
    <t>The purpose is to build and equip premises for the implementation of medical programs: reception (38 m2), general medicine and family medicine (376 m2), outpatient care for families (19 m2), preventive activities (29 m2). The goal of the investment is to ensure better conditions for meeting the needs of residents at the primary level of health care.</t>
  </si>
  <si>
    <t>Občina Črenšovci</t>
  </si>
  <si>
    <t>2711-22-1022</t>
  </si>
  <si>
    <t>Renovate and equip the Kamnik primary care health centre</t>
  </si>
  <si>
    <t>The purpose is the construction and equipment of premises for the implementation of medical programs: physical medicine (124 m2). The goal of the investment is to ensure better conditions for meeting the needs of residents at the primary level of health care.</t>
  </si>
  <si>
    <t>Občina Kamnik</t>
  </si>
  <si>
    <t>2711-22-1023</t>
  </si>
  <si>
    <t>Renovate and equip the Dobrepolje primary care health centre</t>
  </si>
  <si>
    <t>The purpose is to build and equip premises for the implementation of medical programs: reception (129 m2), general medicine and family medicine (95 m2), health care for preschool children and youth (16 m2), radiological and ultrasound diagnostics (19 m2), outpatient family care (14 m2), physical medicine (18 m2), dental service (48 m2). The goal of the investment is to ensure better conditions for meeting the needs of residents at the primary level of health care.</t>
  </si>
  <si>
    <t>Občina Dobrepolje</t>
  </si>
  <si>
    <t>2711-22-1025</t>
  </si>
  <si>
    <t>Extend and equip the Bled primary care health centre</t>
  </si>
  <si>
    <t>The purpose of the investment is the construction and equipping of the following premises for the implementation of health programs: health care for pre-school children and youth (583 m2). The aim of the investments is to ensure better conditions for meeting the needs of residents at the primary level of health care.</t>
  </si>
  <si>
    <t>Občina Bled</t>
  </si>
  <si>
    <t>2711-22-1026</t>
  </si>
  <si>
    <t>Renovate, extend and equip the Bohinj primary care health centre</t>
  </si>
  <si>
    <t>The purpose of the investment is to build and equip the following premises for the implementation of medical programs: general medicine and family medicine (112 m2). The aim of the investments is to ensure better conditions for meeting the needs of residents at the primary level of health care.</t>
  </si>
  <si>
    <t>Občina Bohinj</t>
  </si>
  <si>
    <t>2711-22-1027</t>
  </si>
  <si>
    <t>Renovate, extend and equip the Brežice primary care health centre</t>
  </si>
  <si>
    <t>The purpose of the investment is to build and equip the following premises for the implementation of medical programs: reception (167 m2), general medicine and family medicine (499 m2). The aim of the investments is to ensure better conditions for meeting the needs of residents at the primary level of health care.</t>
  </si>
  <si>
    <t>Občina Brežice</t>
  </si>
  <si>
    <t>2711-22-1028</t>
  </si>
  <si>
    <t>Build and equip the Radovljica primary care health centre</t>
  </si>
  <si>
    <t>The purpose of the investment is the construction and equipping of the following premises for the implementation of health programs: health care for pre-school children and youth (258 m2). The aim of the investments is to ensure better conditions for meeting the needs of residents at the primary level of health care.</t>
  </si>
  <si>
    <t>Občina Radovljica</t>
  </si>
  <si>
    <t>2711-22-1030</t>
  </si>
  <si>
    <t>Renovate and equip the Turnišče primary care health centre</t>
  </si>
  <si>
    <t>The purpose of the investment is the construction and equipping of the following premises for the implementation of health programs: reception (55 m2), outpatient care for families (14 m2), dental service (20 m2). The aim of the investments is to ensure better conditions for meeting the needs of residents at the primary level of health care.</t>
  </si>
  <si>
    <t>Občina Turnišče</t>
  </si>
  <si>
    <t>2711-22-1032</t>
  </si>
  <si>
    <t>Build and equip a new Maribor primary care health centre</t>
  </si>
  <si>
    <t>The purpose of the investment is to build and equip the following premises for the implementation of medical programs: reception (130 m2), general medicine and family medicine (1,098 m2), health care for preschool children and youth (535 m2), women's health care (177 m2), preventive activities (91 m2).</t>
  </si>
  <si>
    <t>Občina Maribor</t>
  </si>
  <si>
    <t>2711-22-1033</t>
  </si>
  <si>
    <t>Renovate and equip the Mislinja primary care health centre</t>
  </si>
  <si>
    <t>The purpose of the investment is to build and equip the following premises for the implementation of medical programs: physical medicine (135 m2), dental service (110 m2). Expected completion of the investment: September 2023. The goal of the investment is to ensure better conditions for meeting the needs of the population at the primary level of health care.</t>
  </si>
  <si>
    <t>Občina Mislinja</t>
  </si>
  <si>
    <t>2711-22-1034</t>
  </si>
  <si>
    <t xml:space="preserve">Build and equip a new Murska Sobota primary care health centre for general and family medicine
</t>
  </si>
  <si>
    <t>The purpose of the investment is to build and equip the following premises for the implementation of medical programs: general medicine and family medicine (720 m2). The aim of the investments is to ensure better conditions for meeting the needs of residents at the primary level of health care.</t>
  </si>
  <si>
    <t>Občina Murska Sobota</t>
  </si>
  <si>
    <t>2711-22-1035</t>
  </si>
  <si>
    <t>Extend and equip the Metlika primary care health centre</t>
  </si>
  <si>
    <t>The purpose is to build and equip premises for the implementation of medical programs: reception (111 m2), general medicine and family medicine (283 m2), health care for preschool children and youth (41 m2), women's health care (27 m2). The goal of the investment is to ensure better conditions for meeting the needs of residents at the primary level of health care.</t>
  </si>
  <si>
    <t>Občina Metlika</t>
  </si>
  <si>
    <t>2711-22-1036</t>
  </si>
  <si>
    <t>Extend and equip the Nazarje primary care health centre</t>
  </si>
  <si>
    <t>The purpose of the investment is to build and equip the following premises for the implementation of health programs: reception (76 m2), general medicine and family medicine (363 m2), health care for preschool children and youth (389 m2), women's health care (59 m2), outpatient care families (191 m2), preventive activities (324 m2), physical medicine (226 m2), dental service (108 m2). Expected completion of the investment: May 2024. Total value of the investment: EUR 5,926,600.02. The aim of the investments is to ensure better conditions for meeting the needs of residents at the primary level of health care.</t>
  </si>
  <si>
    <t>Občina Nazarje</t>
  </si>
  <si>
    <t>2711-22-1040</t>
  </si>
  <si>
    <t>Renovate and equip the Slovenska Bistrica primary care health centre</t>
  </si>
  <si>
    <t>The purpose of the investment is the construction and equipping of the following premises for the implementation of health programs: reception (76 m2), health care for preschool children and youth (691 m2), outpatient care for families (173 m2), dental service (548 m2). The aim of the investments is to ensure better conditions for meeting the needs of residents at the primary level of health care.</t>
  </si>
  <si>
    <t>Občina Slovenska Bistrica</t>
  </si>
  <si>
    <t>2711-22-1041</t>
  </si>
  <si>
    <t>Build and equip a Šentrupert primary care health centre for general and family medicine</t>
  </si>
  <si>
    <t>The purpose of the investment is to build and equip the following premises for the implementation of medical programs: reception (15 m2), general medicine and family medicine (82 m2). Estimated completion of the investment: March 2022. Total value of the investment: EUR 223,822.32. The aim of the investments is to ensure better conditions for meeting the needs of residents at the primary level of health care.</t>
  </si>
  <si>
    <t>Občina Šentrupert</t>
  </si>
  <si>
    <t>2711-22-1042</t>
  </si>
  <si>
    <t>Build and equip a Šmarje pri Jelšah primary care health centre</t>
  </si>
  <si>
    <t>The purpose of the investment is to arrange rooms for physiotherapy and other health care services at the primary level, namely to build and equip the following rooms for the implementation of health programs: reception (114 m2), family care (28 m2), preventive activities (79 m2), physical medicine (337 m2). The aim of the investments is to ensure better conditions for meeting the needs of residents at the primary level of health care.</t>
  </si>
  <si>
    <t>Občina Šmarje pri Jelšah</t>
  </si>
  <si>
    <t>2711-22-1044</t>
  </si>
  <si>
    <t>Extend and equip the Cerknica primary care health centre</t>
  </si>
  <si>
    <t>The purpose of the investment is to build and equip the following premises for the implementation of medical programs: general medicine and family medicine (343 m2), health care for preschool children and youth (284 m2). Estimated completion of the investment: October 2023. Total value of the investment: EUR 2,072,565.28. The aim of the investments is to ensure better conditions for meeting the needs of residents at the primary level of health care.</t>
  </si>
  <si>
    <t>Občina Cerjnica</t>
  </si>
  <si>
    <t>2711-22-1045</t>
  </si>
  <si>
    <t xml:space="preserve">Build and equip a new Lenart primary care health centre
</t>
  </si>
  <si>
    <t>The purpose of the investment is to build and equip the following premises for the implementation of medical programs: reception (195 m2), general medicine and family medicine (157 m2), women's health care (58 m2), preventive activities (100 m2), dental service (39 m2) . The aim of the investments is to ensure better conditions for meeting the needs of residents at the primary level of health care.</t>
  </si>
  <si>
    <t>Občina Lenart</t>
  </si>
  <si>
    <t>2711-94-0001</t>
  </si>
  <si>
    <t>Renovate and equip various unites at UKC Ljubljana to modernise the facilities and improve fire safety</t>
  </si>
  <si>
    <t>The dilapidation of the arrangement, the lack of space and fire safety issues dictate the modernization and upgrading of the emergency unit, OP unit, central laboratories and the center of intensive care in the DTS facility, as well as the renovation of the hospital unit. Funds are needed for GOI work and for equipment.</t>
  </si>
  <si>
    <t>2711-94-0006</t>
  </si>
  <si>
    <t xml:space="preserve">Renovate, extend and equip the Ljubljana Oncology Institute </t>
  </si>
  <si>
    <t>Continuation and finalization of replacement construction and reconstruction or. modernization of existing facilities also requires the necessary funds for modern equipment and landscaping with municipal infrastructure. The centralization of modern arrangements in a common place ensures the long-term normal functioning of most of the Institute.</t>
  </si>
  <si>
    <t>Onkološki inštitut Ljubljana</t>
  </si>
  <si>
    <t>2711-94-0010</t>
  </si>
  <si>
    <t xml:space="preserve">Construct and equip hospital wards at SB Celje </t>
  </si>
  <si>
    <t>Finalization of premises in the existing, still unfinished construction of orthopedic and other hospital wards, emergency block and specialist outpatient services; modernization of older existing facilities. The gradual purchase of general and medical equipment and infrastructure enables the modern arrangement of the hospital as a whole and the provision of appropriate standards.</t>
  </si>
  <si>
    <t>2711-94-0034</t>
  </si>
  <si>
    <t>Investment preparation and land purchases for public health institutions</t>
  </si>
  <si>
    <t>Preparation and revision of studies and programs for public procurement of an investment nature and preparation of common bases for the planning of investment projects and the regulation of ownership and land registry relations, including possible purchases for the needs of public health institutions.</t>
  </si>
  <si>
    <t>2711-99-0004</t>
  </si>
  <si>
    <t>Renovations to improve fire safety at the University Medical Center Maribor</t>
  </si>
  <si>
    <t>Execution of construction and installation works for the installation of a fire extinguisher and the processing of fire sectors on the high-rise of the University Medical Center Maribor and the handover of the facility and equipment to the management of the University Clinical Center Maribor.</t>
  </si>
  <si>
    <t>Portfolio of projects nr. 156</t>
  </si>
  <si>
    <t xml:space="preserve">Purchase, construction, refurbishment and equipment investments in kindergartens and primary schools
</t>
  </si>
  <si>
    <t>Co-financing of 126 of investments in kindergartens and primary education in the Republic of Slovenia in the budget period 2021-2024.</t>
  </si>
  <si>
    <t xml:space="preserve">Investment expenditure </t>
  </si>
  <si>
    <t>Communities</t>
  </si>
  <si>
    <t>Ministry of Education</t>
  </si>
  <si>
    <t>2611-21-0913</t>
  </si>
  <si>
    <t>Construction of a modern 49-bed retirement home in the Municipality of Kozje that will enable users to receive institutional care, social care and health services, maintain social inclusion in their personal and wider social network of the local environment, as well as intergenerational cooperation and socialising.</t>
  </si>
  <si>
    <t>health prof</t>
  </si>
  <si>
    <t>Home of the Elderly Šmarje pri Jelšah</t>
  </si>
  <si>
    <t>persons aged 65 and over</t>
  </si>
  <si>
    <t>Ministry of Solidarity-Based Future</t>
  </si>
  <si>
    <t>2611-22-0903</t>
  </si>
  <si>
    <t xml:space="preserve">Construction of a new 26-bed retirement home in the Municipality of Podčetrte that will enable the residents to live, receive social care and health services in the middle of their lives, allowing them to be optimally connected to their relatives and their home environment. </t>
  </si>
  <si>
    <t xml:space="preserve">The purpose of the investment is to build a unit of the Šmarje pri Jelšah Retirement Home adjacent to the existing facility in Podčetrtek, which will provide the necessary additional capacities in the home environment, either in the form of institutional care or day care, improve the living conditions of the residents and enable conditions for adequate prevention of the spread of viral infections, while ensuring a quality time for the residents. The investment will provide a new facility that will enable the residents to live, receive social care and health services in the middle of their lives, allowing them to be optimally connected to their relatives and their home environment. </t>
  </si>
  <si>
    <t>2611-22-0902</t>
  </si>
  <si>
    <t>Extension of the retirement home in Slovenska Bistrica by 76 beds to provide adequate social care infrastructure to keep pace with demographic trends, to provide quality care for the elderly, to reduce the number of people waiting to be admitted to care and to contribute to improving the quality of the social environment.</t>
  </si>
  <si>
    <t>The purpose of the investment is to provide adequate spatial conditions to increase the capacity of the home unit in Slovenski Bistrica by an additional 76 persons. At the same time, the accompanying medical and service programme, especially the kitchen, will be appropriately increased. The investment (extension, extension and reconstruction of the existing building) will provide adequate social care infrastructure to keep pace with demographic trends, to provide quality care for the elderly, to reduce the number of people waiting to be admitted to care and to contribute to improving the quality of the social environment.</t>
  </si>
  <si>
    <t>Home of the Elderly dr. Jožeta Potrča Poljčane</t>
  </si>
  <si>
    <t>2611-22-0929</t>
  </si>
  <si>
    <t>Extension and rebuilding of the retirement home in Trebnje, providing new, additional space, and converting the multi-bed rooms into single and double rooms.</t>
  </si>
  <si>
    <t>The purpose of the investment is to extend and rebuild the existing building, providing new, additional space, and converting the multi-bed rooms into single and double rooms, ensuring that they comply with the required standards and norms, improving the living standards of the residents and facilitating the prevention of the transmission of infections in the event of an outbreak of an epidemic or other infectious diseases. The extension of the unused attic space is planned to provide living and sanitary facilities. The investment will provide a better, safer and more pleasant living environment for the residents and working environment for the staff, enable the separation of clean and unclean routes and the creation of grey and red zones, and provide adequate space conditions for the provision of efficient, safe and personalised services.</t>
  </si>
  <si>
    <t>Home of the Elderly Trebnje</t>
  </si>
  <si>
    <t>2611-22-0910</t>
  </si>
  <si>
    <t>Construction of a 25-bed retirement home in the Municipality of Vrhnika that will enable institutional care, especially for residents with dementia, while at the same time ensuring adequate, safe and quality living conditions, preventing the spread of infections and ensuring the safe treatment of residents and staff in the event of infections.</t>
  </si>
  <si>
    <t>The purpose of the investment is the construction of a new unit, including the improvement of the external areas, which will provide new, alternative capacity for 24 residents with dementia, with the aim of providing a friendly, safe and high-quality living environment in the context of institutional care, thus meeting the need for organised and quality long-term care and ensuring an adequate standard, and one place will be used for isolation in the event of infection or for temporary/crisis accommodation. The investment will provide a new facility that will enable institutional care, especially for residents with dementia, while at the same time ensuring adequate, safe and quality living conditions, preventing the spread of infections and ensuring the safe treatment of residents and staff in the event of infections.</t>
  </si>
  <si>
    <t>Retiree's Home Vrhnika</t>
  </si>
  <si>
    <t>2611-22-0917</t>
  </si>
  <si>
    <t>Construction of a dispersed living unit in Lenart that will enable users to receive institutional care, social care and health services and maintain their social inclusion in their personal and wider social network of the local environment.</t>
  </si>
  <si>
    <t>The purpose of the investment is to build a dispersed living unit, which will provide adequate capacity and a pleasant and safe living environment for the residents, improve living and working conditions for all users, and improve security and enable conditions for the adequate prevention of the spread of viral infections by the possibility of establishing a grey and red zone. The unit will consist of nine buildings, each building will accommodate 12 residents, for a total of 70 persons. The investment will provide a new facility that will enable users to receive institutional care, social care and health services and maintain their social inclusion in their personal and wider social network of the local environment.</t>
  </si>
  <si>
    <t>Special Social Welfare Institute Hrastovec</t>
  </si>
  <si>
    <t>people with mental health problems</t>
  </si>
  <si>
    <t>2611-23-0301</t>
  </si>
  <si>
    <t>Partial reimbursement of salaries for workers waiting for work while reconstruction efforts following the August 2023 floods conclude</t>
  </si>
  <si>
    <t>Measures to help and rehabilitate the consequences of floods - August 2023.</t>
  </si>
  <si>
    <t>Natural disaster infrastructure restoration</t>
  </si>
  <si>
    <t>Decent work and economic growth</t>
  </si>
  <si>
    <t>municipalities, corporates, individuals</t>
  </si>
  <si>
    <t>population in Slovenia affected by a natural disaster</t>
  </si>
  <si>
    <t>2611-23-0704</t>
  </si>
  <si>
    <t xml:space="preserve">Investments to repair flood damage mun from the August 2023 floods and associated landslides
</t>
  </si>
  <si>
    <t>Sustainable cities and communities</t>
  </si>
  <si>
    <t>municipalities, individuals</t>
  </si>
  <si>
    <t>2611-23-0801</t>
  </si>
  <si>
    <t>One time solidarity aid for social care workers</t>
  </si>
  <si>
    <t>2611-23-0503</t>
  </si>
  <si>
    <t>Provision of additional counselling and psychological assistance for users of public social welfare programmes, following increased demand due to the impact of natural disasters</t>
  </si>
  <si>
    <t>2611-23-0401</t>
  </si>
  <si>
    <t>Family support programmes to respond to the increased demand for support for children and young people, or their families, who are facing hardships caused by natural disasters</t>
  </si>
  <si>
    <t>2711-23-0005</t>
  </si>
  <si>
    <t>Provisioning of emergency transport and emergency treatment for socially vulnerable people</t>
  </si>
  <si>
    <t>In order to implement the measure Health care for vulnerable groups, activities will be carried out to provide emergency treatment and emergency transport by vehicles and state vessels for persons for whom it is not possible to provide a payer; however, they are referred for emergency treatment by the attending physician or seek emergency help from a physician on their own or with the help of others.</t>
  </si>
  <si>
    <t>2711-23-0006</t>
  </si>
  <si>
    <t xml:space="preserve">Postgraduate training of health workers
</t>
  </si>
  <si>
    <t>2711-23-0007</t>
  </si>
  <si>
    <t xml:space="preserve">Funding for the National Institute of Public Health to provide services for public health
</t>
  </si>
  <si>
    <t>2711-23-0016</t>
  </si>
  <si>
    <t xml:space="preserve">Support for the regulation and development of the health care system, in particular around funding, organization and effective governance, as well as the provision of health care and long-term care
</t>
  </si>
  <si>
    <t>2711-23-0018</t>
  </si>
  <si>
    <t>Strengthening the competences of personnel in healthcare to ensure the quality of care in the field of geriatric care for the elderly</t>
  </si>
  <si>
    <t>The purpose of the project is to upgrade the competences of employees in the field of health and social care and others who come into contact with the aging population in their work, and to develop tools for establishing a comprehensive approach to the treatment of the geriatric population, which will enable the systematic identification of the needs of the elderly and their most optimal health care.</t>
  </si>
  <si>
    <t>2711-23-0020</t>
  </si>
  <si>
    <t xml:space="preserve">Strengthening palliative mobile teams trough equpment and training of mobile palliative teams 
</t>
  </si>
  <si>
    <t>The basic (general) goal of the investment is to provide the necessary equipment and train 14 mobile palliative care teams for the needs of palliative care activities. With the implementation of the project, the Republic of Slovenia will provide a network of regional coverage with those who are qualified to perform this activity and medical and other equipment for their work. New treatment methods in these areas will prevent unnecessary hospitalizations, which will have a positive effect on the financial sustainability of the system. Staffing will be provided through reorganization of work, whereby patients will be treated at the primary level of the health system.</t>
  </si>
  <si>
    <t>2711-23-0021</t>
  </si>
  <si>
    <t>Payouts for increased workload in healthcare for attendant positions</t>
  </si>
  <si>
    <t>Payouts for increased workload in healthcare for attendant positions.</t>
  </si>
  <si>
    <t>2711-23-0008</t>
  </si>
  <si>
    <t xml:space="preserve">Funding for the National Laboratory for Health, Environment and Food, which provides services related to public health such as monitoring the quality of drinking water 
</t>
  </si>
  <si>
    <t>The measure ensures the implementation of the annual work program of the National Laboratory for Health, Environment and Food, which, based on the provisions of ZZDej, performs public service in the field of public health. Tasks are defined in 23 c. article ZZDej, which includes, among other things, the implementation of drinking water monitoring and a comprehensive assessment of environmental impacts.</t>
  </si>
  <si>
    <t>2711-23-0003</t>
  </si>
  <si>
    <t xml:space="preserve">Development, promotion and coordination of organ transplant and blood donation within Slovenia 
</t>
  </si>
  <si>
    <t>Health Services</t>
  </si>
  <si>
    <t>2611-23-0502</t>
  </si>
  <si>
    <t xml:space="preserve">Solidarity aid in the form of extraordinary monetary social assistance for people affected by the August 2023 floods and landslides </t>
  </si>
  <si>
    <t>Individuals</t>
  </si>
  <si>
    <t>Portfolio of projects nr. 1</t>
  </si>
  <si>
    <t xml:space="preserve">Investments to repair flood-damaged municipal infrastructure from the August 2023 floods and associated landslides
</t>
  </si>
  <si>
    <t>Providing access to essential infrastructure and services to populations affected by natural disasters</t>
  </si>
  <si>
    <t>municipialities</t>
  </si>
  <si>
    <t>Ministry of Natural Resources and Spatial Planning</t>
  </si>
  <si>
    <t>Portfolio of projects nr. 2</t>
  </si>
  <si>
    <t xml:space="preserve">Investments to repair damaged local  infrastructure in eastern Slovenia from the May 2023 storms and associated floods and landslides
</t>
  </si>
  <si>
    <t>Portfolio of projects nr. 3</t>
  </si>
  <si>
    <t>Portfolio of projects nr. 4</t>
  </si>
  <si>
    <t xml:space="preserve">Investments to repair flood-damaged local infrastructure in north and east Slovenia from the July 2023 floods 
</t>
  </si>
  <si>
    <t>Portfolio of projects nr. 5</t>
  </si>
  <si>
    <t>2560-23-0005</t>
  </si>
  <si>
    <t>Investments to repair storm-damaged local infrastructure from the September 2022 storm and associated landslides</t>
  </si>
  <si>
    <t xml:space="preserve">NRP. Nr. </t>
  </si>
  <si>
    <t xml:space="preserve">Description and rationale for green / social expense eligibility </t>
  </si>
  <si>
    <t xml:space="preserve"> GBP Category</t>
  </si>
  <si>
    <t>Subcategory</t>
  </si>
  <si>
    <t>EU taxonomy goal</t>
  </si>
  <si>
    <t>EU taxonomy clasification</t>
  </si>
  <si>
    <t>RS financing amount (EUR)</t>
  </si>
  <si>
    <t>Portfolio of projects nr. 92</t>
  </si>
  <si>
    <t xml:space="preserve">Implementation of the Integrated Territorial Investment Mechanism which implements measures contributing to sustainable, green, resilient and smart mobility for the general public, such as meausres set out in Sustainable Urban Mobility Plans </t>
  </si>
  <si>
    <t>In order to successfully achieve and exceed the GHG emission reduction target (non-ETS), it is important to manage and reduce emissions in all the areas involved in transport. Implementation of the Integrated Territorial Investment Mechanism (ESRR VZHOD) covered the measures contributing to sustainable, green, resilient and smart mobility / addressing the general public</t>
  </si>
  <si>
    <t>Low carbon transportation</t>
  </si>
  <si>
    <t>Sustainable regional, local and urban mobility</t>
  </si>
  <si>
    <t>Climate change mitigation</t>
  </si>
  <si>
    <t>municipalities</t>
  </si>
  <si>
    <t>Ministry of the Environment, Climate and Energy</t>
  </si>
  <si>
    <t>Portfolio of projects nr. 93</t>
  </si>
  <si>
    <t xml:space="preserve">Implementation of the Integrated Territorial Investment Mechanism which implements measures contributing to sustainable, green, resilient and smart mobility for the general public, such as measures set out in Sustainable Urban Mobility Plans </t>
  </si>
  <si>
    <t>In order to successfully achieve and exceed the GHG emission reduction target (non-ETS), it is important to manage and reduce emissions in all the areas involved in transport. Implementation of the Integrated Territorial Investment Mechanism (ESRR ZAHOD) covered the measures contributing to sustainable, green, resilient and smart mobility / addressing the general public.</t>
  </si>
  <si>
    <t>Portfolio of projects nr. 95</t>
  </si>
  <si>
    <t xml:space="preserve">Projects identified by the Slovenian Regional Development Agencies linked to promoting multimodal urban mobility, including the construction of regional cycling connections to ensure sustainable mobility </t>
  </si>
  <si>
    <t>In order to successfully achieve and exceed the GHG emission reduction target (non-ETS), it is important to manage and reduce emissions in all the areas involved in transport. Agreement on regional development (ESRR VZHOD) covered the measures contributing to sustainable, green, resilient and smart mobility / addressing the general public.</t>
  </si>
  <si>
    <t>Cycling infrastructure</t>
  </si>
  <si>
    <t>municipalities, DRSI (public authority)</t>
  </si>
  <si>
    <t>Ministry of Infrastructure</t>
  </si>
  <si>
    <t>Portfolio of projects nr. 96</t>
  </si>
  <si>
    <t>In order to successfully achieve and exceed the GHG emission reduction target (non-ETS), it is important to manage and reduce emissions in all the areas involved in transport. Agreement on regional development (ESRR ZAHOD) covered the measures contributing to sustainable, green, resilient and smart mobility / addressing the general public.</t>
  </si>
  <si>
    <t>2415-05-0025</t>
  </si>
  <si>
    <t>Construction of cycling connections between Brezovica, Vrhnika and Logatec to ensure sustainable mobility</t>
  </si>
  <si>
    <t>Construction of cycling connection to ensure sustainable mobility.</t>
  </si>
  <si>
    <t>DRSI (public authority)</t>
  </si>
  <si>
    <t>2415-08-0011</t>
  </si>
  <si>
    <t>Construction of cycling connections between Rogaška Slatina, Podčetrtek and Bistrica ob Sotli to ensure sustainable mobility</t>
  </si>
  <si>
    <t>Project closure</t>
  </si>
  <si>
    <t>2431-18-0111</t>
  </si>
  <si>
    <t>Construction of long-distance cycle connections in the area of ​​the northern part of the Ljubljana urban region to ensure safer traffic</t>
  </si>
  <si>
    <t>The purpose of the project is to ensure safer traffic for the weakest participants and increase the tourist attractiveness of the location. Construction of long-distance cycle connections in the area of ​​the northern part of the Ljubljana urban region.</t>
  </si>
  <si>
    <t>2431-18-0131</t>
  </si>
  <si>
    <t>Construction of long-distance cycle connections in the area of Mežička dolina to ensure safer traffic</t>
  </si>
  <si>
    <t>The purpose of the project is to ensure safer traffic for the weakest participants and increase the tourist attractiveness of the location. Construction of long-distance cycle connections in the area of Mežička dolina.</t>
  </si>
  <si>
    <t>2431-19-0111</t>
  </si>
  <si>
    <t xml:space="preserve">Construction of 103km of cycling routes across 11 municipalities </t>
  </si>
  <si>
    <t xml:space="preserve">
The goals of the investment are the construction of cycling areas in 11 municipalities with a total length of 103 km.</t>
  </si>
  <si>
    <t>2431-18-0138</t>
  </si>
  <si>
    <t>Procurement of electric rolling stock</t>
  </si>
  <si>
    <t>Procurement of rolling stock to modernize the rolling stock in order to increase the competitiveness of rail transport compared to other modes of transport; in line with the envisaged infrastructure improvements.</t>
  </si>
  <si>
    <t>Rolling stock</t>
  </si>
  <si>
    <t>2431-16-0019</t>
  </si>
  <si>
    <t>Upgrade of the railway section Zidani Most-Celje - 2nd phase Upgrade to increase line capacity, safety, and interoperability</t>
  </si>
  <si>
    <t>Upgrading of an existing railway line / section to ensure category D4 (22.5 t / axle and 80 kN / m1), upgrading of stations, off-level access to platforms in accordance with TSIs, increase of line capacity, increase of traffic safety level and thus interoperability.</t>
  </si>
  <si>
    <t>Railway infrastructure</t>
  </si>
  <si>
    <t>2431-16-0020</t>
  </si>
  <si>
    <t>Installation of the ETCS system on part of the X. rail corridor to enable interoperability of the rail network</t>
  </si>
  <si>
    <t>Installation of the ETCS system on lines, which enables interoperability of the entire core network or Introduction of ETCS on the missing part of the corridor lines.</t>
  </si>
  <si>
    <t>2431-16-0010</t>
  </si>
  <si>
    <t>Upgrade of the Karavanke railway tunnel</t>
  </si>
  <si>
    <t>Upgrading of the Karavanke railway tunnel or improving / ensuring safety conditions in the Karavanke tunnel in accordance with TSIs, increasing the level of traffic safety and thus interoperability.</t>
  </si>
  <si>
    <t>2431-16-0007</t>
  </si>
  <si>
    <t>Construction of the II. track Maribor-Šentilj 2nd phase to increase capacity, safety, and interoperability</t>
  </si>
  <si>
    <t>2411-07-0016</t>
  </si>
  <si>
    <t>Construction of a new railway line between Divača and Koper, in particular the construction of a tunnel and two viaducts</t>
  </si>
  <si>
    <t>Construction of a new line or. 2nd track Divača-Koper in accordance with the TSI, increasing the level of traffic safety and thus interoperability.</t>
  </si>
  <si>
    <t>2431-16-0006</t>
  </si>
  <si>
    <t xml:space="preserve">Upgrading the existing Node Pragersko railway station to increase safety and interoperability </t>
  </si>
  <si>
    <t>Upgrading of the existing railway station to ensure category D4 (22.5 t / axle and 80 kN / m1), off-level access to platforms, upgrading of platforms in accordance with TSIs, increasing the level of traffic safety and thus interoperability.</t>
  </si>
  <si>
    <t>2431-19-0016</t>
  </si>
  <si>
    <t xml:space="preserve">Upgrading the existing Grosuplje railway station to increase safety and interoperability </t>
  </si>
  <si>
    <t>2431-20-0025</t>
  </si>
  <si>
    <t>Upgrade of existing railway line between Ljubljana and Jesenice 2nd phase to increase capacity, safety, and interoperability</t>
  </si>
  <si>
    <t>Upgrading of the existing railway line / section, upgrading of stations, out-of-level access to platforms in accordance with TSIs, increase of the level of traffic safety and thus of interoperability.</t>
  </si>
  <si>
    <t>2431-22-0029</t>
  </si>
  <si>
    <t>Upgrade of existing railway line between Ljubljana and Divača 3rd phase to increase capacity, safety, and interoperability</t>
  </si>
  <si>
    <t>Upgrading the existing railway line / section, upgrading stations and stops, out-of-level access to platforms in accordance with TSIs, increasing the level of traffic safety and thus interoperability.</t>
  </si>
  <si>
    <t>2431-20-0030</t>
  </si>
  <si>
    <t>Upgrading the Ljubljana train station to reduce bottlenecks, and improve safety and interoperability</t>
  </si>
  <si>
    <t>Upgrading an existing railway station to reduce bottlenecks, upgrading platforms in accordance with TSIs, increasing the level of traffic safety and thus interoperability.</t>
  </si>
  <si>
    <t>2431-19-0119</t>
  </si>
  <si>
    <t>Reconstraction of the Domžale train station to reduce bottlenecks, and improve safety and interoperability</t>
  </si>
  <si>
    <t>2431-20-0039</t>
  </si>
  <si>
    <t>Upgrading the Krško train station to reduce bottlenecks, and improve safety and interoperability</t>
  </si>
  <si>
    <t>Upgrading of an existing railway station, level access to platforms, upgrading of platforms in accordance with TSIs, increasing the level of traffic safety and thus interoperability.</t>
  </si>
  <si>
    <t>2431-20-0040</t>
  </si>
  <si>
    <t>Upgrading the Sevnica train station to reduce bottlenecks, and improve safety and interoperability</t>
  </si>
  <si>
    <t>2431-21-0180</t>
  </si>
  <si>
    <t>Measures in the railway area of Ljubljana stations-1. phase between Šiška, Moste-Polje, Zalog and Ljubljana to increase capacity, safety, and interoperability, as well as reduce bottlenecks</t>
  </si>
  <si>
    <t>Upgrading of existing lines / sections, upgrading of existing bottlenecks to reduce bottlenecks, upgrading of platforms in accordance with TSIs, increasing the level of traffic safety and thus interoperability and the possibility of suburban transport with a timetable.</t>
  </si>
  <si>
    <t>2431-21-0183</t>
  </si>
  <si>
    <t>Upgrade of the railway line Divača-Sežana-state border - Phase 1 to increase capacity, safety, and interoperability</t>
  </si>
  <si>
    <t>Project documentation for the upgrade of the railway line / section, arrangement of level crossings of roads / railways, increase of the level of traffic safety and thus interoperability.</t>
  </si>
  <si>
    <t>2330-15-0011</t>
  </si>
  <si>
    <t>Area-related meausres aimed at supporting farmers who voluntarily undertake sustainable agricultural practices under the Rural Development Programme</t>
  </si>
  <si>
    <t xml:space="preserve">Reconstruction, conservation and improvement of ecosystems related to agruculture and forestry; Renewal, conservation and improvement of biodiversity. Different measures: organic farming, Agri-environment-climate payments and Payments to areas facing natural or other specific constraints. These measures support agriculture in its environmental function and encourages above-standard sustainable agricultural practices which are aimed at:
• preserving biodiversity and landscape;
• appropriate water and soil management;
• mitigating and adapting farming to climate change. 
 </t>
  </si>
  <si>
    <t xml:space="preserve">Sustainable Envrionmental Management </t>
  </si>
  <si>
    <t>Organic farming activities and incentives</t>
  </si>
  <si>
    <t>Responsible consumption and production</t>
  </si>
  <si>
    <t>Ministry of Agriculture, Forestry and Food</t>
  </si>
  <si>
    <t>Portfolio of projects nr. 94</t>
  </si>
  <si>
    <t>In order to successfully achieve and exceed the GHG emission reduction target (non-ETS), it is important to manage and reduce emissions in all the areas involved in transport. Implementation of the Integrated Territorial Investment Mechanism (KS) covered the measures contributing to sustainable, green, resilient and smart mobility / addressing the general public.</t>
  </si>
  <si>
    <t>2431-21-0161</t>
  </si>
  <si>
    <t>Upgrade of the Ljubljana-Divača railway line - 2nd phase between Ljubljana and Brezovica to increase capacity, safety, and interoperability</t>
  </si>
  <si>
    <t>2431-22-0018</t>
  </si>
  <si>
    <t>Upgrade of the railway line state border-Dobova-Zidani Most - 1st phase - Project documentation to upgrade the existing railway line between Dobova and Zidani Most to increase capacity, safety, and interoperability</t>
  </si>
  <si>
    <t>Ministry of infrastructure</t>
  </si>
  <si>
    <t>2431-22-0026</t>
  </si>
  <si>
    <t>Upgrading the Jesenice train station to mprove safety and interoperability, as well as include a new underpass for padestrians and cyclists</t>
  </si>
  <si>
    <t>Upgrading of an existing railway station, level access to platforms, upgrading of platforms in accordance with TSIs, increasing the level of traffic safety and thus interoperability, extension of the pedestrian underpass, construction of the new underpass for cyclists and pedestrians, construction of the anti-noise fences...</t>
  </si>
  <si>
    <t>2431-17-0085</t>
  </si>
  <si>
    <t>Remote control of traffic on TEN-T corridor - 1st phase</t>
  </si>
  <si>
    <t>The purpose of the project is to introduce remote traffic control on the remaining main lines of the public railway infrastructure, namely on lines 10 state border–Dobova–Ljubljana and 30 Zidani Most–Šentilj–state border. These are the only lines in the core TEN-T network in Slovenia that are not yet included in remote traffic control, as well as the only lines without remote traffic control on the freight corridors RFC 5 (Baltic-Adriatic) and RFC 6 (Mediterranean). In order to establish remote traffic control, the following conditions must be met: construction of non-level access to the platform infrastructure, upgrading of signal safety equipment and introduction of remote traffic control. Phase 1 is currently underway: introduction of remote traffic control on line 30 Zidani Most–Šentilj–state border on the section Zidani Most–Ljubljana (to the Laze station).</t>
  </si>
  <si>
    <t>2431-21-0134</t>
  </si>
  <si>
    <t>Upgrade of existing railway line between Kranj and Jesenice 3rd phase to increase capacity, safety, and interoperability</t>
  </si>
  <si>
    <t>Upgrading of the existing railway line / section, upgrading of stations and stops, out-of-level access to platforms in accordance with TSIs, increase of the level of traffic safety and thus of interoperability.</t>
  </si>
  <si>
    <t>2431-23-0031</t>
  </si>
  <si>
    <t>Upgrading of existing overpass over Dunajska street in Ljubljana to reduce bottlenecks in railway infrastructure; and also increasing the level of traffic safety and thus interoperability of the system</t>
  </si>
  <si>
    <t xml:space="preserve">Upgrading of existing overpass over Dunajska street, reduce bottlenecks in railway infrastructure; increasing the level of traffic safety and thus interoperability and the possibility of suburban transport with a timetable, adaptation of rail infrastructure     </t>
  </si>
  <si>
    <t>Sum of green projects</t>
  </si>
  <si>
    <t>GBC</t>
  </si>
  <si>
    <t xml:space="preserve"> RS financing 2022 (EUR)</t>
  </si>
  <si>
    <t xml:space="preserve"> RS financing 2023 (EUR)</t>
  </si>
  <si>
    <t xml:space="preserve"> Bond eligible amount (EUR)
Σ 22+23</t>
  </si>
  <si>
    <t>Total</t>
  </si>
  <si>
    <t>SBC</t>
  </si>
  <si>
    <t xml:space="preserve">  Bond eligible amount (EUR)
Σ 22+23</t>
  </si>
  <si>
    <t>Skupna vsota</t>
  </si>
  <si>
    <t>SSB</t>
  </si>
  <si>
    <t xml:space="preserve"> RS financing Σ 2022 (EUR)</t>
  </si>
  <si>
    <t xml:space="preserve"> RS financing Σ 2023 (EUR)</t>
  </si>
  <si>
    <t>Green</t>
  </si>
  <si>
    <t>Social</t>
  </si>
  <si>
    <t>SUM</t>
  </si>
  <si>
    <t xml:space="preserve">Graphs </t>
  </si>
  <si>
    <t xml:space="preserve">Eligible Category </t>
  </si>
  <si>
    <t xml:space="preserve">Total expenditures identified by category </t>
  </si>
  <si>
    <t>Stolpec1</t>
  </si>
  <si>
    <t xml:space="preserve">Total expenditures identified by green/social category </t>
  </si>
  <si>
    <t xml:space="preserve">% of Green Expenditures  </t>
  </si>
  <si>
    <t xml:space="preserve">% of Social Expenditures  </t>
  </si>
  <si>
    <t>GBP</t>
  </si>
  <si>
    <t>SDG</t>
  </si>
  <si>
    <t>Ministry</t>
  </si>
  <si>
    <t xml:space="preserve">Energy Transition </t>
  </si>
  <si>
    <t>No poverty</t>
  </si>
  <si>
    <t>Pollution prevention and control</t>
  </si>
  <si>
    <t>Zero hunger</t>
  </si>
  <si>
    <t>Ministry of Health</t>
  </si>
  <si>
    <t>Terrestrial and aquatic biodiversity conservation</t>
  </si>
  <si>
    <t>Quality education</t>
  </si>
  <si>
    <t>Ministry of Higher Education, Science and Innovation</t>
  </si>
  <si>
    <t>Gender equality</t>
  </si>
  <si>
    <t>Water and wastewater management</t>
  </si>
  <si>
    <t>Clean water and sanitation</t>
  </si>
  <si>
    <t>Climate change adaptation</t>
  </si>
  <si>
    <t>Affordable and clean energy</t>
  </si>
  <si>
    <t xml:space="preserve">Eco-efficient and/or circular economy </t>
  </si>
  <si>
    <t xml:space="preserve">Energy Efficiency </t>
  </si>
  <si>
    <t>Ministry of the Economy, Tourism and Sport</t>
  </si>
  <si>
    <t>R and I</t>
  </si>
  <si>
    <t>Phases of a project</t>
  </si>
  <si>
    <t>Climate action</t>
  </si>
  <si>
    <t>SBP</t>
  </si>
  <si>
    <t>Life below water</t>
  </si>
  <si>
    <t>Life on land</t>
  </si>
  <si>
    <t>Affordable housing</t>
  </si>
  <si>
    <t xml:space="preserve">Employment Generation and Socioeconomic Advancement and Empowerment </t>
  </si>
  <si>
    <t>SDS 2030</t>
  </si>
  <si>
    <t>An inclusive, healthy, safe and responsible society</t>
  </si>
  <si>
    <t>1. Forestry</t>
  </si>
  <si>
    <t>Learning for and through life</t>
  </si>
  <si>
    <t>1.1. Afforestation</t>
  </si>
  <si>
    <t>A highly productive economy that creates added value for all</t>
  </si>
  <si>
    <t>1.2. Rehabilitation and restoration of forests, including reforestation and natural forest regeneration after an extreme event</t>
  </si>
  <si>
    <t>Well-preserved natural environment</t>
  </si>
  <si>
    <t>1.3. Forest management</t>
  </si>
  <si>
    <t>High level cooperation, competence and governance efficiency</t>
  </si>
  <si>
    <t>1.4. Conservation forestry</t>
  </si>
  <si>
    <t>2. Environmental protection and restoration activities</t>
  </si>
  <si>
    <t>2.1. Restoration of wetlands</t>
  </si>
  <si>
    <t>3. Manufacturing</t>
  </si>
  <si>
    <t>3.1. Manufacture of renewable energy technologies</t>
  </si>
  <si>
    <t>3.2. Manufacture of equipment for the production and use of hydrogen</t>
  </si>
  <si>
    <t>3.3. Manufacture of low carbon technologies for transport</t>
  </si>
  <si>
    <t>Sustainable use and protection of water and marine resources</t>
  </si>
  <si>
    <t>3.4. Manufacture of batteries</t>
  </si>
  <si>
    <t>Transition to a circular economy</t>
  </si>
  <si>
    <t>3.5. Manufacture of energy efficiency equipment for buildings</t>
  </si>
  <si>
    <t>3.6. Manufacture of other low carbon technologies</t>
  </si>
  <si>
    <t>Protection and restoration of biodiversity and ecosystems</t>
  </si>
  <si>
    <t>3.7. Manufacture of cement</t>
  </si>
  <si>
    <t>3.8. Manufacture of aluminium</t>
  </si>
  <si>
    <t>3.9. Manufacture of iron and steel</t>
  </si>
  <si>
    <t>3.10. Manufacture of hydrogen</t>
  </si>
  <si>
    <t>3.11. Manufacture of carbon black</t>
  </si>
  <si>
    <t>3.12. Manufacture of soda ash</t>
  </si>
  <si>
    <t>3.13. Manufacture of chlorine</t>
  </si>
  <si>
    <t>3.14. Manufacture of organic basic chemicals</t>
  </si>
  <si>
    <t xml:space="preserve">tax expenditure </t>
  </si>
  <si>
    <t>3.15. Manufacture of anhydrous ammonia</t>
  </si>
  <si>
    <t>3.16. Manufacture of nitric acid</t>
  </si>
  <si>
    <t>3.17. Manufacture of plastics in primary form</t>
  </si>
  <si>
    <t>4. Energy</t>
  </si>
  <si>
    <t>4.1. Electricity generation using solar photovoltaic technology</t>
  </si>
  <si>
    <t>4.2. Electricity generation using concentrated solar power (CSP) technology</t>
  </si>
  <si>
    <t>4.3. Electricity generation from wind power</t>
  </si>
  <si>
    <t>4.4. Electricity generation from ocean energy technologies</t>
  </si>
  <si>
    <t>4.5. Electricity generation from hydropower</t>
  </si>
  <si>
    <t>4.6. Electricity generation from geothermal energy</t>
  </si>
  <si>
    <t>4.7. Electricity generation from renewable non-fossil gaseous and liquid fuels</t>
  </si>
  <si>
    <t>4.8. Electricity generation from bioenergy</t>
  </si>
  <si>
    <t>4.9. Transmission and distribution of electricity</t>
  </si>
  <si>
    <t>4.10. Storage of electricity</t>
  </si>
  <si>
    <t>4.11. Storage of thermal energy</t>
  </si>
  <si>
    <t>4.12. Storage of hydrogen</t>
  </si>
  <si>
    <t>4.13. Manufacture of biogas and biofuels for use in transport and of bioliquids</t>
  </si>
  <si>
    <t>4.14. Transmission and distribution networks for renewable and low-carbon gases</t>
  </si>
  <si>
    <t>4.15. District heating/cooling distribution</t>
  </si>
  <si>
    <t>4.16. Installation and operation of electric heat pumps</t>
  </si>
  <si>
    <t>4.17. Cogeneration of heat/cool and power from solar energy</t>
  </si>
  <si>
    <t>4.18. Cogeneration of heat/cool and power from geothermal energy</t>
  </si>
  <si>
    <t>4.19. Cogeneration of heat/cool and power from renewable non-fossil gaseous and liquid fuels</t>
  </si>
  <si>
    <t>4.20. Cogeneration of heat/cool and power from bioenergy</t>
  </si>
  <si>
    <t>4.21. Production of heat/cool from solar thermal heating</t>
  </si>
  <si>
    <t>4.22. Production of heat/cool from geothermal energy</t>
  </si>
  <si>
    <t>4.23. Production of heat/cool from renewable non-fossil gaseous and liquid fuels</t>
  </si>
  <si>
    <t>4.24. Production of heat/cool from bioenergy</t>
  </si>
  <si>
    <t>4.25. Production of heat/cool using waste heat</t>
  </si>
  <si>
    <t>5. Water supply, sewerage, waste management and remediation</t>
  </si>
  <si>
    <t>5.1. Construction, extension and operation of water collection, treatment and supply systems</t>
  </si>
  <si>
    <t>5.2. Renewal of water collection, treatment and supply systems</t>
  </si>
  <si>
    <t>5.3. Construction, extension and operation of waste water collection and treatment</t>
  </si>
  <si>
    <t>5.4. Renewal of waste water collection and treatment</t>
  </si>
  <si>
    <t>5.5. Collection and transport of non-hazardous waste in source segregated fractions</t>
  </si>
  <si>
    <t>5.6. Anaerobic digestion of sewage sludge</t>
  </si>
  <si>
    <t>5.7. Anaerobic digestion of bio-waste</t>
  </si>
  <si>
    <t>5.8. Composting of bio-waste</t>
  </si>
  <si>
    <t>5.9. Material recovery from non-hazardous waste</t>
  </si>
  <si>
    <t>5.10. Landfill gas capture and utilisation</t>
  </si>
  <si>
    <t>5.11. Transport of CO2</t>
  </si>
  <si>
    <t>5.12. Underground permanent geological storage of CO2</t>
  </si>
  <si>
    <t>6. Transport</t>
  </si>
  <si>
    <t>6.1. Passenger interurban rail transport</t>
  </si>
  <si>
    <t>6.2. Freight rail transport</t>
  </si>
  <si>
    <t>6.3. Urban and suburban transport, road passenger transport</t>
  </si>
  <si>
    <t>6.4. Operation of personal mobility devices, cycle logistics</t>
  </si>
  <si>
    <t>6.5. Transport by motorbikes, passenger cars and light commercial vehicles</t>
  </si>
  <si>
    <t>6.6. Freight transport services by road</t>
  </si>
  <si>
    <t>6.7. Inland passenger water transport</t>
  </si>
  <si>
    <t>6.8. Inland freight water transport</t>
  </si>
  <si>
    <t>6.9. Retrofitting of inland water passenger and freight transport</t>
  </si>
  <si>
    <t>6.10. Sea and coastal freight water transport, vessels for port operations and auxiliary activities</t>
  </si>
  <si>
    <t>6.11. Sea and coastal passenger water transport</t>
  </si>
  <si>
    <t>6.12. Retrofitting of sea and coastal freight and passenger water transport</t>
  </si>
  <si>
    <t>6.13. Infrastructure for personal mobility, cycle logistics</t>
  </si>
  <si>
    <t>6.14. Infrastructure for rail transport</t>
  </si>
  <si>
    <t>6.15. Infrastructure enabling low-carbon road transport and public transport</t>
  </si>
  <si>
    <t>6.16. Infrastructure enabling low carbon water transport</t>
  </si>
  <si>
    <t>6.17. Low carbon airport infrastructure</t>
  </si>
  <si>
    <t>7. Construction and real estate activities</t>
  </si>
  <si>
    <t>7.1. Construction of new buildings</t>
  </si>
  <si>
    <t>7.2. Renovation of existing buildings</t>
  </si>
  <si>
    <t>7.3. Installation, maintenance and repair of energy efficiency equipment</t>
  </si>
  <si>
    <t>7.4. Installation, maintenance and repair of charging stations for electric vehicles in buildings (and parking spaces attached to buildings)</t>
  </si>
  <si>
    <t>7.5. Installation, maintenance and repair of instruments and devices for measuring, regulation and controlling energy performance of buildings</t>
  </si>
  <si>
    <t>7.6. Installation, maintenance and repair of renewable energy technologies</t>
  </si>
  <si>
    <t>7.7. Acquisition and ownership of buildings</t>
  </si>
  <si>
    <t>8. Information and communication</t>
  </si>
  <si>
    <t>8.1. Data processing, hosting and related activities</t>
  </si>
  <si>
    <t>8.2. Data-driven solutions for GHG emissions reductions</t>
  </si>
  <si>
    <t>9. Professional, scientific and technical activities</t>
  </si>
  <si>
    <t>9.1. Close to market research, development and innovation</t>
  </si>
  <si>
    <t>9.2. Research, development and innovation for direct air capture of CO2</t>
  </si>
  <si>
    <t>9.3. Professional services related to energy performance of buildings</t>
  </si>
  <si>
    <t xml:space="preserve">Category </t>
  </si>
  <si>
    <t>Allocated in 2022 (€)</t>
  </si>
  <si>
    <t>Allocated in 2023(€)</t>
  </si>
  <si>
    <t>Total (€)</t>
  </si>
  <si>
    <t>Share (%)</t>
  </si>
  <si>
    <t>Low Carbon Transport</t>
  </si>
  <si>
    <t>Access to Essential Services -Education</t>
  </si>
  <si>
    <t>Access to Essential Services - Healthcare</t>
  </si>
  <si>
    <t xml:space="preserve">Total green and social categories: </t>
  </si>
  <si>
    <t>Refinancing</t>
  </si>
  <si>
    <t>Financing</t>
  </si>
  <si>
    <t>(Vse)</t>
  </si>
  <si>
    <t>Oznake vrstic</t>
  </si>
  <si>
    <t>Vsota od Bond eligible amount (EUR)
Σ 22+23</t>
  </si>
  <si>
    <t>Allocated amount</t>
  </si>
  <si>
    <t>Category</t>
  </si>
  <si>
    <t>SDGs/EU Environmental Objective</t>
  </si>
  <si>
    <t>Climate Change Mitigation</t>
  </si>
  <si>
    <t>Protection and Restoration of Biodiversity and Ecosystems</t>
  </si>
  <si>
    <t>Project Category</t>
  </si>
  <si>
    <t>Year</t>
  </si>
  <si>
    <t>Total 2022-23</t>
  </si>
  <si>
    <t>2022 (€)</t>
  </si>
  <si>
    <t>2023 (€)</t>
  </si>
  <si>
    <t xml:space="preserve"> (€)</t>
  </si>
  <si>
    <t xml:space="preserve">Low Carbon Transport </t>
  </si>
  <si>
    <t>Total 2022-23
 (€)</t>
  </si>
  <si>
    <t>Sustainable agricultural practices</t>
  </si>
  <si>
    <t>Access to Essential Services - Education</t>
  </si>
  <si>
    <t>Access to Essential Servicies - Education</t>
  </si>
  <si>
    <t xml:space="preserve">Access to Essential Servicies - Social inclusion </t>
  </si>
  <si>
    <t>Access to essential servicies - Health</t>
  </si>
  <si>
    <t>Project name</t>
  </si>
  <si>
    <t>2560-23-0132</t>
  </si>
  <si>
    <t>Post-flood intervention measures - municipal infrastructure - Mežica</t>
  </si>
  <si>
    <t>2560-23-0113</t>
  </si>
  <si>
    <t>Municipal infrastructure 4.8. - Gornji Grad</t>
  </si>
  <si>
    <t>2560-23-0130</t>
  </si>
  <si>
    <t>Post-flood intervention measures - municipal infrastructure - Medvode</t>
  </si>
  <si>
    <t>2560-23-0125</t>
  </si>
  <si>
    <t>Municipal infrastructure 4.8. - Ljubno</t>
  </si>
  <si>
    <t>2560-23-0107</t>
  </si>
  <si>
    <t>NN 4.8.2023 - Municipality Črna na Koroškem</t>
  </si>
  <si>
    <t>2560-23-0156</t>
  </si>
  <si>
    <t>Post-flood intervention measures - municipal infrastructure - Škofja Loka</t>
  </si>
  <si>
    <t>2560-23-0117</t>
  </si>
  <si>
    <t>Municipal infrastructure 4.8. - Kamnik</t>
  </si>
  <si>
    <t>2560-23-0142</t>
  </si>
  <si>
    <t>Post-flood intervention measures - municipal infrastructure - Prevalje</t>
  </si>
  <si>
    <t>2560-23-0095</t>
  </si>
  <si>
    <t>NN 4.8.2023 - Municipality Dravograd</t>
  </si>
  <si>
    <t>2560-23-0112</t>
  </si>
  <si>
    <t>Municipal infrastructure 4.8. - Gorenja vas-Poljane</t>
  </si>
  <si>
    <t>2560-23-0109</t>
  </si>
  <si>
    <t>Municipal infrastructure. 4.8. - Dobrova-Polhov Gradec</t>
  </si>
  <si>
    <t>2560-23-0158</t>
  </si>
  <si>
    <t>Post-flood intervention measures - municipal infrastructure - Šoštanj</t>
  </si>
  <si>
    <t>2560-23-0147</t>
  </si>
  <si>
    <t>Post-flood intervention measures - municipal infrastructure - Ravne na Koroškem</t>
  </si>
  <si>
    <t>2560-23-0149</t>
  </si>
  <si>
    <t>Post-flood intervention measures - municipal infrastructure - Slovenj Gradec</t>
  </si>
  <si>
    <t>2560-23-0174</t>
  </si>
  <si>
    <t>Post-flood  measures - municipal infrastructure - Cirkulane</t>
  </si>
  <si>
    <t>0</t>
  </si>
  <si>
    <t>2560-23-0175</t>
  </si>
  <si>
    <t>Post-flood intervention measures - municipal infrastructure - 10 municipalities</t>
  </si>
  <si>
    <t>1,365,950</t>
  </si>
  <si>
    <t>2560-23-0178</t>
  </si>
  <si>
    <t>Post-flood measures - municipal infrastructure- Cirkulane</t>
  </si>
  <si>
    <t>5,323,040</t>
  </si>
  <si>
    <t>1,064,608</t>
  </si>
  <si>
    <t>2560-23-0179</t>
  </si>
  <si>
    <t>Post-flood intervention measures - municipal infrastructure - Hrastnik</t>
  </si>
  <si>
    <t>819,204</t>
  </si>
  <si>
    <t>327,680</t>
  </si>
  <si>
    <t>2560-23-0180</t>
  </si>
  <si>
    <t>Post-flood intervention measures - municipal infrastructure - Sveti Jurij</t>
  </si>
  <si>
    <t>591,847</t>
  </si>
  <si>
    <t>236,738</t>
  </si>
  <si>
    <t>2560-23-0181</t>
  </si>
  <si>
    <t>Post-flood intervention measures - municipal infrastructure - Trnovska vas</t>
  </si>
  <si>
    <t>909,692</t>
  </si>
  <si>
    <t>363,876</t>
  </si>
  <si>
    <t>2560-23-0182</t>
  </si>
  <si>
    <t>Post-flood intervention measures - municipal infrastructure - Videm</t>
  </si>
  <si>
    <t>1,129,945</t>
  </si>
  <si>
    <t>451,978</t>
  </si>
  <si>
    <t>2560-23-0183</t>
  </si>
  <si>
    <t>Post-flood intervention measures - municipal infrastructure - 55 občin</t>
  </si>
  <si>
    <t>6,966,826</t>
  </si>
  <si>
    <t>2,742,841</t>
  </si>
  <si>
    <t>15,740,555</t>
  </si>
  <si>
    <t>5,187,721</t>
  </si>
  <si>
    <t>2560-23-0186</t>
  </si>
  <si>
    <t>Post-flood measures - municipal infrastructure - Cerkno</t>
  </si>
  <si>
    <t>2560-23-0187</t>
  </si>
  <si>
    <t>Post-flood intervention measures - municipal infrastructure - Cirkulane</t>
  </si>
  <si>
    <t>2560-23-0188</t>
  </si>
  <si>
    <t>Post-flood intervention measures - municipal infrastructure - Maribor</t>
  </si>
  <si>
    <t>2560-23-0190</t>
  </si>
  <si>
    <t>Post-flood intervention measures - municipal infrastructure - 20 municipalities</t>
  </si>
  <si>
    <t>2560-23-0197</t>
  </si>
  <si>
    <t>Post-flood measures - municipal infrastructure - Celje</t>
  </si>
  <si>
    <t>2560-23-0198</t>
  </si>
  <si>
    <t>2560-23-0199</t>
  </si>
  <si>
    <t>Post-flood intervention measures - municipal infrastructure - Dobrna</t>
  </si>
  <si>
    <t>2560-23-0200</t>
  </si>
  <si>
    <t>Post-flood intervention measures - municipal infrastructure - Litija</t>
  </si>
  <si>
    <t>2560-23-0201</t>
  </si>
  <si>
    <t>2560-23-0202</t>
  </si>
  <si>
    <t>2560-23-0203</t>
  </si>
  <si>
    <t>Post-flood intervention measures - municipal infrastructure - Šmartno pri L.</t>
  </si>
  <si>
    <t>2560-23-0204</t>
  </si>
  <si>
    <t>Post-flood intervention measures - municipal infrastructure - Velenje</t>
  </si>
  <si>
    <t>2560-23-0205</t>
  </si>
  <si>
    <t>2560-23-0206</t>
  </si>
  <si>
    <t>Post-flood intervention measures - municipal infrastructure - Vojnik</t>
  </si>
  <si>
    <t>2560-23-0207</t>
  </si>
  <si>
    <t>Post-flood intervention measures - municipal infrastructure - Zagorje ob Savi</t>
  </si>
  <si>
    <t>2560-23-0208</t>
  </si>
  <si>
    <t>Post-flood intervention measures - municipal infrastructure - Zavrč</t>
  </si>
  <si>
    <t>2560-23-0209</t>
  </si>
  <si>
    <t>Post-flood intervention measures - municipal infrastructure - 49 municipalities</t>
  </si>
  <si>
    <t>2430-22-0204</t>
  </si>
  <si>
    <r>
      <t>Reconstruction of bus stations and bicycle sheds Velenje (ITI</t>
    </r>
    <r>
      <rPr>
        <vertAlign val="superscript"/>
        <sz val="8"/>
        <rFont val="Arial"/>
        <family val="2"/>
        <charset val="238"/>
      </rPr>
      <t>1</t>
    </r>
    <r>
      <rPr>
        <sz val="10"/>
        <rFont val="Arial"/>
        <family val="2"/>
        <charset val="238"/>
      </rPr>
      <t>)</t>
    </r>
  </si>
  <si>
    <t>2430-19-0205</t>
  </si>
  <si>
    <t>Arrangement of the cycling connections network s in MO Celje (ITI)</t>
  </si>
  <si>
    <t>2430-21-0113</t>
  </si>
  <si>
    <t>Mobility management in MO Celje (ITI)</t>
  </si>
  <si>
    <t>2430-21-0200</t>
  </si>
  <si>
    <t>Cycling connection Drska - Bršljin (ITI)</t>
  </si>
  <si>
    <t>2430-21-0202</t>
  </si>
  <si>
    <t>Footbridge and cycling route Loka - Kandija in NM (ITI)</t>
  </si>
  <si>
    <t>2430-21-0203</t>
  </si>
  <si>
    <t>Sustainable mobility in Slovenj Gradcu (ITI)</t>
  </si>
  <si>
    <t>2430-22-0200</t>
  </si>
  <si>
    <t>Arrangement of cycling connection in MO MS - 1. phase (ITI)</t>
  </si>
  <si>
    <t>2430-22-0203</t>
  </si>
  <si>
    <t>Cycling route AdamiČevo naselje-two-story bridge MB (ITI)</t>
  </si>
  <si>
    <t>2430-19-0201</t>
  </si>
  <si>
    <t>Establishing a cycling network NG (ITI)</t>
  </si>
  <si>
    <t>2430-22-0205</t>
  </si>
  <si>
    <t>Surface arrangement for cyclists and pedestrians in Kranju CTN</t>
  </si>
  <si>
    <t>2430-23-0102</t>
  </si>
  <si>
    <t>Cycling and walking areas Cesta dveh cesarjev</t>
  </si>
  <si>
    <t>Key impact indicator: Reduction of greenhouse gas emissions </t>
  </si>
  <si>
    <t>2430-21-0111</t>
  </si>
  <si>
    <t>Cycling and walking routes in MO Murska Sobota ITI</t>
  </si>
  <si>
    <t>2430-21-0205</t>
  </si>
  <si>
    <t>Renovation of bus station in Kopru ITI</t>
  </si>
  <si>
    <t>2430-22-0101</t>
  </si>
  <si>
    <t>Cycling and walking areas on Rogozniški cesti - Ptuj CTN</t>
  </si>
  <si>
    <t>2430-22-0202</t>
  </si>
  <si>
    <t>Cycling connection 10: Sports park Kranj - Bus station Kranj ITI</t>
  </si>
  <si>
    <t>2430-20-0207</t>
  </si>
  <si>
    <t>Arrangement of the cycling network MOL - Tržaška cesta ITI</t>
  </si>
  <si>
    <t>2430-21-0201</t>
  </si>
  <si>
    <t>Footbridge and cycling route Irča vas - Novo mesto CTN</t>
  </si>
  <si>
    <t>2430-21-0204</t>
  </si>
  <si>
    <t>Arrangement of sustainable mobility in the city center of Slovenj Gradac ITI</t>
  </si>
  <si>
    <t>2430-23-0101</t>
  </si>
  <si>
    <t>Expanding the bike rental system GO2GO ITI</t>
  </si>
  <si>
    <t>2430-23-0105</t>
  </si>
  <si>
    <t>Bus stops arrangement in MO Nova Gorica</t>
  </si>
  <si>
    <t>2570-23-0101</t>
  </si>
  <si>
    <t>Arrangement of the Embankment Korna - arrangement of the pedestrian path</t>
  </si>
  <si>
    <t>2430-21-0109</t>
  </si>
  <si>
    <r>
      <t>Cycling network Turnišče - Dobrovnik RDA</t>
    </r>
    <r>
      <rPr>
        <vertAlign val="superscript"/>
        <sz val="8"/>
        <rFont val="Arial"/>
        <family val="2"/>
        <charset val="238"/>
      </rPr>
      <t>2</t>
    </r>
  </si>
  <si>
    <t>2430-21-0110</t>
  </si>
  <si>
    <t>Cycling connestion Lendava-Dobrovnik-Kobilje RDA</t>
  </si>
  <si>
    <t>2430-21-0112</t>
  </si>
  <si>
    <t>Cycling connections arrangement in občini Kočevje RDA</t>
  </si>
  <si>
    <t>2430-21-0114</t>
  </si>
  <si>
    <t>Cycling routes G. Radgona - 1. phase RDA</t>
  </si>
  <si>
    <t>2430-21-0115</t>
  </si>
  <si>
    <t>Cycling route Lendava-Velika Polana-Črenšovci RDA</t>
  </si>
  <si>
    <t>2430-21-0119</t>
  </si>
  <si>
    <t>Cycling route Postojna-Hruševje-Grobišče RDA</t>
  </si>
  <si>
    <t>2430-21-0121</t>
  </si>
  <si>
    <t>Cycling route Trebnje-Mirna-Mokronog RDA</t>
  </si>
  <si>
    <t>2430-21-0122</t>
  </si>
  <si>
    <t>Cycling connection Črnomelj - Kanižarica RDA</t>
  </si>
  <si>
    <t>2430-21-0123</t>
  </si>
  <si>
    <t>Regional cycling connection Novo mesto - Straža Novo mesto - Straža RDA</t>
  </si>
  <si>
    <t>2430-21-0124</t>
  </si>
  <si>
    <t>Cycling connectionPtuj Destrnik RDA</t>
  </si>
  <si>
    <t>2430-21-0125</t>
  </si>
  <si>
    <t>Construction of a cycling section Ptuj Juršinci RDA</t>
  </si>
  <si>
    <t>2430-21-0126</t>
  </si>
  <si>
    <t>Cycling route construction Ptuj-Markovci-Gorišnica RDA</t>
  </si>
  <si>
    <t>2430-21-0128</t>
  </si>
  <si>
    <t>Cycling areas in Trbovljah RDA</t>
  </si>
  <si>
    <t>2430-21-0129</t>
  </si>
  <si>
    <t>Cycling connection Ptuj Majšperk RDA</t>
  </si>
  <si>
    <t>2430-21-0130</t>
  </si>
  <si>
    <t>Cycling connections in the area of the RDP of Slovenske gorice: Lenart-Cerkvenjak-Trnovska vas</t>
  </si>
  <si>
    <t>2430-21-0131</t>
  </si>
  <si>
    <t>Cycling connection Lenart-Sveta Ana-Trate RDA</t>
  </si>
  <si>
    <t>2430-21-0132</t>
  </si>
  <si>
    <t>Cycling route Jarenina-Lenart-Zgornja Senarska RDA</t>
  </si>
  <si>
    <t>2430-21-0133</t>
  </si>
  <si>
    <t>Cycling connection Lenart - Benedikt RDA</t>
  </si>
  <si>
    <t>2430-21-0134</t>
  </si>
  <si>
    <t>Cycling route Radlje ob Dravi z naseljem Vas RDA</t>
  </si>
  <si>
    <t>2430-21-0135</t>
  </si>
  <si>
    <t>Cycling connection Vuzenica z Muto RDA</t>
  </si>
  <si>
    <t>2430-21-0136</t>
  </si>
  <si>
    <t>Cycling route Rogaška Slatina-Spodnji Gabernik RDA</t>
  </si>
  <si>
    <t>2430-21-0138</t>
  </si>
  <si>
    <t>Cycling connection Krško-Kostanjevica na Krki RDA</t>
  </si>
  <si>
    <t>2431-19-0047</t>
  </si>
  <si>
    <t>Arrangement of a road with cycling route Brežice-Dobova RDA</t>
  </si>
  <si>
    <t>2431-19-0052</t>
  </si>
  <si>
    <t>Reconstruation (roud and cycling rote) Trojane-Izlake-Zagorje RDA</t>
  </si>
  <si>
    <t>2431-20-0045</t>
  </si>
  <si>
    <t>Cycling routes Muta in Vas-Brezno RDA</t>
  </si>
  <si>
    <t>2431-20-0046</t>
  </si>
  <si>
    <t>Cycling route Huda luknja RDA</t>
  </si>
  <si>
    <t>2431-20-0047</t>
  </si>
  <si>
    <t>Cycling routes Vransko-Rogatec and Velenje-Šešče RDA</t>
  </si>
  <si>
    <t>2431-20-0048</t>
  </si>
  <si>
    <t>Cycling Routes Dravograd-Mežica RDA</t>
  </si>
  <si>
    <t>2431-21-0126</t>
  </si>
  <si>
    <t>Road arrangement Križaj-Čatež ob Savi RDA</t>
  </si>
  <si>
    <t>2431-21-0127</t>
  </si>
  <si>
    <t>Road arrangement Trate-Gornja Radgona RDA</t>
  </si>
  <si>
    <r>
      <rPr>
        <vertAlign val="superscript"/>
        <sz val="8"/>
        <rFont val="Arial"/>
        <family val="2"/>
        <charset val="238"/>
      </rPr>
      <t>2</t>
    </r>
    <r>
      <rPr>
        <sz val="10"/>
        <rFont val="Arial"/>
        <family val="2"/>
        <charset val="238"/>
      </rPr>
      <t>RDA - regional development agreements</t>
    </r>
  </si>
  <si>
    <t>RS financing 2023 (EUR</t>
  </si>
  <si>
    <t>2430-20-0208</t>
  </si>
  <si>
    <t>Cycling connections Radovljica RDA</t>
  </si>
  <si>
    <t>2430-20-0209</t>
  </si>
  <si>
    <t>Cycling routes and other infrastructure in Izoli RDA</t>
  </si>
  <si>
    <t>2430-21-0100</t>
  </si>
  <si>
    <t>Cycling route od Litije do naselja Pogonik RDA</t>
  </si>
  <si>
    <t>2430-21-0105</t>
  </si>
  <si>
    <t>Arrangement of walking and cyclings areas - Letališka RDA</t>
  </si>
  <si>
    <t>2430-21-0106</t>
  </si>
  <si>
    <t>Cycling connection Kamnik - Godič RDA</t>
  </si>
  <si>
    <t>2430-21-0107</t>
  </si>
  <si>
    <t>Regional cycling connection Kamnik Ljubljana RDA</t>
  </si>
  <si>
    <t>2430-21-0108</t>
  </si>
  <si>
    <t>Cycling infrastructure arrangement in Občina Naklo RDA</t>
  </si>
  <si>
    <t>2430-21-0117</t>
  </si>
  <si>
    <t>Cycling route Medvode-Pirniče-Vikrče RDA</t>
  </si>
  <si>
    <t>2430-21-0118</t>
  </si>
  <si>
    <t>Cycling connection Železniki - Selca RDA</t>
  </si>
  <si>
    <t>2430-21-0120</t>
  </si>
  <si>
    <t>Cycling connection Škofja Loka Virmaše RDA</t>
  </si>
  <si>
    <t>2430-21-0127</t>
  </si>
  <si>
    <t>Regional cycling connection in Kras-GEOMOB RDA</t>
  </si>
  <si>
    <t>2430-21-0137</t>
  </si>
  <si>
    <t>Cycling routes in Občina Domžale RDA</t>
  </si>
  <si>
    <t>2430-22-0100</t>
  </si>
  <si>
    <t>Cycling route from Črna vas to Ljubljana RDA</t>
  </si>
  <si>
    <t>2430-22-0102</t>
  </si>
  <si>
    <t>Cycling route Nova Gorica - Vipolže - Dobrova RDA</t>
  </si>
  <si>
    <t>2415-10-0040</t>
  </si>
  <si>
    <t>Road reconstruction REKO Spodnja Idrija RDA</t>
  </si>
  <si>
    <t>2431-13-0009</t>
  </si>
  <si>
    <t>Road and cycling routes arrangement  Grosuplju RDA</t>
  </si>
  <si>
    <t>2431-18-0079</t>
  </si>
  <si>
    <t>Cycling connection Naklo-Bohinj RDA</t>
  </si>
  <si>
    <t>2431-18-0133</t>
  </si>
  <si>
    <t>Cycling network Severne primorske RDA</t>
  </si>
  <si>
    <t>2431-19-0010</t>
  </si>
  <si>
    <t>Cycling connection Postaja-Most na Soči-Tolmin RDA</t>
  </si>
  <si>
    <t>2431-20-0034</t>
  </si>
  <si>
    <t>Road arrangement and cycling routes Lokavec RDA</t>
  </si>
  <si>
    <t>2431-21-0128</t>
  </si>
  <si>
    <t>Cycling network Barjansko RDA</t>
  </si>
  <si>
    <t>3330-21-8264</t>
  </si>
  <si>
    <t>Additional units arrangement at kindergarden Vransko</t>
  </si>
  <si>
    <t>3330-21-8315</t>
  </si>
  <si>
    <t>Bulding a new kitchen at Elementary School Žiri</t>
  </si>
  <si>
    <t>3330-21-0039</t>
  </si>
  <si>
    <t>Extension of the kindergarten in Vipava</t>
  </si>
  <si>
    <t>3330-21-8281</t>
  </si>
  <si>
    <t>Reconstruction of the Elementary School Neznanih talcev - 1. phase</t>
  </si>
  <si>
    <t>3330-21-0065</t>
  </si>
  <si>
    <t>Reconstruction of Bilingual Elementary School Prosenjakovci</t>
  </si>
  <si>
    <t>2130-19-3163</t>
  </si>
  <si>
    <t>Construction of the kindergarden Materija</t>
  </si>
  <si>
    <t>3330-21-8247</t>
  </si>
  <si>
    <t>Rearrangement of kindergarten premises in Slovenj Gradec</t>
  </si>
  <si>
    <t>3330-21-8245</t>
  </si>
  <si>
    <t>Extension of the kindergarden Dragomer</t>
  </si>
  <si>
    <t>2130-19-3248</t>
  </si>
  <si>
    <t>Reconstruction of the Elementary School with gym in Miren</t>
  </si>
  <si>
    <t>3330-21-8319</t>
  </si>
  <si>
    <t>Extension of the kindergarden Sveta Ana</t>
  </si>
  <si>
    <t>3330-21-8320</t>
  </si>
  <si>
    <t>Reconstruction, extension of the kindergarten Turnišče</t>
  </si>
  <si>
    <t>3330-21-8285</t>
  </si>
  <si>
    <t>Arrangement of classrooms in the attic of Elementary School Juršinci</t>
  </si>
  <si>
    <t>3330-21-8299</t>
  </si>
  <si>
    <t>Constraction of the gym of Elementary School Sv. Florijan in Rogaški Slatini</t>
  </si>
  <si>
    <t>3330-21-8242</t>
  </si>
  <si>
    <t>New additional construction of the kindergarten Lovrenc na Dravskem polju</t>
  </si>
  <si>
    <t>3330-21-8225</t>
  </si>
  <si>
    <t xml:space="preserve">Extension of Center for behaviour, education and training Velenje </t>
  </si>
  <si>
    <t>3330-21-0050</t>
  </si>
  <si>
    <t>Extension of classrooms at Elementary School IV. Murska Sobota</t>
  </si>
  <si>
    <t>3330-21-8295</t>
  </si>
  <si>
    <t>Construction of new gym of the Elemetary School Šmihel in Občina Pivka</t>
  </si>
  <si>
    <t>3330-21-8239</t>
  </si>
  <si>
    <t>Extension of the kindergarten Horjul</t>
  </si>
  <si>
    <t>3330-21-8279</t>
  </si>
  <si>
    <t>Elementary School Divača - extension</t>
  </si>
  <si>
    <t>3330-21-8283</t>
  </si>
  <si>
    <t>Reconstruction of the attic of the Elementary School Hajdina</t>
  </si>
  <si>
    <t>3330-21-8300</t>
  </si>
  <si>
    <t>Reconstruction of the school units at Elementary School Sveti Jurij</t>
  </si>
  <si>
    <t>3330-21-8314</t>
  </si>
  <si>
    <t>Construction of additional spaces at Elementary School Železniki</t>
  </si>
  <si>
    <t>3330-21-8240</t>
  </si>
  <si>
    <t>Constructionof extension to central kindergarten in Ig</t>
  </si>
  <si>
    <t>3330-21-0046</t>
  </si>
  <si>
    <t>Reconstruction of Anice Černejeve Makola Elementary School</t>
  </si>
  <si>
    <t>3330-21-0030</t>
  </si>
  <si>
    <t>Construction of low-energy the kindergarden Hoče</t>
  </si>
  <si>
    <t>3330-21-0047</t>
  </si>
  <si>
    <t>Reconstruction Elementary School Simona Jenka</t>
  </si>
  <si>
    <t>3330-21-8256</t>
  </si>
  <si>
    <t>Provision of permises for kindergarden Radovljica</t>
  </si>
  <si>
    <t>3330-21-8305</t>
  </si>
  <si>
    <t>Construction of the school gym in Solčava</t>
  </si>
  <si>
    <t>3330-21-8280</t>
  </si>
  <si>
    <t>Redevelopment of the Elementary School Dining Room Rodica v Domžalah</t>
  </si>
  <si>
    <t>3330-21-8313</t>
  </si>
  <si>
    <t>Extension of Elementary School Žalec</t>
  </si>
  <si>
    <t>3330-21-8318</t>
  </si>
  <si>
    <t>Extension of the kindergarden k PElementary School Pristava pri Mestinju</t>
  </si>
  <si>
    <t>3330-21-8301</t>
  </si>
  <si>
    <t>Extension and reconstruction of the Elementary School Podgorje</t>
  </si>
  <si>
    <t>3330-21-0055</t>
  </si>
  <si>
    <t>New Construction of extension - Elementary School Ribnica</t>
  </si>
  <si>
    <t>3330-21-8265</t>
  </si>
  <si>
    <t>Extension and reconstruction of the kindergarden Zreče</t>
  </si>
  <si>
    <t>3330-21-0035</t>
  </si>
  <si>
    <t>Construction of the new the kindergarden Mirna</t>
  </si>
  <si>
    <t>3330-21-8249</t>
  </si>
  <si>
    <t>New construction at school district - Kindergarden Muta</t>
  </si>
  <si>
    <t>3330-21-0036</t>
  </si>
  <si>
    <t>Extension of the kindergarden Podgorci v občini Ormož</t>
  </si>
  <si>
    <t>3330-21-8307</t>
  </si>
  <si>
    <t>Reconstruction of Elementary School Slivnica pri Celju</t>
  </si>
  <si>
    <t>3330-21-0048</t>
  </si>
  <si>
    <t>Extensionto Elementary School Podzemelj in Občina Metlika</t>
  </si>
  <si>
    <t>3330-21-8317</t>
  </si>
  <si>
    <t>Extension of the kindergarden in Mala Nedelja in Občina Ljutomer</t>
  </si>
  <si>
    <t>3330-21-0043</t>
  </si>
  <si>
    <t>Arrangement of the gym at Elementary School Poldeta Stražišarja</t>
  </si>
  <si>
    <t>3330-21-8272</t>
  </si>
  <si>
    <t>Partial reorganization and extension of the Elementary School Benedikt</t>
  </si>
  <si>
    <t>3330-21-8304</t>
  </si>
  <si>
    <t>Static rehabilitation and renovation of the Elementary School Pod goro</t>
  </si>
  <si>
    <t>2130-20-3379</t>
  </si>
  <si>
    <t>Construction of the kindergarden in Občina Kočevje</t>
  </si>
  <si>
    <t>2130-20-3103</t>
  </si>
  <si>
    <t>Extension of the kindergarden Agata Poljane</t>
  </si>
  <si>
    <t>3330-21-8258</t>
  </si>
  <si>
    <t>New construction of the kindergarden in Občina Sveti Jurij ob Ščavnici</t>
  </si>
  <si>
    <t>3330-21-8250</t>
  </si>
  <si>
    <t>Construction of the kindergarden Grgar in Občina Nova Gorica</t>
  </si>
  <si>
    <t>3330-21-8246</t>
  </si>
  <si>
    <t>New unit construction at the kindergarden Kurirček in Občina Logatec</t>
  </si>
  <si>
    <t>3330-21-8253</t>
  </si>
  <si>
    <t>Reconstruction and extension of the kindergarden and Elementary School Podlehnik</t>
  </si>
  <si>
    <t>2130-16-3248</t>
  </si>
  <si>
    <t>Construction of the low-energy kindergarden Rogatec</t>
  </si>
  <si>
    <t>3330-21-8255</t>
  </si>
  <si>
    <t>Extension to kindergarden Radlje ob Dravi</t>
  </si>
  <si>
    <t>3330-21-0033</t>
  </si>
  <si>
    <t>New construction of elementary school Veliki Podlog with the kindergarden</t>
  </si>
  <si>
    <t>3330-21-0028</t>
  </si>
  <si>
    <t>Kindergarten Cankova (extension)</t>
  </si>
  <si>
    <t>3330-21-8243</t>
  </si>
  <si>
    <t>Extension and reconstruction of the kindergarden Štanjel</t>
  </si>
  <si>
    <t>3330-21-8310</t>
  </si>
  <si>
    <t>Sport hall Štore</t>
  </si>
  <si>
    <t>3330-21-8248</t>
  </si>
  <si>
    <t>Extension of the kindergarden Mozirje</t>
  </si>
  <si>
    <t>3330-21-8227</t>
  </si>
  <si>
    <t>Reconstruction and extension of Elementary School Jela Janežiča</t>
  </si>
  <si>
    <t>3330-21-8290</t>
  </si>
  <si>
    <t>Extension of Elementary School Brdo in Občina Lukovica</t>
  </si>
  <si>
    <t>3330-21-8260</t>
  </si>
  <si>
    <t>Reconstruction and Extension of kindergarten Šmartno ob Paki</t>
  </si>
  <si>
    <t>3330-21-8298</t>
  </si>
  <si>
    <t>Extension with recontruction of Elementary School Mladika na Ptuju</t>
  </si>
  <si>
    <t>3330-21-8316</t>
  </si>
  <si>
    <t>Extension of the kindergarden in Mojstrana in Občina Kranjska Gora</t>
  </si>
  <si>
    <t>3330-21-0037</t>
  </si>
  <si>
    <t>New construction of the kindergarden Ravne na Koroškem</t>
  </si>
  <si>
    <t>2130-20-3077</t>
  </si>
  <si>
    <t>Construction of the kindergarden Dobova</t>
  </si>
  <si>
    <t>3330-21-8288</t>
  </si>
  <si>
    <t>Construction of school's sport hall Rimske Toplice</t>
  </si>
  <si>
    <t>3330-21-0040</t>
  </si>
  <si>
    <t>Constraction of the new Gym hall of the Elementary School Danila Lokarja Ajdovščina</t>
  </si>
  <si>
    <t>3330-21-0027</t>
  </si>
  <si>
    <t>New construction of the kindergarden next to Elementary School dr. Janeza Mencingerja</t>
  </si>
  <si>
    <t>3330-21-8278</t>
  </si>
  <si>
    <t>Reconstruction of Elementary School Črna na Koroškem- II. Phase</t>
  </si>
  <si>
    <t>3330-21-8275</t>
  </si>
  <si>
    <t>Construction of extension to  Elementary School Braslovče</t>
  </si>
  <si>
    <t>3330-21-8276</t>
  </si>
  <si>
    <t>Extension of Elementary School Preserje</t>
  </si>
  <si>
    <t>3330-21-8241</t>
  </si>
  <si>
    <t>New construction of the kindergarden in Šentvid pri Stični</t>
  </si>
  <si>
    <t>3330-21-8294</t>
  </si>
  <si>
    <t>Extension of the Elementary School Mozirje</t>
  </si>
  <si>
    <t>3330-21-8263</t>
  </si>
  <si>
    <t>New construction of the kondergarden Vitanje</t>
  </si>
  <si>
    <t>3330-21-8303</t>
  </si>
  <si>
    <t>Sport hall renovation -Elementary School Bistrica v Slovenski Bistrici</t>
  </si>
  <si>
    <t>3330-21-8302</t>
  </si>
  <si>
    <t>Extension with reconstruction at  Elementary School Slovenj Gradec</t>
  </si>
  <si>
    <t>3330-21-8277</t>
  </si>
  <si>
    <t>Construction of extension to Elementary School Hudinja in Občina Celje</t>
  </si>
  <si>
    <t>2130-20-3339</t>
  </si>
  <si>
    <t>Extension of Elementary School Dragatuš</t>
  </si>
  <si>
    <t>3330-21-8266</t>
  </si>
  <si>
    <t>Construction of the kindergarden Veržej</t>
  </si>
  <si>
    <t>3330-21-8274</t>
  </si>
  <si>
    <t>Construction of the sport hall in Bovec</t>
  </si>
  <si>
    <t>3330-21-0056</t>
  </si>
  <si>
    <t>New school Ane Gale in Občina Sevnica</t>
  </si>
  <si>
    <t>3330-21-0066</t>
  </si>
  <si>
    <t>Construction of extension at Bilingual Elementary School I Lendava</t>
  </si>
  <si>
    <t>3330-21-8297</t>
  </si>
  <si>
    <t>Partial reconstruction and extension of Elementary School Prebold</t>
  </si>
  <si>
    <t>3330-21-8237</t>
  </si>
  <si>
    <t>New construction of the kindergarden in Srednja Bistrica</t>
  </si>
  <si>
    <t>2130-19-3072</t>
  </si>
  <si>
    <t>Construction of the kindergarden Frankolovo</t>
  </si>
  <si>
    <t>2130-20-3314</t>
  </si>
  <si>
    <t>Construction of the kindergarden v Spodnji Idriji</t>
  </si>
  <si>
    <t>2130-20-3393</t>
  </si>
  <si>
    <t>Construction of a replacement the kindergarden Najdihojca Litija</t>
  </si>
  <si>
    <t>3330-21-8226</t>
  </si>
  <si>
    <t>Extension at Elementary School Dolenjske Toplice - kindergarten</t>
  </si>
  <si>
    <t>3330-21-8291</t>
  </si>
  <si>
    <t>Reconstruction and new construction of the gym at Elemenary School in Maribor</t>
  </si>
  <si>
    <t>3330-21-8282</t>
  </si>
  <si>
    <t>Construction of a sport hall next to Elementary School Gornja Radgona</t>
  </si>
  <si>
    <t>3330-21-8306</t>
  </si>
  <si>
    <t>New Elementary School Marjeta in Občina Starše</t>
  </si>
  <si>
    <t>3330-21-8308</t>
  </si>
  <si>
    <t>Elementary School Šmarjeta - Reconstruction</t>
  </si>
  <si>
    <t>3330-21-0053</t>
  </si>
  <si>
    <t>Extension and sport haall construction at Elementary School Matije Valjavca</t>
  </si>
  <si>
    <t>3330-21-8224</t>
  </si>
  <si>
    <t>Reconstruction and extension at Elementary School Dolenja Nemška vas</t>
  </si>
  <si>
    <t>3330-21-0062</t>
  </si>
  <si>
    <t>Reconstruction of Elemetary School and Kindergarten Turjak</t>
  </si>
  <si>
    <t>3330-21-0044</t>
  </si>
  <si>
    <t>New Construction of Elementary School Škofije in Občina Koper</t>
  </si>
  <si>
    <t>3330-21-8286</t>
  </si>
  <si>
    <t>Construction of the Elementary School Frana Albrehta with external arrangement</t>
  </si>
  <si>
    <t>3330-21-8293</t>
  </si>
  <si>
    <t>Extension and reconstruction of the Elementary School Jurija Vege Moravče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</si>
</sst>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quot;_-;\-* #,##0\ &quot;€&quot;_-;_-* &quot;-&quot;\ &quot;€&quot;_-;_-@_-"/>
    <numFmt numFmtId="44" formatCode="_-* #,##0.00\ &quot;€&quot;_-;\-* #,##0.00\ &quot;€&quot;_-;_-* &quot;-&quot;??\ &quot;€&quot;_-;_-@_-"/>
    <numFmt numFmtId="164" formatCode="_(* #,##0.00_);_(* \(#,##0.00\);_(* &quot;-&quot;??_);_(@_)"/>
    <numFmt numFmtId="165" formatCode="#,##0.00\ &quot;€&quot;"/>
  </numFmts>
  <fonts count="50" x14ac:knownFonts="1">
    <font>
      <sz val="11"/>
      <color theme="1"/>
      <name val="Arial"/>
      <family val="2"/>
      <charset val="238"/>
    </font>
    <font>
      <sz val="11"/>
      <color theme="1"/>
      <name val="Calibri"/>
      <family val="2"/>
      <charset val="238"/>
      <scheme val="minor"/>
    </font>
    <font>
      <sz val="11"/>
      <color theme="1"/>
      <name val="Calibri"/>
      <family val="2"/>
      <charset val="238"/>
      <scheme val="minor"/>
    </font>
    <font>
      <sz val="10"/>
      <color theme="1"/>
      <name val="Arial"/>
      <family val="2"/>
      <charset val="238"/>
    </font>
    <font>
      <sz val="10"/>
      <name val="Arial"/>
      <family val="2"/>
      <charset val="238"/>
    </font>
    <font>
      <sz val="11"/>
      <color theme="5" tint="-0.249977111117893"/>
      <name val="Arial"/>
      <family val="2"/>
      <charset val="238"/>
    </font>
    <font>
      <sz val="11"/>
      <color theme="6" tint="-0.249977111117893"/>
      <name val="Arial"/>
      <family val="2"/>
      <charset val="238"/>
    </font>
    <font>
      <b/>
      <sz val="10"/>
      <color theme="1"/>
      <name val="Arial"/>
      <family val="2"/>
      <charset val="238"/>
    </font>
    <font>
      <b/>
      <sz val="11"/>
      <color theme="1"/>
      <name val="Arial"/>
      <family val="2"/>
      <charset val="238"/>
    </font>
    <font>
      <b/>
      <sz val="10"/>
      <name val="Arial"/>
      <family val="2"/>
      <charset val="238"/>
    </font>
    <font>
      <sz val="10"/>
      <color rgb="FF0070C0"/>
      <name val="Arial"/>
      <family val="2"/>
      <charset val="238"/>
    </font>
    <font>
      <sz val="11"/>
      <color rgb="FF0070C0"/>
      <name val="Arial"/>
      <family val="2"/>
      <charset val="238"/>
    </font>
    <font>
      <b/>
      <sz val="10"/>
      <color theme="0"/>
      <name val="Arial"/>
      <family val="2"/>
      <charset val="238"/>
    </font>
    <font>
      <sz val="11"/>
      <color rgb="FF000000"/>
      <name val="Calibri"/>
      <family val="2"/>
      <scheme val="minor"/>
    </font>
    <font>
      <sz val="11"/>
      <color theme="9" tint="-0.249977111117893"/>
      <name val="Arial"/>
      <family val="2"/>
      <charset val="238"/>
    </font>
    <font>
      <sz val="11"/>
      <color theme="0" tint="-0.499984740745262"/>
      <name val="Arial"/>
      <family val="2"/>
      <charset val="238"/>
    </font>
    <font>
      <sz val="11"/>
      <color theme="3" tint="0.39997558519241921"/>
      <name val="Arial"/>
      <family val="2"/>
      <charset val="238"/>
    </font>
    <font>
      <sz val="12"/>
      <color rgb="FF404040"/>
      <name val="Arial"/>
      <family val="2"/>
      <charset val="238"/>
    </font>
    <font>
      <sz val="11"/>
      <color theme="1"/>
      <name val="Arial"/>
      <family val="2"/>
      <charset val="238"/>
    </font>
    <font>
      <b/>
      <sz val="11"/>
      <color theme="0"/>
      <name val="Arial"/>
      <family val="2"/>
    </font>
    <font>
      <vertAlign val="superscript"/>
      <sz val="8"/>
      <name val="Arial"/>
      <family val="2"/>
      <charset val="238"/>
    </font>
    <font>
      <sz val="8"/>
      <name val="Arial"/>
      <family val="2"/>
      <charset val="238"/>
    </font>
    <font>
      <sz val="10"/>
      <color rgb="FF000000"/>
      <name val="Arial"/>
      <family val="2"/>
      <charset val="238"/>
    </font>
    <font>
      <sz val="11"/>
      <color theme="1"/>
      <name val="Times New Roman"/>
      <family val="1"/>
      <charset val="238"/>
    </font>
    <font>
      <sz val="14"/>
      <color theme="1"/>
      <name val="Times New Roman"/>
      <family val="1"/>
      <charset val="238"/>
    </font>
    <font>
      <b/>
      <sz val="12"/>
      <color rgb="FF2D5195"/>
      <name val="Times New Roman"/>
      <family val="1"/>
      <charset val="238"/>
    </font>
    <font>
      <sz val="12"/>
      <color theme="1"/>
      <name val="Times New Roman"/>
      <family val="1"/>
      <charset val="238"/>
    </font>
    <font>
      <b/>
      <sz val="12"/>
      <name val="Times New Roman"/>
      <family val="1"/>
      <charset val="238"/>
    </font>
    <font>
      <b/>
      <sz val="12"/>
      <color theme="0"/>
      <name val="Times New Roman"/>
      <family val="1"/>
      <charset val="238"/>
    </font>
    <font>
      <sz val="11"/>
      <color theme="0"/>
      <name val="Times New Roman"/>
      <family val="1"/>
      <charset val="238"/>
    </font>
    <font>
      <b/>
      <sz val="11"/>
      <color rgb="FF00915A"/>
      <name val="Times New Roman"/>
      <family val="1"/>
      <charset val="238"/>
    </font>
    <font>
      <sz val="11"/>
      <color rgb="FF000000"/>
      <name val="Times New Roman"/>
      <family val="1"/>
      <charset val="238"/>
    </font>
    <font>
      <b/>
      <sz val="11"/>
      <color theme="0"/>
      <name val="Calibri"/>
      <family val="2"/>
      <charset val="238"/>
      <scheme val="minor"/>
    </font>
    <font>
      <b/>
      <sz val="11"/>
      <color theme="1"/>
      <name val="Calibri"/>
      <family val="2"/>
      <charset val="238"/>
      <scheme val="minor"/>
    </font>
    <font>
      <b/>
      <sz val="11"/>
      <color rgb="FFFFFFFF"/>
      <name val="Calibri"/>
      <family val="2"/>
      <charset val="238"/>
      <scheme val="minor"/>
    </font>
    <font>
      <sz val="11"/>
      <name val="Calibri"/>
      <family val="2"/>
      <charset val="238"/>
      <scheme val="minor"/>
    </font>
    <font>
      <b/>
      <sz val="11"/>
      <color rgb="FF00915A"/>
      <name val="Calibri"/>
      <family val="2"/>
      <charset val="238"/>
      <scheme val="minor"/>
    </font>
    <font>
      <b/>
      <sz val="11"/>
      <color rgb="FFBB3333"/>
      <name val="Calibri"/>
      <family val="2"/>
      <charset val="238"/>
      <scheme val="minor"/>
    </font>
    <font>
      <sz val="11"/>
      <color rgb="FFFF0000"/>
      <name val="Times New Roman"/>
      <family val="1"/>
      <charset val="238"/>
    </font>
    <font>
      <b/>
      <sz val="11"/>
      <color theme="1"/>
      <name val="Calibri"/>
      <family val="2"/>
      <charset val="238"/>
    </font>
    <font>
      <b/>
      <sz val="11"/>
      <color theme="0"/>
      <name val="Calibri"/>
      <family val="2"/>
      <charset val="238"/>
    </font>
    <font>
      <sz val="11"/>
      <color theme="1"/>
      <name val="Calibri"/>
      <family val="2"/>
      <charset val="238"/>
    </font>
    <font>
      <b/>
      <sz val="11"/>
      <color theme="9" tint="-0.499984740745262"/>
      <name val="Calibri"/>
      <family val="2"/>
      <charset val="238"/>
    </font>
    <font>
      <sz val="11"/>
      <color theme="0"/>
      <name val="Calibri"/>
      <family val="2"/>
      <charset val="238"/>
    </font>
    <font>
      <b/>
      <sz val="11"/>
      <color theme="6" tint="-0.499984740745262"/>
      <name val="Calibri"/>
      <family val="2"/>
      <charset val="238"/>
    </font>
    <font>
      <b/>
      <sz val="14"/>
      <color theme="0"/>
      <name val="Calibri"/>
      <family val="2"/>
      <charset val="238"/>
      <scheme val="minor"/>
    </font>
    <font>
      <b/>
      <sz val="12"/>
      <name val="Calibri"/>
      <family val="2"/>
      <charset val="238"/>
      <scheme val="minor"/>
    </font>
    <font>
      <b/>
      <sz val="12"/>
      <color theme="1"/>
      <name val="Calibri"/>
      <family val="2"/>
      <charset val="238"/>
      <scheme val="minor"/>
    </font>
    <font>
      <b/>
      <sz val="14"/>
      <color theme="0" tint="-4.9989318521683403E-2"/>
      <name val="Calibri"/>
      <family val="2"/>
      <charset val="238"/>
      <scheme val="minor"/>
    </font>
    <font>
      <b/>
      <sz val="12"/>
      <color theme="0" tint="-4.9989318521683403E-2"/>
      <name val="Calibri"/>
      <family val="2"/>
      <charset val="238"/>
      <scheme val="minor"/>
    </font>
  </fonts>
  <fills count="13">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9"/>
        <bgColor theme="9"/>
      </patternFill>
    </fill>
    <fill>
      <patternFill patternType="solid">
        <fgColor theme="0"/>
        <bgColor indexed="64"/>
      </patternFill>
    </fill>
    <fill>
      <patternFill patternType="solid">
        <fgColor theme="0" tint="-4.9989318521683403E-2"/>
        <bgColor indexed="64"/>
      </patternFill>
    </fill>
    <fill>
      <patternFill patternType="solid">
        <fgColor rgb="FF2D5195"/>
        <bgColor indexed="64"/>
      </patternFill>
    </fill>
    <fill>
      <patternFill patternType="solid">
        <fgColor rgb="FF00B050"/>
        <bgColor indexed="64"/>
      </patternFill>
    </fill>
    <fill>
      <patternFill patternType="solid">
        <fgColor rgb="FF92D050"/>
        <bgColor rgb="FF000000"/>
      </patternFill>
    </fill>
    <fill>
      <patternFill patternType="solid">
        <fgColor theme="5" tint="0.399975585192419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theme="9" tint="0.3999755851924192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theme="8" tint="0.39997558519241921"/>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theme="4" tint="0.39997558519241921"/>
      </top>
      <bottom style="thin">
        <color indexed="64"/>
      </bottom>
      <diagonal/>
    </border>
    <border>
      <left style="thin">
        <color theme="4" tint="0.39997558519241921"/>
      </left>
      <right/>
      <top style="thin">
        <color theme="4" tint="0.39997558519241921"/>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theme="4" tint="0.39997558519241921"/>
      </bottom>
      <diagonal/>
    </border>
    <border>
      <left style="medium">
        <color indexed="64"/>
      </left>
      <right style="thin">
        <color indexed="64"/>
      </right>
      <top style="thin">
        <color indexed="64"/>
      </top>
      <bottom style="thin">
        <color theme="4" tint="0.39997558519241921"/>
      </bottom>
      <diagonal/>
    </border>
    <border>
      <left/>
      <right style="thin">
        <color indexed="64"/>
      </right>
      <top style="thin">
        <color theme="4" tint="0.39997558519241921"/>
      </top>
      <bottom style="thin">
        <color indexed="64"/>
      </bottom>
      <diagonal/>
    </border>
    <border>
      <left style="medium">
        <color indexed="64"/>
      </left>
      <right style="thin">
        <color indexed="64"/>
      </right>
      <top style="thin">
        <color theme="4" tint="0.39997558519241921"/>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4" tint="0.39997558519241921"/>
      </right>
      <top/>
      <bottom style="thin">
        <color indexed="64"/>
      </bottom>
      <diagonal/>
    </border>
  </borders>
  <cellStyleXfs count="5">
    <xf numFmtId="0" fontId="0" fillId="0" borderId="0"/>
    <xf numFmtId="0" fontId="13" fillId="0" borderId="0"/>
    <xf numFmtId="0" fontId="4" fillId="0" borderId="0"/>
    <xf numFmtId="44" fontId="18" fillId="0" borderId="0" applyFont="0" applyFill="0" applyBorder="0" applyAlignment="0" applyProtection="0"/>
    <xf numFmtId="0" fontId="2" fillId="0" borderId="0"/>
  </cellStyleXfs>
  <cellXfs count="237">
    <xf numFmtId="0" fontId="0" fillId="0" borderId="0" xfId="0"/>
    <xf numFmtId="0" fontId="0" fillId="0" borderId="0" xfId="0" applyAlignment="1">
      <alignment wrapText="1"/>
    </xf>
    <xf numFmtId="0" fontId="5" fillId="0" borderId="0" xfId="0" applyFont="1"/>
    <xf numFmtId="0" fontId="6" fillId="0" borderId="0" xfId="0" applyFont="1"/>
    <xf numFmtId="0" fontId="14" fillId="0" borderId="0" xfId="0" applyFont="1"/>
    <xf numFmtId="0" fontId="15" fillId="0" borderId="0" xfId="0" applyFont="1"/>
    <xf numFmtId="0" fontId="16" fillId="0" borderId="0" xfId="0" applyFont="1"/>
    <xf numFmtId="0" fontId="11" fillId="0" borderId="0" xfId="0" applyFont="1"/>
    <xf numFmtId="0" fontId="17" fillId="0" borderId="0" xfId="0" applyFont="1" applyAlignment="1">
      <alignment horizontal="left" vertical="center" wrapText="1" indent="1"/>
    </xf>
    <xf numFmtId="0" fontId="17" fillId="0" borderId="0" xfId="0" applyFont="1"/>
    <xf numFmtId="0" fontId="4" fillId="0" borderId="0" xfId="2"/>
    <xf numFmtId="0" fontId="9" fillId="0" borderId="0" xfId="2" applyFont="1"/>
    <xf numFmtId="1" fontId="7" fillId="3" borderId="8" xfId="2" applyNumberFormat="1" applyFont="1" applyFill="1" applyBorder="1" applyAlignment="1">
      <alignment horizontal="center" vertical="center" wrapText="1"/>
    </xf>
    <xf numFmtId="165" fontId="7" fillId="4" borderId="8" xfId="2" applyNumberFormat="1" applyFont="1" applyFill="1" applyBorder="1" applyAlignment="1">
      <alignment vertical="center" wrapText="1"/>
    </xf>
    <xf numFmtId="165" fontId="7" fillId="2" borderId="8" xfId="2" applyNumberFormat="1" applyFont="1" applyFill="1" applyBorder="1" applyAlignment="1">
      <alignment vertical="center" wrapText="1"/>
    </xf>
    <xf numFmtId="165" fontId="7" fillId="2" borderId="4" xfId="2" applyNumberFormat="1" applyFont="1" applyFill="1" applyBorder="1" applyAlignment="1">
      <alignment vertical="center" wrapText="1"/>
    </xf>
    <xf numFmtId="4" fontId="4" fillId="0" borderId="0" xfId="2" applyNumberFormat="1"/>
    <xf numFmtId="4" fontId="0" fillId="0" borderId="0" xfId="0" applyNumberFormat="1"/>
    <xf numFmtId="165" fontId="7" fillId="0" borderId="0" xfId="0" applyNumberFormat="1" applyFont="1" applyAlignment="1">
      <alignment vertical="center" wrapText="1"/>
    </xf>
    <xf numFmtId="0" fontId="3" fillId="0" borderId="1" xfId="0" applyFont="1" applyBorder="1" applyAlignment="1">
      <alignment vertical="center"/>
    </xf>
    <xf numFmtId="0" fontId="3" fillId="0" borderId="0" xfId="0" applyFont="1" applyAlignment="1">
      <alignment vertical="center"/>
    </xf>
    <xf numFmtId="0" fontId="10" fillId="0" borderId="0" xfId="2" applyFont="1"/>
    <xf numFmtId="49" fontId="10" fillId="0" borderId="0" xfId="2" applyNumberFormat="1" applyFont="1" applyAlignment="1">
      <alignment wrapText="1"/>
    </xf>
    <xf numFmtId="165" fontId="7" fillId="0" borderId="0" xfId="0" applyNumberFormat="1" applyFont="1" applyAlignment="1">
      <alignment horizontal="center" vertical="center" wrapText="1"/>
    </xf>
    <xf numFmtId="0" fontId="0" fillId="0" borderId="0" xfId="0" applyAlignment="1">
      <alignment horizontal="center" vertical="center"/>
    </xf>
    <xf numFmtId="0" fontId="4" fillId="0" borderId="0" xfId="0" applyFont="1"/>
    <xf numFmtId="2" fontId="4" fillId="0" borderId="0" xfId="2" applyNumberFormat="1"/>
    <xf numFmtId="165" fontId="7" fillId="0" borderId="4" xfId="2" applyNumberFormat="1" applyFont="1" applyBorder="1" applyAlignment="1">
      <alignment vertical="center" wrapText="1"/>
    </xf>
    <xf numFmtId="165" fontId="7" fillId="0" borderId="8" xfId="2" applyNumberFormat="1" applyFont="1" applyBorder="1" applyAlignment="1">
      <alignment vertical="center" wrapText="1"/>
    </xf>
    <xf numFmtId="1" fontId="7" fillId="0" borderId="8" xfId="2" applyNumberFormat="1" applyFont="1" applyBorder="1" applyAlignment="1">
      <alignment horizontal="center" vertical="center" wrapText="1"/>
    </xf>
    <xf numFmtId="165" fontId="7" fillId="6" borderId="11" xfId="2" applyNumberFormat="1" applyFont="1" applyFill="1" applyBorder="1" applyAlignment="1">
      <alignment vertical="center" wrapText="1"/>
    </xf>
    <xf numFmtId="1" fontId="7" fillId="6" borderId="11" xfId="2" applyNumberFormat="1" applyFont="1" applyFill="1" applyBorder="1" applyAlignment="1">
      <alignment horizontal="center" vertical="center" wrapText="1"/>
    </xf>
    <xf numFmtId="0" fontId="3" fillId="0" borderId="0" xfId="0" applyFont="1"/>
    <xf numFmtId="4" fontId="3" fillId="0" borderId="0" xfId="2" applyNumberFormat="1" applyFont="1"/>
    <xf numFmtId="0" fontId="3" fillId="0" borderId="1" xfId="0" applyFont="1" applyBorder="1" applyAlignment="1">
      <alignment horizontal="left" vertical="center" wrapText="1"/>
    </xf>
    <xf numFmtId="0" fontId="3" fillId="0" borderId="13" xfId="0" applyFont="1" applyBorder="1" applyAlignment="1">
      <alignment vertical="center" wrapText="1"/>
    </xf>
    <xf numFmtId="165" fontId="12" fillId="0" borderId="12" xfId="0" applyNumberFormat="1" applyFont="1" applyBorder="1" applyAlignment="1">
      <alignment vertical="center" wrapText="1"/>
    </xf>
    <xf numFmtId="164" fontId="12" fillId="0" borderId="12" xfId="0" applyNumberFormat="1" applyFont="1" applyBorder="1" applyAlignment="1">
      <alignment vertical="center" wrapText="1"/>
    </xf>
    <xf numFmtId="164" fontId="12" fillId="0" borderId="12" xfId="0" applyNumberFormat="1" applyFont="1" applyBorder="1" applyAlignment="1">
      <alignment horizontal="center" vertical="center" wrapText="1"/>
    </xf>
    <xf numFmtId="165" fontId="12" fillId="0" borderId="14" xfId="0" applyNumberFormat="1" applyFont="1" applyBorder="1" applyAlignment="1">
      <alignment vertical="center" wrapText="1"/>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vertical="center"/>
    </xf>
    <xf numFmtId="3" fontId="3" fillId="0" borderId="1" xfId="3" applyNumberFormat="1" applyFont="1" applyFill="1" applyBorder="1" applyAlignment="1">
      <alignment horizontal="center" vertical="center"/>
    </xf>
    <xf numFmtId="3" fontId="3" fillId="0" borderId="13" xfId="3" applyNumberFormat="1" applyFont="1" applyFill="1" applyBorder="1" applyAlignment="1">
      <alignment horizontal="center" vertical="center"/>
    </xf>
    <xf numFmtId="3" fontId="0" fillId="0" borderId="0" xfId="0" applyNumberFormat="1"/>
    <xf numFmtId="3" fontId="0" fillId="0" borderId="0" xfId="0" applyNumberFormat="1" applyAlignment="1">
      <alignment horizontal="right"/>
    </xf>
    <xf numFmtId="0" fontId="8" fillId="0" borderId="0" xfId="0" applyFont="1"/>
    <xf numFmtId="3" fontId="8" fillId="0" borderId="0" xfId="0" applyNumberFormat="1" applyFont="1" applyAlignment="1">
      <alignment horizontal="right"/>
    </xf>
    <xf numFmtId="49" fontId="3" fillId="0" borderId="1" xfId="3" applyNumberFormat="1" applyFont="1" applyFill="1" applyBorder="1" applyAlignment="1">
      <alignment horizontal="center" vertical="center"/>
    </xf>
    <xf numFmtId="49" fontId="3" fillId="0" borderId="13" xfId="3" applyNumberFormat="1" applyFont="1" applyFill="1" applyBorder="1" applyAlignment="1">
      <alignment horizontal="center" vertical="center"/>
    </xf>
    <xf numFmtId="0" fontId="3" fillId="0" borderId="13" xfId="0" applyFont="1" applyBorder="1" applyAlignment="1">
      <alignment vertical="center"/>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xf>
    <xf numFmtId="49" fontId="3" fillId="0" borderId="15" xfId="3" applyNumberFormat="1" applyFont="1" applyFill="1" applyBorder="1" applyAlignment="1">
      <alignment horizontal="center" vertical="center" wrapText="1"/>
    </xf>
    <xf numFmtId="49" fontId="3" fillId="0" borderId="15" xfId="3" applyNumberFormat="1" applyFont="1" applyFill="1" applyBorder="1" applyAlignment="1">
      <alignment horizontal="center" vertical="center"/>
    </xf>
    <xf numFmtId="0" fontId="22" fillId="0" borderId="1" xfId="1" applyFont="1" applyBorder="1" applyAlignment="1">
      <alignment horizontal="left" vertical="center" wrapText="1" readingOrder="1"/>
    </xf>
    <xf numFmtId="49" fontId="3" fillId="0" borderId="13" xfId="3" applyNumberFormat="1" applyFont="1" applyFill="1" applyBorder="1" applyAlignment="1">
      <alignment horizontal="center" vertical="center" wrapText="1"/>
    </xf>
    <xf numFmtId="0" fontId="23" fillId="0" borderId="0" xfId="4" applyFont="1"/>
    <xf numFmtId="3" fontId="23" fillId="0" borderId="0" xfId="4" applyNumberFormat="1" applyFont="1"/>
    <xf numFmtId="4" fontId="23" fillId="0" borderId="0" xfId="4" applyNumberFormat="1" applyFont="1"/>
    <xf numFmtId="0" fontId="24" fillId="0" borderId="0" xfId="4" applyFont="1"/>
    <xf numFmtId="3" fontId="25" fillId="0" borderId="16" xfId="4" applyNumberFormat="1" applyFont="1" applyBorder="1"/>
    <xf numFmtId="3" fontId="26" fillId="7" borderId="17" xfId="4" applyNumberFormat="1" applyFont="1" applyFill="1" applyBorder="1"/>
    <xf numFmtId="0" fontId="27" fillId="8" borderId="23" xfId="4" applyFont="1" applyFill="1" applyBorder="1"/>
    <xf numFmtId="3" fontId="26" fillId="7" borderId="1" xfId="4" applyNumberFormat="1" applyFont="1" applyFill="1" applyBorder="1"/>
    <xf numFmtId="3" fontId="26" fillId="7" borderId="13" xfId="4" applyNumberFormat="1" applyFont="1" applyFill="1" applyBorder="1" applyAlignment="1">
      <alignment wrapText="1"/>
    </xf>
    <xf numFmtId="0" fontId="27" fillId="8" borderId="25" xfId="4" applyFont="1" applyFill="1" applyBorder="1" applyAlignment="1">
      <alignment wrapText="1"/>
    </xf>
    <xf numFmtId="3" fontId="26" fillId="7" borderId="1" xfId="4" applyNumberFormat="1" applyFont="1" applyFill="1" applyBorder="1" applyAlignment="1">
      <alignment wrapText="1"/>
    </xf>
    <xf numFmtId="0" fontId="27" fillId="8" borderId="26" xfId="4" applyFont="1" applyFill="1" applyBorder="1" applyAlignment="1">
      <alignment wrapText="1"/>
    </xf>
    <xf numFmtId="0" fontId="27" fillId="8" borderId="26" xfId="4" applyFont="1" applyFill="1" applyBorder="1"/>
    <xf numFmtId="3" fontId="26" fillId="7" borderId="12" xfId="4" applyNumberFormat="1" applyFont="1" applyFill="1" applyBorder="1"/>
    <xf numFmtId="0" fontId="27" fillId="8" borderId="18" xfId="4" applyFont="1" applyFill="1" applyBorder="1"/>
    <xf numFmtId="0" fontId="28" fillId="9" borderId="28" xfId="4" applyFont="1" applyFill="1" applyBorder="1" applyAlignment="1">
      <alignment horizontal="center"/>
    </xf>
    <xf numFmtId="0" fontId="28" fillId="9" borderId="20" xfId="4" applyFont="1" applyFill="1" applyBorder="1" applyAlignment="1">
      <alignment horizontal="center"/>
    </xf>
    <xf numFmtId="0" fontId="28" fillId="9" borderId="29" xfId="4" applyFont="1" applyFill="1" applyBorder="1"/>
    <xf numFmtId="9" fontId="25" fillId="0" borderId="16" xfId="4" applyNumberFormat="1" applyFont="1" applyBorder="1"/>
    <xf numFmtId="9" fontId="26" fillId="7" borderId="22" xfId="4" applyNumberFormat="1" applyFont="1" applyFill="1" applyBorder="1"/>
    <xf numFmtId="9" fontId="26" fillId="7" borderId="24" xfId="4" applyNumberFormat="1" applyFont="1" applyFill="1" applyBorder="1"/>
    <xf numFmtId="9" fontId="26" fillId="7" borderId="27" xfId="4" applyNumberFormat="1" applyFont="1" applyFill="1" applyBorder="1"/>
    <xf numFmtId="3" fontId="3" fillId="0" borderId="15" xfId="3" applyNumberFormat="1" applyFont="1" applyFill="1" applyBorder="1" applyAlignment="1">
      <alignment horizontal="center" vertical="center" wrapText="1"/>
    </xf>
    <xf numFmtId="3" fontId="3" fillId="0" borderId="15" xfId="3" applyNumberFormat="1" applyFont="1" applyFill="1" applyBorder="1" applyAlignment="1">
      <alignment horizontal="center" vertical="center"/>
    </xf>
    <xf numFmtId="3" fontId="3" fillId="0" borderId="13" xfId="3" applyNumberFormat="1" applyFont="1" applyFill="1" applyBorder="1" applyAlignment="1">
      <alignment horizontal="center" vertical="center" wrapText="1"/>
    </xf>
    <xf numFmtId="3" fontId="3" fillId="0" borderId="0" xfId="0" applyNumberFormat="1" applyFont="1" applyAlignment="1">
      <alignment horizontal="center" vertical="center" wrapText="1"/>
    </xf>
    <xf numFmtId="3" fontId="3" fillId="0" borderId="0" xfId="0" applyNumberFormat="1" applyFont="1" applyAlignment="1">
      <alignment horizontal="center" vertical="center"/>
    </xf>
    <xf numFmtId="0" fontId="2" fillId="0" borderId="0" xfId="4"/>
    <xf numFmtId="0" fontId="29" fillId="0" borderId="0" xfId="4" applyFont="1"/>
    <xf numFmtId="0" fontId="23" fillId="0" borderId="0" xfId="4" applyFont="1" applyAlignment="1">
      <alignment wrapText="1"/>
    </xf>
    <xf numFmtId="3" fontId="29" fillId="0" borderId="0" xfId="4" applyNumberFormat="1" applyFont="1"/>
    <xf numFmtId="3" fontId="30" fillId="0" borderId="0" xfId="4" applyNumberFormat="1" applyFont="1"/>
    <xf numFmtId="0" fontId="30" fillId="0" borderId="0" xfId="4" applyFont="1" applyAlignment="1">
      <alignment wrapText="1"/>
    </xf>
    <xf numFmtId="0" fontId="23" fillId="0" borderId="0" xfId="4" applyFont="1" applyAlignment="1">
      <alignment vertical="center"/>
    </xf>
    <xf numFmtId="3" fontId="29" fillId="0" borderId="0" xfId="4" applyNumberFormat="1" applyFont="1" applyAlignment="1">
      <alignment vertical="center"/>
    </xf>
    <xf numFmtId="0" fontId="31" fillId="0" borderId="0" xfId="4" applyFont="1" applyAlignment="1">
      <alignment vertical="center"/>
    </xf>
    <xf numFmtId="3" fontId="22" fillId="0" borderId="1" xfId="1" applyNumberFormat="1" applyFont="1" applyBorder="1" applyAlignment="1">
      <alignment horizontal="right" vertical="center" wrapText="1" readingOrder="1"/>
    </xf>
    <xf numFmtId="0" fontId="3" fillId="0" borderId="15" xfId="0" applyFont="1" applyBorder="1" applyAlignment="1">
      <alignment horizontal="left" vertical="center" wrapText="1"/>
    </xf>
    <xf numFmtId="3" fontId="22" fillId="0" borderId="1" xfId="1" applyNumberFormat="1" applyFont="1" applyBorder="1" applyAlignment="1">
      <alignment horizontal="right" wrapText="1" readingOrder="1"/>
    </xf>
    <xf numFmtId="3" fontId="3" fillId="0" borderId="1" xfId="0" applyNumberFormat="1" applyFont="1" applyBorder="1" applyAlignment="1">
      <alignment horizontal="right"/>
    </xf>
    <xf numFmtId="3" fontId="22" fillId="0" borderId="1" xfId="1" applyNumberFormat="1" applyFont="1" applyBorder="1" applyAlignment="1">
      <alignment wrapText="1" readingOrder="1"/>
    </xf>
    <xf numFmtId="3" fontId="3" fillId="0" borderId="1" xfId="0" applyNumberFormat="1" applyFont="1" applyBorder="1"/>
    <xf numFmtId="0" fontId="0" fillId="0" borderId="0" xfId="0" pivotButton="1"/>
    <xf numFmtId="0" fontId="0" fillId="0" borderId="0" xfId="0" applyAlignment="1">
      <alignment horizontal="left"/>
    </xf>
    <xf numFmtId="0" fontId="34" fillId="11" borderId="43" xfId="4" applyFont="1" applyFill="1" applyBorder="1" applyAlignment="1">
      <alignment horizontal="center" vertical="center" wrapText="1"/>
    </xf>
    <xf numFmtId="0" fontId="34" fillId="11" borderId="17" xfId="4" applyFont="1" applyFill="1" applyBorder="1" applyAlignment="1">
      <alignment horizontal="center" vertical="center"/>
    </xf>
    <xf numFmtId="0" fontId="34" fillId="11" borderId="38" xfId="4" applyFont="1" applyFill="1" applyBorder="1" applyAlignment="1">
      <alignment horizontal="center" vertical="center" wrapText="1"/>
    </xf>
    <xf numFmtId="0" fontId="33" fillId="0" borderId="12" xfId="4" applyFont="1" applyBorder="1" applyAlignment="1">
      <alignment vertical="center" wrapText="1"/>
    </xf>
    <xf numFmtId="3" fontId="35" fillId="7" borderId="12" xfId="4" applyNumberFormat="1" applyFont="1" applyFill="1" applyBorder="1" applyAlignment="1">
      <alignment horizontal="right" vertical="center"/>
    </xf>
    <xf numFmtId="3" fontId="35" fillId="7" borderId="27" xfId="4" applyNumberFormat="1" applyFont="1" applyFill="1" applyBorder="1" applyAlignment="1">
      <alignment horizontal="right" vertical="center"/>
    </xf>
    <xf numFmtId="0" fontId="33" fillId="0" borderId="1" xfId="4" applyFont="1" applyBorder="1" applyAlignment="1">
      <alignment vertical="center" wrapText="1"/>
    </xf>
    <xf numFmtId="3" fontId="35" fillId="0" borderId="1" xfId="4" applyNumberFormat="1" applyFont="1" applyBorder="1" applyAlignment="1">
      <alignment horizontal="right"/>
    </xf>
    <xf numFmtId="3" fontId="35" fillId="0" borderId="24" xfId="4" applyNumberFormat="1" applyFont="1" applyBorder="1" applyAlignment="1">
      <alignment horizontal="right"/>
    </xf>
    <xf numFmtId="0" fontId="33" fillId="0" borderId="17" xfId="4" applyFont="1" applyBorder="1" applyAlignment="1">
      <alignment vertical="center" wrapText="1"/>
    </xf>
    <xf numFmtId="3" fontId="35" fillId="0" borderId="17" xfId="4" applyNumberFormat="1" applyFont="1" applyBorder="1" applyAlignment="1">
      <alignment horizontal="right"/>
    </xf>
    <xf numFmtId="3" fontId="35" fillId="0" borderId="22" xfId="4" applyNumberFormat="1" applyFont="1" applyBorder="1" applyAlignment="1">
      <alignment horizontal="right"/>
    </xf>
    <xf numFmtId="0" fontId="1" fillId="0" borderId="0" xfId="4" applyFont="1"/>
    <xf numFmtId="0" fontId="36" fillId="0" borderId="16" xfId="4" applyFont="1" applyBorder="1" applyAlignment="1">
      <alignment wrapText="1"/>
    </xf>
    <xf numFmtId="3" fontId="36" fillId="0" borderId="16" xfId="4" applyNumberFormat="1" applyFont="1" applyBorder="1" applyAlignment="1">
      <alignment horizontal="right"/>
    </xf>
    <xf numFmtId="0" fontId="32" fillId="3" borderId="17" xfId="4" applyFont="1" applyFill="1" applyBorder="1" applyAlignment="1">
      <alignment horizontal="center" vertical="center"/>
    </xf>
    <xf numFmtId="0" fontId="33" fillId="0" borderId="20" xfId="4" applyFont="1" applyBorder="1" applyAlignment="1">
      <alignment horizontal="center" vertical="center" wrapText="1"/>
    </xf>
    <xf numFmtId="0" fontId="33" fillId="0" borderId="13" xfId="4" applyFont="1" applyBorder="1" applyAlignment="1">
      <alignment vertical="center" wrapText="1"/>
    </xf>
    <xf numFmtId="3" fontId="35" fillId="0" borderId="13" xfId="4" applyNumberFormat="1" applyFont="1" applyBorder="1" applyAlignment="1">
      <alignment horizontal="right"/>
    </xf>
    <xf numFmtId="0" fontId="36" fillId="0" borderId="19" xfId="4" applyFont="1" applyBorder="1" applyAlignment="1">
      <alignment wrapText="1"/>
    </xf>
    <xf numFmtId="3" fontId="36" fillId="0" borderId="19" xfId="4" applyNumberFormat="1" applyFont="1" applyBorder="1" applyAlignment="1">
      <alignment horizontal="right"/>
    </xf>
    <xf numFmtId="3" fontId="35" fillId="7" borderId="1" xfId="4" applyNumberFormat="1" applyFont="1" applyFill="1" applyBorder="1" applyAlignment="1">
      <alignment horizontal="right" vertical="center"/>
    </xf>
    <xf numFmtId="3" fontId="35" fillId="7" borderId="24" xfId="4" applyNumberFormat="1" applyFont="1" applyFill="1" applyBorder="1" applyAlignment="1">
      <alignment horizontal="right" vertical="center"/>
    </xf>
    <xf numFmtId="0" fontId="37" fillId="0" borderId="16" xfId="4" applyFont="1" applyBorder="1" applyAlignment="1">
      <alignment wrapText="1"/>
    </xf>
    <xf numFmtId="3" fontId="37" fillId="0" borderId="16" xfId="4" applyNumberFormat="1" applyFont="1" applyBorder="1" applyAlignment="1">
      <alignment horizontal="right"/>
    </xf>
    <xf numFmtId="0" fontId="32" fillId="12" borderId="17" xfId="4" applyFont="1" applyFill="1" applyBorder="1" applyAlignment="1">
      <alignment horizontal="center" vertical="center"/>
    </xf>
    <xf numFmtId="0" fontId="32" fillId="12" borderId="13" xfId="4" applyFont="1" applyFill="1" applyBorder="1" applyAlignment="1">
      <alignment horizontal="center" vertical="center"/>
    </xf>
    <xf numFmtId="49" fontId="35" fillId="7" borderId="1" xfId="4" applyNumberFormat="1" applyFont="1" applyFill="1" applyBorder="1" applyAlignment="1">
      <alignment horizontal="right" vertical="center"/>
    </xf>
    <xf numFmtId="3" fontId="35" fillId="7" borderId="17" xfId="4" applyNumberFormat="1" applyFont="1" applyFill="1" applyBorder="1" applyAlignment="1">
      <alignment horizontal="right" vertical="center"/>
    </xf>
    <xf numFmtId="3" fontId="35" fillId="7" borderId="22" xfId="4" applyNumberFormat="1" applyFont="1" applyFill="1" applyBorder="1" applyAlignment="1">
      <alignment horizontal="right" vertical="center"/>
    </xf>
    <xf numFmtId="0" fontId="1" fillId="0" borderId="0" xfId="4" applyFont="1" applyAlignment="1">
      <alignment wrapText="1"/>
    </xf>
    <xf numFmtId="0" fontId="33" fillId="0" borderId="6" xfId="4" applyFont="1" applyBorder="1" applyAlignment="1">
      <alignment vertical="center" wrapText="1"/>
    </xf>
    <xf numFmtId="3" fontId="35" fillId="7" borderId="6" xfId="4" applyNumberFormat="1" applyFont="1" applyFill="1" applyBorder="1" applyAlignment="1">
      <alignment horizontal="right" vertical="center"/>
    </xf>
    <xf numFmtId="3" fontId="35" fillId="7" borderId="38" xfId="4" applyNumberFormat="1" applyFont="1" applyFill="1" applyBorder="1" applyAlignment="1">
      <alignment horizontal="right" vertical="center"/>
    </xf>
    <xf numFmtId="0" fontId="0" fillId="0" borderId="0" xfId="0" applyAlignment="1">
      <alignment horizontal="left" indent="1"/>
    </xf>
    <xf numFmtId="0" fontId="4" fillId="0" borderId="0" xfId="2" applyAlignment="1">
      <alignment horizontal="center" vertical="center"/>
    </xf>
    <xf numFmtId="3" fontId="4" fillId="0" borderId="0" xfId="2" applyNumberFormat="1" applyAlignment="1">
      <alignment horizontal="center" vertical="center"/>
    </xf>
    <xf numFmtId="3" fontId="9" fillId="0" borderId="0" xfId="2" applyNumberFormat="1" applyFont="1" applyAlignment="1">
      <alignment horizontal="center" vertical="center"/>
    </xf>
    <xf numFmtId="3" fontId="4" fillId="0" borderId="0" xfId="0" applyNumberFormat="1" applyFont="1" applyAlignment="1">
      <alignment horizontal="center" vertical="center"/>
    </xf>
    <xf numFmtId="44" fontId="0" fillId="0" borderId="0" xfId="3" applyFont="1"/>
    <xf numFmtId="3" fontId="4" fillId="0" borderId="0" xfId="0" applyNumberFormat="1" applyFont="1"/>
    <xf numFmtId="3" fontId="2" fillId="0" borderId="0" xfId="4" applyNumberFormat="1"/>
    <xf numFmtId="3" fontId="3" fillId="0" borderId="1" xfId="3" applyNumberFormat="1" applyFont="1" applyFill="1" applyBorder="1" applyAlignment="1">
      <alignment horizontal="center"/>
    </xf>
    <xf numFmtId="3" fontId="3" fillId="0" borderId="13" xfId="3" applyNumberFormat="1" applyFont="1" applyFill="1" applyBorder="1" applyAlignment="1">
      <alignment horizontal="center"/>
    </xf>
    <xf numFmtId="42" fontId="0" fillId="0" borderId="0" xfId="3" applyNumberFormat="1" applyFont="1"/>
    <xf numFmtId="42" fontId="0" fillId="0" borderId="0" xfId="0" applyNumberFormat="1"/>
    <xf numFmtId="3" fontId="38" fillId="0" borderId="0" xfId="4" applyNumberFormat="1" applyFont="1"/>
    <xf numFmtId="0" fontId="38" fillId="0" borderId="0" xfId="4" applyFont="1"/>
    <xf numFmtId="3" fontId="1" fillId="0" borderId="0" xfId="4" applyNumberFormat="1" applyFont="1"/>
    <xf numFmtId="1" fontId="39" fillId="0" borderId="6" xfId="0" applyNumberFormat="1" applyFont="1" applyBorder="1" applyAlignment="1">
      <alignment horizontal="center" vertical="center" wrapText="1"/>
    </xf>
    <xf numFmtId="165" fontId="40" fillId="0" borderId="6" xfId="0" applyNumberFormat="1" applyFont="1" applyBorder="1" applyAlignment="1">
      <alignment horizontal="center" vertical="center" wrapText="1"/>
    </xf>
    <xf numFmtId="165" fontId="39" fillId="0" borderId="6" xfId="0" applyNumberFormat="1" applyFont="1" applyBorder="1" applyAlignment="1">
      <alignment horizontal="center" vertical="center" wrapText="1"/>
    </xf>
    <xf numFmtId="0" fontId="39" fillId="0" borderId="6" xfId="0" applyFont="1" applyBorder="1" applyAlignment="1">
      <alignment horizontal="center" vertical="center" wrapText="1"/>
    </xf>
    <xf numFmtId="0" fontId="41" fillId="0" borderId="1" xfId="0" applyFont="1" applyBorder="1" applyAlignment="1">
      <alignment horizontal="left" vertical="center"/>
    </xf>
    <xf numFmtId="0" fontId="41" fillId="0" borderId="1" xfId="0" applyFont="1" applyBorder="1" applyAlignment="1">
      <alignment vertical="center" wrapText="1"/>
    </xf>
    <xf numFmtId="0" fontId="41" fillId="0" borderId="13"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1" fillId="0" borderId="1" xfId="0" applyFont="1" applyBorder="1" applyAlignment="1">
      <alignment vertical="center"/>
    </xf>
    <xf numFmtId="0" fontId="41" fillId="0" borderId="1" xfId="0" applyFont="1" applyBorder="1" applyAlignment="1">
      <alignment horizontal="left" vertical="center" wrapText="1"/>
    </xf>
    <xf numFmtId="0" fontId="41" fillId="0" borderId="13" xfId="0" applyFont="1" applyBorder="1" applyAlignment="1">
      <alignment horizontal="left" vertical="center" wrapText="1"/>
    </xf>
    <xf numFmtId="0" fontId="41" fillId="0" borderId="13" xfId="0" applyFont="1" applyBorder="1" applyAlignment="1">
      <alignment vertical="center" wrapText="1"/>
    </xf>
    <xf numFmtId="44" fontId="42" fillId="0" borderId="10" xfId="3" applyFont="1" applyFill="1" applyBorder="1"/>
    <xf numFmtId="3" fontId="41" fillId="0" borderId="1" xfId="3" applyNumberFormat="1" applyFont="1" applyFill="1" applyBorder="1" applyAlignment="1">
      <alignment horizontal="right" vertical="center"/>
    </xf>
    <xf numFmtId="3" fontId="41" fillId="0" borderId="13" xfId="3" applyNumberFormat="1" applyFont="1" applyFill="1" applyBorder="1" applyAlignment="1">
      <alignment horizontal="right" vertical="center"/>
    </xf>
    <xf numFmtId="3" fontId="42" fillId="0" borderId="10" xfId="3" applyNumberFormat="1" applyFont="1" applyFill="1" applyBorder="1" applyAlignment="1">
      <alignment horizontal="right" vertical="center"/>
    </xf>
    <xf numFmtId="0" fontId="41" fillId="0" borderId="6" xfId="0" applyFont="1" applyBorder="1" applyAlignment="1">
      <alignment horizontal="left" vertical="center" wrapText="1"/>
    </xf>
    <xf numFmtId="165" fontId="40" fillId="0" borderId="7" xfId="0" applyNumberFormat="1" applyFont="1" applyBorder="1" applyAlignment="1">
      <alignment horizontal="center" vertical="center" wrapText="1"/>
    </xf>
    <xf numFmtId="165" fontId="43" fillId="0" borderId="6" xfId="0" applyNumberFormat="1" applyFont="1" applyBorder="1" applyAlignment="1">
      <alignment horizontal="center" vertical="center" wrapText="1"/>
    </xf>
    <xf numFmtId="164" fontId="40" fillId="0" borderId="6" xfId="0" applyNumberFormat="1" applyFont="1" applyBorder="1" applyAlignment="1">
      <alignment horizontal="center" vertical="center" wrapText="1"/>
    </xf>
    <xf numFmtId="0" fontId="41" fillId="0" borderId="10" xfId="0" applyFont="1" applyBorder="1" applyAlignment="1">
      <alignment horizontal="center" vertical="center"/>
    </xf>
    <xf numFmtId="3" fontId="44" fillId="0" borderId="10" xfId="3" applyNumberFormat="1" applyFont="1" applyBorder="1" applyAlignment="1">
      <alignment horizontal="right" vertical="center"/>
    </xf>
    <xf numFmtId="0" fontId="45" fillId="10" borderId="20" xfId="4" applyFont="1" applyFill="1" applyBorder="1" applyAlignment="1">
      <alignment horizontal="center" vertical="center" wrapText="1"/>
    </xf>
    <xf numFmtId="0" fontId="46" fillId="8" borderId="18" xfId="4" applyFont="1" applyFill="1" applyBorder="1" applyAlignment="1">
      <alignment horizontal="left" vertical="center"/>
    </xf>
    <xf numFmtId="0" fontId="46" fillId="8" borderId="37" xfId="4" applyFont="1" applyFill="1" applyBorder="1" applyAlignment="1">
      <alignment horizontal="center" vertical="center"/>
    </xf>
    <xf numFmtId="0" fontId="46" fillId="8" borderId="36" xfId="4" applyFont="1" applyFill="1" applyBorder="1" applyAlignment="1">
      <alignment horizontal="left" vertical="center"/>
    </xf>
    <xf numFmtId="0" fontId="46" fillId="8" borderId="35" xfId="4" applyFont="1" applyFill="1" applyBorder="1" applyAlignment="1">
      <alignment horizontal="center" vertical="center" wrapText="1"/>
    </xf>
    <xf numFmtId="0" fontId="46" fillId="8" borderId="26" xfId="4" applyFont="1" applyFill="1" applyBorder="1" applyAlignment="1">
      <alignment horizontal="left" vertical="center"/>
    </xf>
    <xf numFmtId="0" fontId="46" fillId="8" borderId="21" xfId="4" applyFont="1" applyFill="1" applyBorder="1"/>
    <xf numFmtId="3" fontId="47" fillId="7" borderId="1" xfId="4" applyNumberFormat="1" applyFont="1" applyFill="1" applyBorder="1" applyAlignment="1">
      <alignment horizontal="right" vertical="center"/>
    </xf>
    <xf numFmtId="0" fontId="46" fillId="8" borderId="34" xfId="4" applyFont="1" applyFill="1" applyBorder="1" applyAlignment="1">
      <alignment horizontal="left" vertical="center" wrapText="1"/>
    </xf>
    <xf numFmtId="0" fontId="46" fillId="8" borderId="33" xfId="4" applyFont="1" applyFill="1" applyBorder="1" applyAlignment="1">
      <alignment wrapText="1"/>
    </xf>
    <xf numFmtId="0" fontId="46" fillId="8" borderId="23" xfId="4" applyFont="1" applyFill="1" applyBorder="1" applyAlignment="1">
      <alignment horizontal="left" vertical="center"/>
    </xf>
    <xf numFmtId="0" fontId="46" fillId="8" borderId="32" xfId="4" applyFont="1" applyFill="1" applyBorder="1"/>
    <xf numFmtId="3" fontId="47" fillId="7" borderId="17" xfId="4" applyNumberFormat="1" applyFont="1" applyFill="1" applyBorder="1" applyAlignment="1">
      <alignment horizontal="right" vertical="center"/>
    </xf>
    <xf numFmtId="3" fontId="48" fillId="10" borderId="31" xfId="4" applyNumberFormat="1" applyFont="1" applyFill="1" applyBorder="1" applyAlignment="1">
      <alignment vertical="center"/>
    </xf>
    <xf numFmtId="3" fontId="48" fillId="10" borderId="30" xfId="4" applyNumberFormat="1" applyFont="1" applyFill="1" applyBorder="1" applyAlignment="1">
      <alignment vertical="center"/>
    </xf>
    <xf numFmtId="3" fontId="47" fillId="7" borderId="22" xfId="4" applyNumberFormat="1" applyFont="1" applyFill="1" applyBorder="1" applyAlignment="1">
      <alignment horizontal="right" vertical="center"/>
    </xf>
    <xf numFmtId="3" fontId="47" fillId="7" borderId="42" xfId="4" applyNumberFormat="1" applyFont="1" applyFill="1" applyBorder="1" applyAlignment="1">
      <alignment horizontal="right" vertical="center"/>
    </xf>
    <xf numFmtId="3" fontId="47" fillId="7" borderId="43" xfId="4" applyNumberFormat="1" applyFont="1" applyFill="1" applyBorder="1" applyAlignment="1">
      <alignment horizontal="right" vertical="center"/>
    </xf>
    <xf numFmtId="3" fontId="47" fillId="7" borderId="24" xfId="4" applyNumberFormat="1" applyFont="1" applyFill="1" applyBorder="1" applyAlignment="1">
      <alignment horizontal="right" vertical="center"/>
    </xf>
    <xf numFmtId="3" fontId="47" fillId="7" borderId="8" xfId="4" applyNumberFormat="1" applyFont="1" applyFill="1" applyBorder="1" applyAlignment="1">
      <alignment horizontal="right" vertical="center" wrapText="1"/>
    </xf>
    <xf numFmtId="3" fontId="47" fillId="7" borderId="13" xfId="4" applyNumberFormat="1" applyFont="1" applyFill="1" applyBorder="1" applyAlignment="1">
      <alignment horizontal="right" vertical="center"/>
    </xf>
    <xf numFmtId="3" fontId="47" fillId="7" borderId="41" xfId="4" applyNumberFormat="1" applyFont="1" applyFill="1" applyBorder="1" applyAlignment="1">
      <alignment horizontal="right" vertical="center"/>
    </xf>
    <xf numFmtId="3" fontId="49" fillId="10" borderId="16" xfId="4" applyNumberFormat="1" applyFont="1" applyFill="1" applyBorder="1" applyAlignment="1">
      <alignment horizontal="right" vertical="center"/>
    </xf>
    <xf numFmtId="0" fontId="49" fillId="10" borderId="44" xfId="4" applyFont="1" applyFill="1" applyBorder="1" applyAlignment="1">
      <alignment horizontal="right" vertical="center"/>
    </xf>
    <xf numFmtId="44" fontId="4" fillId="0" borderId="0" xfId="3" applyFont="1"/>
    <xf numFmtId="0" fontId="42" fillId="0" borderId="9" xfId="0" applyFont="1" applyBorder="1" applyAlignment="1">
      <alignment horizontal="right"/>
    </xf>
    <xf numFmtId="0" fontId="42" fillId="0" borderId="10" xfId="0" applyFont="1" applyBorder="1" applyAlignment="1">
      <alignment horizontal="right"/>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0" xfId="0" applyFont="1" applyAlignment="1">
      <alignment horizontal="center" vertical="center"/>
    </xf>
    <xf numFmtId="0" fontId="44" fillId="0" borderId="5" xfId="0" applyFont="1" applyBorder="1" applyAlignment="1">
      <alignment horizontal="center" vertical="center"/>
    </xf>
    <xf numFmtId="0" fontId="19" fillId="5" borderId="0" xfId="0" applyFont="1" applyFill="1" applyAlignment="1">
      <alignment horizontal="center"/>
    </xf>
    <xf numFmtId="0" fontId="33" fillId="0" borderId="40" xfId="4" applyFont="1" applyBorder="1" applyAlignment="1">
      <alignment horizontal="center" vertical="center"/>
    </xf>
    <xf numFmtId="0" fontId="33" fillId="0" borderId="39" xfId="4" applyFont="1" applyBorder="1" applyAlignment="1">
      <alignment horizontal="center" vertical="center"/>
    </xf>
    <xf numFmtId="0" fontId="33" fillId="0" borderId="9" xfId="4" applyFont="1" applyBorder="1" applyAlignment="1">
      <alignment horizontal="center" vertical="center"/>
    </xf>
    <xf numFmtId="0" fontId="34" fillId="11" borderId="40" xfId="4" applyFont="1" applyFill="1" applyBorder="1" applyAlignment="1">
      <alignment horizontal="center" vertical="center"/>
    </xf>
    <xf numFmtId="0" fontId="34" fillId="11" borderId="9" xfId="4" applyFont="1" applyFill="1" applyBorder="1" applyAlignment="1">
      <alignment horizontal="center" vertical="center"/>
    </xf>
    <xf numFmtId="0" fontId="34" fillId="11" borderId="42" xfId="4" applyFont="1" applyFill="1" applyBorder="1" applyAlignment="1">
      <alignment horizontal="center" vertical="center"/>
    </xf>
    <xf numFmtId="0" fontId="34" fillId="11" borderId="10" xfId="4" applyFont="1" applyFill="1" applyBorder="1" applyAlignment="1">
      <alignment horizontal="center" vertical="center"/>
    </xf>
    <xf numFmtId="0" fontId="34" fillId="11" borderId="14" xfId="4" applyFont="1" applyFill="1" applyBorder="1" applyAlignment="1">
      <alignment horizontal="center" vertical="center"/>
    </xf>
    <xf numFmtId="0" fontId="34" fillId="11" borderId="37" xfId="4" applyFont="1" applyFill="1" applyBorder="1" applyAlignment="1">
      <alignment horizontal="center" vertical="center"/>
    </xf>
    <xf numFmtId="0" fontId="32" fillId="3" borderId="18" xfId="4" applyFont="1" applyFill="1" applyBorder="1" applyAlignment="1">
      <alignment horizontal="center" vertical="center"/>
    </xf>
    <xf numFmtId="0" fontId="32" fillId="3" borderId="23" xfId="4" applyFont="1" applyFill="1" applyBorder="1" applyAlignment="1">
      <alignment horizontal="center" vertical="center"/>
    </xf>
    <xf numFmtId="0" fontId="32" fillId="3" borderId="12" xfId="4" applyFont="1" applyFill="1" applyBorder="1" applyAlignment="1">
      <alignment horizontal="center" vertical="center"/>
    </xf>
    <xf numFmtId="0" fontId="32" fillId="3" borderId="27" xfId="4" applyFont="1" applyFill="1" applyBorder="1" applyAlignment="1">
      <alignment horizontal="center" vertical="center" wrapText="1"/>
    </xf>
    <xf numFmtId="0" fontId="32" fillId="3" borderId="22" xfId="4" applyFont="1" applyFill="1" applyBorder="1" applyAlignment="1">
      <alignment horizontal="center" vertical="center"/>
    </xf>
    <xf numFmtId="0" fontId="33" fillId="0" borderId="40" xfId="4" applyFont="1" applyBorder="1" applyAlignment="1">
      <alignment horizontal="center" vertical="center" wrapText="1"/>
    </xf>
    <xf numFmtId="0" fontId="33" fillId="0" borderId="39" xfId="4" applyFont="1" applyBorder="1" applyAlignment="1">
      <alignment horizontal="center" vertical="center" wrapText="1"/>
    </xf>
    <xf numFmtId="0" fontId="33" fillId="0" borderId="9" xfId="4" applyFont="1" applyBorder="1" applyAlignment="1">
      <alignment horizontal="center" vertical="center" wrapText="1"/>
    </xf>
    <xf numFmtId="0" fontId="32" fillId="12" borderId="18" xfId="4" applyFont="1" applyFill="1" applyBorder="1" applyAlignment="1">
      <alignment horizontal="center" vertical="center"/>
    </xf>
    <xf numFmtId="0" fontId="32" fillId="12" borderId="23" xfId="4" applyFont="1" applyFill="1" applyBorder="1" applyAlignment="1">
      <alignment horizontal="center" vertical="center"/>
    </xf>
    <xf numFmtId="0" fontId="32" fillId="12" borderId="12" xfId="4" applyFont="1" applyFill="1" applyBorder="1" applyAlignment="1">
      <alignment horizontal="center" vertical="center" wrapText="1"/>
    </xf>
    <xf numFmtId="0" fontId="32" fillId="12" borderId="17" xfId="4" applyFont="1" applyFill="1" applyBorder="1" applyAlignment="1">
      <alignment horizontal="center" vertical="center" wrapText="1"/>
    </xf>
    <xf numFmtId="0" fontId="32" fillId="12" borderId="12" xfId="4" applyFont="1" applyFill="1" applyBorder="1" applyAlignment="1">
      <alignment horizontal="center" vertical="center"/>
    </xf>
    <xf numFmtId="0" fontId="32" fillId="12" borderId="27" xfId="4" applyFont="1" applyFill="1" applyBorder="1" applyAlignment="1">
      <alignment horizontal="center" vertical="center" wrapText="1"/>
    </xf>
    <xf numFmtId="0" fontId="32" fillId="12" borderId="22" xfId="4" applyFont="1" applyFill="1" applyBorder="1" applyAlignment="1">
      <alignment horizontal="center" vertical="center"/>
    </xf>
    <xf numFmtId="0" fontId="32" fillId="12" borderId="25" xfId="4" applyFont="1" applyFill="1" applyBorder="1" applyAlignment="1">
      <alignment horizontal="center" vertical="center"/>
    </xf>
    <xf numFmtId="0" fontId="32" fillId="12" borderId="13" xfId="4" applyFont="1" applyFill="1" applyBorder="1" applyAlignment="1">
      <alignment horizontal="center" vertical="center" wrapText="1"/>
    </xf>
    <xf numFmtId="0" fontId="32" fillId="12" borderId="41" xfId="4" applyFont="1" applyFill="1" applyBorder="1" applyAlignment="1">
      <alignment horizontal="center" vertical="center"/>
    </xf>
    <xf numFmtId="0" fontId="33" fillId="0" borderId="7" xfId="4" applyFont="1" applyBorder="1" applyAlignment="1">
      <alignment horizontal="center" vertical="center" wrapText="1"/>
    </xf>
    <xf numFmtId="0" fontId="33" fillId="0" borderId="25" xfId="4" applyFont="1" applyBorder="1" applyAlignment="1">
      <alignment horizontal="center" vertical="center" wrapText="1"/>
    </xf>
  </cellXfs>
  <cellStyles count="5">
    <cellStyle name="Navadno" xfId="0" builtinId="0"/>
    <cellStyle name="Navadno 2" xfId="2" xr:uid="{60BC6742-E89A-47FC-BB62-132D648691BE}"/>
    <cellStyle name="Navadno 3" xfId="4" xr:uid="{162B4808-E2BD-4B32-9C5F-50EA4E3DE029}"/>
    <cellStyle name="Normal 2" xfId="1" xr:uid="{70AE69CA-FB06-460B-88AD-B5799F183913}"/>
    <cellStyle name="Valuta" xfId="3" builtinId="4"/>
  </cellStyles>
  <dxfs count="238">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olor auto="1"/>
        <name val="Arial"/>
        <family val="2"/>
        <charset val="238"/>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olor auto="1"/>
        <name val="Arial"/>
        <family val="2"/>
        <charset val="238"/>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olor auto="1"/>
        <name val="Arial"/>
        <family val="2"/>
        <charset val="238"/>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olor auto="1"/>
        <name val="Arial"/>
        <family val="2"/>
        <charset val="238"/>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olor auto="1"/>
        <name val="Arial"/>
        <family val="2"/>
        <charset val="238"/>
        <scheme val="none"/>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dxf>
    <dxf>
      <font>
        <strike val="0"/>
        <outline val="0"/>
        <shadow val="0"/>
        <u val="none"/>
        <vertAlign val="baseline"/>
        <sz val="10"/>
        <color auto="1"/>
        <name val="Arial"/>
        <family val="2"/>
        <charset val="238"/>
        <scheme val="none"/>
      </font>
    </dxf>
    <dxf>
      <font>
        <b val="0"/>
        <i val="0"/>
        <strike val="0"/>
        <condense val="0"/>
        <extend val="0"/>
        <outline val="0"/>
        <shadow val="0"/>
        <u val="none"/>
        <vertAlign val="baseline"/>
        <sz val="10"/>
        <color auto="1"/>
        <name val="Arial"/>
        <family val="2"/>
        <charset val="238"/>
        <scheme val="none"/>
      </font>
    </dxf>
    <dxf>
      <font>
        <strike val="0"/>
        <outline val="0"/>
        <shadow val="0"/>
        <u val="none"/>
        <vertAlign val="baseline"/>
        <sz val="10"/>
        <color auto="1"/>
        <name val="Arial"/>
        <family val="2"/>
        <charset val="238"/>
        <scheme val="none"/>
      </font>
    </dxf>
    <dxf>
      <border outline="0">
        <top style="thin">
          <color rgb="FF000000"/>
        </top>
      </border>
    </dxf>
    <dxf>
      <border outline="0">
        <left style="thin">
          <color rgb="FF000000"/>
        </left>
        <right style="thin">
          <color rgb="FF000000"/>
        </right>
        <top style="medium">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1"/>
        <name val="Arial"/>
        <family val="2"/>
        <charset val="238"/>
        <scheme val="none"/>
      </font>
      <numFmt numFmtId="1" formatCode="0"/>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0" formatCode="@"/>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dxf>
    <dxf>
      <font>
        <b val="0"/>
        <i val="0"/>
        <strike val="0"/>
        <condense val="0"/>
        <extend val="0"/>
        <outline val="0"/>
        <shadow val="0"/>
        <u val="none"/>
        <vertAlign val="baseline"/>
        <sz val="10"/>
        <color auto="1"/>
        <name val="Arial"/>
        <family val="2"/>
        <charset val="238"/>
        <scheme val="none"/>
      </font>
      <numFmt numFmtId="3" formatCode="#,##0"/>
    </dxf>
    <dxf>
      <border outline="0">
        <top style="thin">
          <color indexed="64"/>
        </top>
      </border>
    </dxf>
    <dxf>
      <numFmt numFmtId="3" formatCode="#,##0"/>
    </dxf>
    <dxf>
      <border outline="0">
        <left style="thin">
          <color indexed="64"/>
        </left>
        <right style="thin">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Arial"/>
        <family val="2"/>
        <charset val="238"/>
        <scheme val="none"/>
      </font>
      <numFmt numFmtId="1" formatCode="0"/>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numFmt numFmtId="3" formatCode="#,##0"/>
      <alignment horizontal="center" vertical="center" textRotation="0" wrapText="0" indent="0" justifyLastLine="0" shrinkToFit="0" readingOrder="0"/>
    </dxf>
    <dxf>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charset val="238"/>
        <scheme val="none"/>
      </font>
    </dxf>
    <dxf>
      <font>
        <b val="0"/>
        <i val="0"/>
        <strike val="0"/>
        <condense val="0"/>
        <extend val="0"/>
        <outline val="0"/>
        <shadow val="0"/>
        <u val="none"/>
        <vertAlign val="baseline"/>
        <sz val="10"/>
        <color auto="1"/>
        <name val="Arial"/>
        <family val="2"/>
        <charset val="238"/>
        <scheme val="none"/>
      </font>
    </dxf>
    <dxf>
      <border outline="0">
        <top style="thin">
          <color indexed="64"/>
        </top>
      </border>
    </dxf>
    <dxf>
      <border outline="0">
        <left style="thin">
          <color indexed="64"/>
        </left>
        <right style="thin">
          <color indexed="64"/>
        </right>
        <top style="medium">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Arial"/>
        <family val="2"/>
        <charset val="238"/>
        <scheme val="none"/>
      </font>
      <numFmt numFmtId="1" formatCode="0"/>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harset val="238"/>
      </font>
      <numFmt numFmtId="3" formatCode="#,##0"/>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harset val="238"/>
      </font>
      <numFmt numFmtId="3" formatCode="#,##0"/>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harset val="238"/>
      </font>
      <numFmt numFmtId="3" formatCode="#,##0"/>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harset val="238"/>
      </font>
      <numFmt numFmtId="3" formatCode="#,##0"/>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strike val="0"/>
        <outline val="0"/>
        <shadow val="0"/>
        <u val="none"/>
        <vertAlign val="baseline"/>
        <sz val="10"/>
        <charset val="238"/>
      </font>
      <numFmt numFmtId="3" formatCode="#,##0"/>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dxf>
    <dxf>
      <font>
        <strike val="0"/>
        <outline val="0"/>
        <shadow val="0"/>
        <u val="none"/>
        <vertAlign val="baseline"/>
        <sz val="10"/>
        <charset val="238"/>
      </font>
      <fill>
        <patternFill patternType="none">
          <bgColor auto="1"/>
        </patternFill>
      </fill>
    </dxf>
    <dxf>
      <font>
        <b val="0"/>
        <i val="0"/>
        <strike val="0"/>
        <condense val="0"/>
        <extend val="0"/>
        <outline val="0"/>
        <shadow val="0"/>
        <u val="none"/>
        <vertAlign val="baseline"/>
        <sz val="10"/>
        <color theme="1"/>
        <name val="Arial"/>
        <family val="2"/>
        <charset val="238"/>
        <scheme val="none"/>
      </font>
    </dxf>
    <dxf>
      <font>
        <strike val="0"/>
        <outline val="0"/>
        <shadow val="0"/>
        <u val="none"/>
        <vertAlign val="baseline"/>
        <sz val="10"/>
        <charset val="238"/>
      </font>
      <fill>
        <patternFill patternType="none">
          <bgColor auto="1"/>
        </patternFill>
      </fill>
    </dxf>
    <dxf>
      <border outline="0">
        <top style="medium">
          <color indexed="64"/>
        </top>
      </border>
    </dxf>
    <dxf>
      <font>
        <strike val="0"/>
        <outline val="0"/>
        <shadow val="0"/>
        <u val="none"/>
        <vertAlign val="baseline"/>
        <sz val="10"/>
        <charset val="238"/>
      </font>
      <fill>
        <patternFill patternType="none">
          <bgColor auto="1"/>
        </patternFill>
      </fill>
    </dxf>
    <dxf>
      <border outline="0">
        <bottom style="thin">
          <color theme="9" tint="0.39997558519241921"/>
        </bottom>
      </border>
    </dxf>
    <dxf>
      <font>
        <b/>
        <i val="0"/>
        <strike val="0"/>
        <condense val="0"/>
        <extend val="0"/>
        <outline val="0"/>
        <shadow val="0"/>
        <u val="none"/>
        <vertAlign val="baseline"/>
        <sz val="10"/>
        <color theme="1"/>
        <name val="Arial"/>
        <family val="2"/>
        <charset val="238"/>
        <scheme val="none"/>
      </font>
      <numFmt numFmtId="1" formatCode="0"/>
      <fill>
        <patternFill patternType="solid">
          <fgColor theme="9"/>
          <bgColor theme="9"/>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border outline="0">
        <top style="thin">
          <color indexed="64"/>
        </top>
      </border>
    </dxf>
    <dxf>
      <border outline="0">
        <left style="thin">
          <color indexed="64"/>
        </left>
        <right style="thin">
          <color indexed="64"/>
        </right>
        <top style="medium">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theme="1"/>
        <name val="Arial"/>
        <family val="2"/>
        <charset val="238"/>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border outline="0">
        <top style="thin">
          <color indexed="64"/>
        </top>
      </border>
    </dxf>
    <dxf>
      <border outline="0">
        <left style="thin">
          <color indexed="64"/>
        </left>
        <right style="thin">
          <color indexed="64"/>
        </right>
        <top style="medium">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theme="1"/>
        <name val="Arial"/>
        <family val="2"/>
        <charset val="238"/>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charset val="238"/>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dxf>
    <dxf>
      <font>
        <sz val="10"/>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0"/>
        <color theme="0"/>
        <name val="Arial"/>
        <family val="2"/>
        <charset val="238"/>
        <scheme val="none"/>
      </font>
      <numFmt numFmtId="165" formatCode="#,##0.00\ &quot;€&quo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dxf>
    <dxf>
      <font>
        <sz val="10"/>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0"/>
        <color theme="0"/>
        <name val="Arial"/>
        <family val="2"/>
        <charset val="238"/>
        <scheme val="none"/>
      </font>
      <numFmt numFmtId="165" formatCode="#,##0.00\ &quot;€&quo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0" formatCode="@"/>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0" formatCode="@"/>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0" formatCode="@"/>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0" formatCode="@"/>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numFmt numFmtId="30" formatCode="@"/>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0" formatCode="@"/>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border diagonalUp="0" diagonalDown="0" outline="0">
        <left/>
        <right/>
        <top/>
        <bottom/>
      </border>
    </dxf>
    <dxf>
      <font>
        <sz val="10"/>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0"/>
        <color theme="0"/>
        <name val="Arial"/>
        <family val="2"/>
        <charset val="238"/>
        <scheme val="none"/>
      </font>
      <numFmt numFmtId="165" formatCode="#,##0.00\ &quot;€&quo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alignment horizontal="general" vertical="center" textRotation="0" wrapText="0" indent="0" justifyLastLine="0" shrinkToFit="0" readingOrder="0"/>
    </dxf>
    <dxf>
      <font>
        <sz val="10"/>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ill>
        <patternFill patternType="none">
          <fgColor rgb="FF000000"/>
          <bgColor auto="1"/>
        </patternFill>
      </fill>
    </dxf>
    <dxf>
      <fill>
        <patternFill patternType="none">
          <fgColor rgb="FF000000"/>
          <bgColor auto="1"/>
        </patternFill>
      </fill>
    </dxf>
    <dxf>
      <font>
        <b/>
        <i val="0"/>
        <strike val="0"/>
        <condense val="0"/>
        <extend val="0"/>
        <outline val="0"/>
        <shadow val="0"/>
        <u val="none"/>
        <vertAlign val="baseline"/>
        <sz val="10"/>
        <color theme="0"/>
        <name val="Arial"/>
        <family val="2"/>
        <charset val="238"/>
        <scheme val="none"/>
      </font>
      <numFmt numFmtId="165" formatCode="#,##0.00\ &quot;€&quo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dxf>
    <dxf>
      <font>
        <b val="0"/>
        <i val="0"/>
        <strike val="0"/>
        <condense val="0"/>
        <extend val="0"/>
        <outline val="0"/>
        <shadow val="0"/>
        <u val="none"/>
        <vertAlign val="baseline"/>
        <sz val="10"/>
        <color theme="1"/>
        <name val="Arial"/>
        <family val="2"/>
        <charset val="238"/>
        <scheme val="none"/>
      </font>
      <numFmt numFmtId="3" formatCode="#,##0"/>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b val="0"/>
        <i val="0"/>
        <strike val="0"/>
        <condense val="0"/>
        <extend val="0"/>
        <outline val="0"/>
        <shadow val="0"/>
        <u val="none"/>
        <vertAlign val="baseline"/>
        <sz val="10"/>
        <color theme="1"/>
        <name val="Arial"/>
        <family val="2"/>
        <charset val="23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8" tint="0.39997558519241921"/>
        </bottom>
      </border>
    </dxf>
    <dxf>
      <font>
        <sz val="10"/>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theme="8" tint="0.39997558519241921"/>
        </bottom>
      </border>
    </dxf>
    <dxf>
      <fill>
        <patternFill patternType="none">
          <fgColor rgb="FF000000"/>
          <bgColor auto="1"/>
        </patternFill>
      </fill>
    </dxf>
    <dxf>
      <fill>
        <patternFill patternType="none">
          <fgColor indexed="64"/>
          <bgColor auto="1"/>
        </patternFill>
      </fill>
    </dxf>
    <dxf>
      <font>
        <b/>
        <i val="0"/>
        <strike val="0"/>
        <condense val="0"/>
        <extend val="0"/>
        <outline val="0"/>
        <shadow val="0"/>
        <u val="none"/>
        <vertAlign val="baseline"/>
        <sz val="10"/>
        <color theme="0"/>
        <name val="Arial"/>
        <family val="2"/>
        <charset val="238"/>
        <scheme val="none"/>
      </font>
      <numFmt numFmtId="165" formatCode="#,##0.00\ &quot;€&quo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Arial"/>
        <family val="2"/>
        <charset val="238"/>
        <scheme val="none"/>
      </font>
      <numFmt numFmtId="32" formatCode="_-* #,##0\ &quot;€&quot;_-;\-* #,##0\ &quot;€&quot;_-;_-* &quot;-&quot;\ &quot;€&quot;_-;_-@_-"/>
    </dxf>
    <dxf>
      <alignment horizontal="left" vertical="bottom" textRotation="0" wrapText="0" indent="0" justifyLastLine="0" shrinkToFit="0" readingOrder="0"/>
    </dxf>
    <dxf>
      <alignment horizontal="center" vertical="center" textRotation="0" wrapText="0" indent="0" justifyLastLine="0" shrinkToFit="0" readingOrder="0"/>
    </dxf>
    <dxf>
      <numFmt numFmtId="32" formatCode="_-* #,##0\ &quot;€&quot;_-;\-* #,##0\ &quot;€&quot;_-;_-* &quot;-&quot;\ &quot;€&quot;_-;_-@_-"/>
    </dxf>
    <dxf>
      <numFmt numFmtId="32" formatCode="_-* #,##0\ &quot;€&quot;_-;\-* #,##0\ &quot;€&quot;_-;_-* &quot;-&quot;\ &quot;€&quot;_-;_-@_-"/>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dxf>
    <dxf>
      <numFmt numFmtId="3" formatCode="#,##0"/>
    </dxf>
    <dxf>
      <numFmt numFmtId="3" formatCode="#,##0"/>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font>
        <strike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indent="0" justifyLastLine="0" shrinkToFit="0"/>
    </dxf>
    <dxf>
      <border outline="0">
        <bottom style="thin">
          <color indexed="64"/>
        </bottom>
      </border>
    </dxf>
    <dxf>
      <font>
        <strike val="0"/>
        <outline val="0"/>
        <shadow val="0"/>
        <u val="none"/>
        <vertAlign val="baseline"/>
        <sz val="11"/>
        <color theme="0"/>
        <name val="Calibri"/>
        <family val="2"/>
        <charset val="238"/>
        <scheme val="none"/>
      </font>
      <fill>
        <patternFill patternType="none">
          <fgColor indexed="64"/>
          <bgColor auto="1"/>
        </patternFill>
      </fill>
      <alignment horizontal="center" vertical="center" textRotation="0" indent="0" justifyLastLine="0" shrinkToFit="0"/>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charset val="238"/>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medium">
          <color indexed="64"/>
        </bottom>
      </border>
    </dxf>
    <dxf>
      <font>
        <strike val="0"/>
        <outline val="0"/>
        <shadow val="0"/>
        <u val="none"/>
        <vertAlign val="baseline"/>
        <sz val="11"/>
        <name val="Calibri"/>
        <family val="2"/>
        <charset val="238"/>
        <scheme val="none"/>
      </font>
      <fill>
        <patternFill patternType="none">
          <fgColor indexed="64"/>
          <bgColor auto="1"/>
        </patternFill>
      </fill>
    </dxf>
    <dxf>
      <border outline="0">
        <bottom style="thin">
          <color indexed="64"/>
        </bottom>
      </border>
    </dxf>
    <dxf>
      <font>
        <strike val="0"/>
        <outline val="0"/>
        <shadow val="0"/>
        <u val="none"/>
        <vertAlign val="baseline"/>
        <sz val="11"/>
        <name val="Calibri"/>
        <family val="2"/>
        <charset val="238"/>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colors>
    <mruColors>
      <color rgb="FF00915A"/>
      <color rgb="FFF54C62"/>
      <color rgb="FF2D51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calcChain" Target="calcChain.xml"/><Relationship Id="rId30"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lang="en-US" sz="1080" b="0" i="0" u="none" strike="noStrike" kern="1200" spc="0" baseline="0">
              <a:solidFill>
                <a:sysClr val="windowText" lastClr="000000">
                  <a:lumMod val="75000"/>
                  <a:lumOff val="25000"/>
                </a:sysClr>
              </a:solidFill>
              <a:latin typeface="+mn-lt"/>
              <a:ea typeface="+mn-ea"/>
              <a:cs typeface="+mn-cs"/>
            </a:defRPr>
          </a:pPr>
          <a:endParaRPr lang="sl-SI"/>
        </a:p>
      </c:txPr>
    </c:title>
    <c:autoTitleDeleted val="0"/>
    <c:plotArea>
      <c:layout>
        <c:manualLayout>
          <c:layoutTarget val="inner"/>
          <c:xMode val="edge"/>
          <c:yMode val="edge"/>
          <c:x val="2.1929169737713441E-2"/>
          <c:y val="0.1828988269347831"/>
          <c:w val="0.47686893341658626"/>
          <c:h val="0.76303360581289736"/>
        </c:manualLayout>
      </c:layout>
      <c:doughnutChart>
        <c:varyColors val="1"/>
        <c:ser>
          <c:idx val="1"/>
          <c:order val="0"/>
          <c:tx>
            <c:strRef>
              <c:f>'Summary 2022+2023 '!$B$40</c:f>
              <c:strCache>
                <c:ptCount val="1"/>
                <c:pt idx="0">
                  <c:v>Total expenditures identified by category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508-4B18-BCD4-9755060E3A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508-4B18-BCD4-9755060E3A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508-4B18-BCD4-9755060E3A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508-4B18-BCD4-9755060E3A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508-4B18-BCD4-9755060E3AF8}"/>
              </c:ext>
            </c:extLst>
          </c:dPt>
          <c:dLbls>
            <c:numFmt formatCode="_(&quot;€&quot;* #,##0.00_);_(&quot;€&quot;* \(#,##0.00\);_(&quot;€&quot;* &quot;-&quot;??_);_(@_)" sourceLinked="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ysClr val="windowText" lastClr="000000">
                        <a:lumMod val="75000"/>
                        <a:lumOff val="25000"/>
                      </a:sysClr>
                    </a:solidFill>
                    <a:latin typeface="+mn-lt"/>
                    <a:ea typeface="+mn-ea"/>
                    <a:cs typeface="+mn-cs"/>
                  </a:defRPr>
                </a:pPr>
                <a:endParaRPr lang="sl-SI"/>
              </a:p>
            </c:txPr>
            <c:showLegendKey val="0"/>
            <c:showVal val="1"/>
            <c:showCatName val="0"/>
            <c:showSerName val="0"/>
            <c:showPercent val="0"/>
            <c:showBubbleSize val="0"/>
            <c:showLeaderLines val="0"/>
            <c:extLst>
              <c:ext xmlns:c15="http://schemas.microsoft.com/office/drawing/2012/chart" uri="{CE6537A1-D6FC-4f65-9D91-7224C49458BB}"/>
            </c:extLst>
          </c:dLbls>
          <c:cat>
            <c:strRef>
              <c:f>'Summary 2022+2023 '!$A$41:$A$45</c:f>
              <c:strCache>
                <c:ptCount val="5"/>
                <c:pt idx="0">
                  <c:v>Low carbon transportation</c:v>
                </c:pt>
                <c:pt idx="1">
                  <c:v>Sustainable Envrionmental Management </c:v>
                </c:pt>
                <c:pt idx="2">
                  <c:v>Access to Essential Services - Education </c:v>
                </c:pt>
                <c:pt idx="3">
                  <c:v>Access to Essential Services - Healthcare </c:v>
                </c:pt>
                <c:pt idx="4">
                  <c:v>Access to Essential Services - Social Inclusion</c:v>
                </c:pt>
              </c:strCache>
            </c:strRef>
          </c:cat>
          <c:val>
            <c:numRef>
              <c:f>'Summary 2022+2023 '!$B$41:$B$45</c:f>
              <c:numCache>
                <c:formatCode>#,##0</c:formatCode>
                <c:ptCount val="5"/>
                <c:pt idx="0">
                  <c:v>323332992</c:v>
                </c:pt>
                <c:pt idx="1">
                  <c:v>35938148</c:v>
                </c:pt>
                <c:pt idx="2">
                  <c:v>253910317</c:v>
                </c:pt>
                <c:pt idx="3">
                  <c:v>413158604</c:v>
                </c:pt>
                <c:pt idx="4">
                  <c:v>223659939</c:v>
                </c:pt>
              </c:numCache>
            </c:numRef>
          </c:val>
          <c:extLst>
            <c:ext xmlns:c16="http://schemas.microsoft.com/office/drawing/2014/chart" uri="{C3380CC4-5D6E-409C-BE32-E72D297353CC}">
              <c16:uniqueId val="{0000000A-5508-4B18-BCD4-9755060E3AF8}"/>
            </c:ext>
          </c:extLst>
        </c:ser>
        <c:dLbls>
          <c:showLegendKey val="0"/>
          <c:showVal val="1"/>
          <c:showCatName val="0"/>
          <c:showSerName val="0"/>
          <c:showPercent val="0"/>
          <c:showBubbleSize val="0"/>
          <c:showLeaderLines val="0"/>
        </c:dLbls>
        <c:firstSliceAng val="20"/>
        <c:holeSize val="50"/>
      </c:doughnutChart>
      <c:spPr>
        <a:noFill/>
        <a:ln>
          <a:noFill/>
        </a:ln>
        <a:effectLst/>
      </c:spPr>
    </c:plotArea>
    <c:legend>
      <c:legendPos val="b"/>
      <c:layout>
        <c:manualLayout>
          <c:xMode val="edge"/>
          <c:yMode val="edge"/>
          <c:x val="0.5366829015126926"/>
          <c:y val="0.20473228935931917"/>
          <c:w val="0.44712273252413176"/>
          <c:h val="0.73800831841405157"/>
        </c:manualLayout>
      </c:layout>
      <c:overlay val="0"/>
      <c:spPr>
        <a:noFill/>
        <a:ln>
          <a:noFill/>
        </a:ln>
        <a:effectLst/>
      </c:spPr>
      <c:txPr>
        <a:bodyPr rot="0" spcFirstLastPara="1" vertOverflow="ellipsis" vert="horz" wrap="square" anchor="ctr" anchorCtr="1"/>
        <a:lstStyle/>
        <a:p>
          <a:pPr>
            <a:defRPr lang="en-US" sz="1400" b="0" i="0" u="none" strike="noStrike" kern="1200" baseline="0">
              <a:solidFill>
                <a:sysClr val="windowText" lastClr="000000">
                  <a:lumMod val="75000"/>
                  <a:lumOff val="25000"/>
                </a:sys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lgn="ctr" rtl="0">
        <a:defRPr lang="en-US" sz="900" b="0" i="0" u="none" strike="noStrike" kern="1200" baseline="0">
          <a:solidFill>
            <a:sysClr val="windowText" lastClr="000000">
              <a:lumMod val="75000"/>
              <a:lumOff val="25000"/>
            </a:sysClr>
          </a:solidFill>
          <a:latin typeface="+mn-lt"/>
          <a:ea typeface="+mn-ea"/>
          <a:cs typeface="+mn-cs"/>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47453278551255"/>
          <c:y val="0.12898161533908489"/>
          <c:w val="0.51822842104544287"/>
          <c:h val="0.72953347801912005"/>
        </c:manualLayout>
      </c:layout>
      <c:pieChart>
        <c:varyColors val="1"/>
        <c:ser>
          <c:idx val="0"/>
          <c:order val="0"/>
          <c:explosion val="7"/>
          <c:dPt>
            <c:idx val="0"/>
            <c:bubble3D val="0"/>
            <c:explosion val="4"/>
            <c:spPr>
              <a:solidFill>
                <a:schemeClr val="accent1"/>
              </a:solidFill>
              <a:ln w="19050">
                <a:solidFill>
                  <a:schemeClr val="lt1"/>
                </a:solidFill>
              </a:ln>
              <a:effectLst/>
            </c:spPr>
            <c:extLst>
              <c:ext xmlns:c16="http://schemas.microsoft.com/office/drawing/2014/chart" uri="{C3380CC4-5D6E-409C-BE32-E72D297353CC}">
                <c16:uniqueId val="{00000001-FCDA-4BC7-8650-2A228C214CAC}"/>
              </c:ext>
            </c:extLst>
          </c:dPt>
          <c:dPt>
            <c:idx val="1"/>
            <c:bubble3D val="0"/>
            <c:explosion val="0"/>
            <c:spPr>
              <a:solidFill>
                <a:schemeClr val="accent2"/>
              </a:solidFill>
              <a:ln w="19050">
                <a:solidFill>
                  <a:schemeClr val="lt1"/>
                </a:solidFill>
              </a:ln>
              <a:effectLst/>
            </c:spPr>
            <c:extLst>
              <c:ext xmlns:c16="http://schemas.microsoft.com/office/drawing/2014/chart" uri="{C3380CC4-5D6E-409C-BE32-E72D297353CC}">
                <c16:uniqueId val="{00000003-FCDA-4BC7-8650-2A228C214CAC}"/>
              </c:ext>
            </c:extLst>
          </c:dPt>
          <c:dLbls>
            <c:dLbl>
              <c:idx val="0"/>
              <c:layout>
                <c:manualLayout>
                  <c:x val="-0.12108193721170979"/>
                  <c:y val="-0.10550542478769293"/>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sl-SI"/>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CDA-4BC7-8650-2A228C214CAC}"/>
                </c:ext>
              </c:extLst>
            </c:dLbl>
            <c:dLbl>
              <c:idx val="1"/>
              <c:layout>
                <c:manualLayout>
                  <c:x val="0.22251773695817692"/>
                  <c:y val="7.8514519865937521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sl-SI"/>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CDA-4BC7-8650-2A228C214C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l-SI"/>
              </a:p>
            </c:txPr>
            <c:showLegendKey val="0"/>
            <c:showVal val="0"/>
            <c:showCatName val="0"/>
            <c:showSerName val="0"/>
            <c:showPercent val="0"/>
            <c:showBubbleSize val="0"/>
            <c:extLst>
              <c:ext xmlns:c15="http://schemas.microsoft.com/office/drawing/2012/chart" uri="{CE6537A1-D6FC-4f65-9D91-7224C49458BB}"/>
            </c:extLst>
          </c:dLbls>
          <c:cat>
            <c:strRef>
              <c:f>'Summary 2022+2023 '!$D$41:$D$42</c:f>
              <c:strCache>
                <c:ptCount val="2"/>
                <c:pt idx="0">
                  <c:v>% of Green Expenditures  </c:v>
                </c:pt>
                <c:pt idx="1">
                  <c:v>% of Social Expenditures  </c:v>
                </c:pt>
              </c:strCache>
            </c:strRef>
          </c:cat>
          <c:val>
            <c:numRef>
              <c:f>'Summary 2022+2023 '!$E$41:$E$42</c:f>
              <c:numCache>
                <c:formatCode>#,##0</c:formatCode>
                <c:ptCount val="2"/>
                <c:pt idx="0">
                  <c:v>359271140</c:v>
                </c:pt>
                <c:pt idx="1">
                  <c:v>890728860</c:v>
                </c:pt>
              </c:numCache>
            </c:numRef>
          </c:val>
          <c:extLst>
            <c:ext xmlns:c16="http://schemas.microsoft.com/office/drawing/2014/chart" uri="{C3380CC4-5D6E-409C-BE32-E72D297353CC}">
              <c16:uniqueId val="{00000006-FCDA-4BC7-8650-2A228C214CAC}"/>
            </c:ext>
          </c:extLst>
        </c:ser>
        <c:dLbls>
          <c:showLegendKey val="0"/>
          <c:showVal val="0"/>
          <c:showCatName val="0"/>
          <c:showSerName val="0"/>
          <c:showPercent val="0"/>
          <c:showBubbleSize val="0"/>
          <c:showLeaderLines val="1"/>
        </c:dLbls>
        <c:firstSliceAng val="72"/>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79986161826654"/>
          <c:y val="0.10803109603001648"/>
          <c:w val="0.41440027676346691"/>
          <c:h val="0.70966069706097334"/>
        </c:manualLayout>
      </c:layout>
      <c:doughnutChart>
        <c:varyColors val="1"/>
        <c:ser>
          <c:idx val="0"/>
          <c:order val="0"/>
          <c:dPt>
            <c:idx val="0"/>
            <c:bubble3D val="0"/>
            <c:spPr>
              <a:solidFill>
                <a:schemeClr val="accent1">
                  <a:lumMod val="40000"/>
                  <a:lumOff val="60000"/>
                </a:schemeClr>
              </a:solidFill>
              <a:ln w="19050">
                <a:solidFill>
                  <a:schemeClr val="lt1"/>
                </a:solidFill>
              </a:ln>
              <a:effectLst/>
            </c:spPr>
            <c:extLst>
              <c:ext xmlns:c16="http://schemas.microsoft.com/office/drawing/2014/chart" uri="{C3380CC4-5D6E-409C-BE32-E72D297353CC}">
                <c16:uniqueId val="{00000001-BF88-4D94-A418-D8588D0E858E}"/>
              </c:ext>
            </c:extLst>
          </c:dPt>
          <c:dPt>
            <c:idx val="1"/>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3-BF88-4D94-A418-D8588D0E858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l-SI"/>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Analysis!$F$14:$G$14</c:f>
              <c:strCache>
                <c:ptCount val="2"/>
                <c:pt idx="0">
                  <c:v>Refinancing</c:v>
                </c:pt>
                <c:pt idx="1">
                  <c:v>Financing</c:v>
                </c:pt>
              </c:strCache>
            </c:strRef>
          </c:cat>
          <c:val>
            <c:numRef>
              <c:f>Analysis!$F$15:$G$15</c:f>
              <c:numCache>
                <c:formatCode>#,##0</c:formatCode>
                <c:ptCount val="2"/>
                <c:pt idx="0">
                  <c:v>462034706</c:v>
                </c:pt>
                <c:pt idx="1">
                  <c:v>787965294</c:v>
                </c:pt>
              </c:numCache>
            </c:numRef>
          </c:val>
          <c:extLst>
            <c:ext xmlns:c16="http://schemas.microsoft.com/office/drawing/2014/chart" uri="{C3380CC4-5D6E-409C-BE32-E72D297353CC}">
              <c16:uniqueId val="{00000004-BF88-4D94-A418-D8588D0E858E}"/>
            </c:ext>
          </c:extLst>
        </c:ser>
        <c:dLbls>
          <c:showLegendKey val="0"/>
          <c:showVal val="0"/>
          <c:showCatName val="0"/>
          <c:showSerName val="0"/>
          <c:showPercent val="0"/>
          <c:showBubbleSize val="0"/>
          <c:showLeaderLines val="1"/>
        </c:dLbls>
        <c:firstSliceAng val="0"/>
        <c:holeSize val="69"/>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'[3]Type of expenditure'!$B$10</c:f>
              <c:strCache>
                <c:ptCount val="1"/>
                <c:pt idx="0">
                  <c:v>Allocated amount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975-419A-872B-0DBA31C9D8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75-419A-872B-0DBA31C9D8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975-419A-872B-0DBA31C9D8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75-419A-872B-0DBA31C9D8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sl-SI"/>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'[3]Type of expenditure'!$A$11:$A$15</c:f>
              <c:strCache>
                <c:ptCount val="5"/>
                <c:pt idx="0">
                  <c:v>investment expenditure </c:v>
                </c:pt>
                <c:pt idx="1">
                  <c:v>subsidies, grant, loans</c:v>
                </c:pt>
                <c:pt idx="2">
                  <c:v>intervention expenditure </c:v>
                </c:pt>
                <c:pt idx="3">
                  <c:v>operating expenditure </c:v>
                </c:pt>
                <c:pt idx="4">
                  <c:v>Total</c:v>
                </c:pt>
              </c:strCache>
            </c:strRef>
          </c:cat>
          <c:val>
            <c:numRef>
              <c:f>'[3]Type of expenditure'!$B$11:$B$14</c:f>
              <c:numCache>
                <c:formatCode>General</c:formatCode>
                <c:ptCount val="4"/>
                <c:pt idx="0">
                  <c:v>480701591.52999985</c:v>
                </c:pt>
                <c:pt idx="1">
                  <c:v>135653828.08000001</c:v>
                </c:pt>
                <c:pt idx="2">
                  <c:v>213836420.69999999</c:v>
                </c:pt>
                <c:pt idx="3">
                  <c:v>419808159.35000002</c:v>
                </c:pt>
              </c:numCache>
            </c:numRef>
          </c:val>
          <c:extLst>
            <c:ext xmlns:c16="http://schemas.microsoft.com/office/drawing/2014/chart" uri="{C3380CC4-5D6E-409C-BE32-E72D297353CC}">
              <c16:uniqueId val="{00000008-5975-419A-872B-0DBA31C9D80B}"/>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473B13DC-DF2C-4B33-A768-24CB2AC5B617}">
          <cx:dataLabels>
            <cx:numFmt formatCode="0%" sourceLinked="0"/>
            <cx:txPr>
              <a:bodyPr spcFirstLastPara="1" vertOverflow="ellipsis" horzOverflow="overflow" wrap="square" lIns="38100" tIns="19050" rIns="38100" bIns="19050" anchor="ctr" anchorCtr="1">
                <a:spAutoFit/>
              </a:bodyPr>
              <a:lstStyle/>
              <a:p>
                <a:pPr algn="ctr" rtl="0">
                  <a:defRPr/>
                </a:pPr>
                <a:endParaRPr lang="sl-SI" sz="900" b="0" i="0" u="none" strike="noStrike" baseline="0">
                  <a:solidFill>
                    <a:sysClr val="windowText" lastClr="000000">
                      <a:lumMod val="75000"/>
                      <a:lumOff val="25000"/>
                    </a:sysClr>
                  </a:solidFill>
                  <a:latin typeface="Calibri" panose="020F0502020204030204"/>
                </a:endParaRPr>
              </a:p>
            </cx:txPr>
            <cx:visibility seriesName="0" categoryName="0" value="1"/>
            <cx:separator>. </cx:separator>
          </cx:dataLabels>
          <cx:dataId val="0"/>
        </cx:series>
      </cx:plotAreaRegion>
    </cx:plotArea>
    <cx:legend pos="r" align="ctr" overlay="0">
      <cx:txPr>
        <a:bodyPr spcFirstLastPara="1" vertOverflow="ellipsis" horzOverflow="overflow" wrap="square" lIns="0" tIns="0" rIns="0" bIns="0" anchor="ctr" anchorCtr="1"/>
        <a:lstStyle/>
        <a:p>
          <a:pPr algn="ctr" rtl="0">
            <a:defRPr sz="1100" baseline="0"/>
          </a:pPr>
          <a:endParaRPr lang="sl-SI" sz="1100" b="0" i="0" u="none" strike="noStrike" baseline="0">
            <a:solidFill>
              <a:sysClr val="windowText" lastClr="000000">
                <a:lumMod val="65000"/>
                <a:lumOff val="35000"/>
              </a:sysClr>
            </a:solidFill>
            <a:latin typeface="Calibri" panose="020F050202020403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acrossLinear" id="2">
  <a:schemeClr val="accent1"/>
  <a:schemeClr val="accent2"/>
  <a:schemeClr val="accent3"/>
  <a:schemeClr val="accent4"/>
  <a:schemeClr val="accent5"/>
  <a:schemeClr val="accent6"/>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86">
  <cs:axisTitle>
    <cs:lnRef idx="0"/>
    <cs:fillRef idx="0"/>
    <cs:effectRef idx="0"/>
    <cs:fontRef idx="major">
      <a:schemeClr val="dk1">
        <a:lumMod val="50000"/>
        <a:lumOff val="50000"/>
      </a:schemeClr>
    </cs:fontRef>
    <cs:defRPr sz="900"/>
  </cs:axisTitle>
  <cs:categoryAxis>
    <cs:lnRef idx="0"/>
    <cs:fillRef idx="0"/>
    <cs:effectRef idx="0"/>
    <cs:fontRef idx="major">
      <a:schemeClr val="dk1">
        <a:lumMod val="50000"/>
        <a:lumOff val="50000"/>
      </a:schemeClr>
    </cs:fontRef>
    <cs:defRPr sz="90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cs:chartArea>
  <cs:dataLabel>
    <cs:lnRef idx="0"/>
    <cs:fillRef idx="0"/>
    <cs:effectRef idx="0"/>
    <cs:fontRef idx="minor">
      <a:schemeClr val="dk1">
        <a:lumMod val="75000"/>
        <a:lumOff val="25000"/>
      </a:schemeClr>
    </cs:fontRef>
    <cs:defRPr sz="900"/>
    <cs:bodyPr lIns="38100" tIns="19050" rIns="38100" bIns="19050">
      <a:spAutoFit/>
    </cs:bodyPr>
  </cs:dataLabel>
  <cs:dataLabelCallout>
    <cs:lnRef idx="0"/>
    <cs:fillRef idx="0"/>
    <cs:effectRef idx="0"/>
    <cs:fontRef idx="major">
      <a:schemeClr val="dk1">
        <a:lumMod val="50000"/>
        <a:lumOff val="50000"/>
      </a:schemeClr>
    </cs:fontRef>
    <cs:spPr>
      <a:solidFill>
        <a:schemeClr val="lt1">
          <a:alpha val="75000"/>
        </a:schemeClr>
      </a:solidFill>
      <a:ln w="9525">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9525">
        <a:solidFill>
          <a:schemeClr val="lt1"/>
        </a:solidFill>
      </a:ln>
    </cs:spPr>
  </cs:dataPoint>
  <cs:dataPoint3D>
    <cs:lnRef idx="0"/>
    <cs:fillRef idx="0">
      <cs:styleClr val="auto"/>
    </cs:fillRef>
    <cs:effectRef idx="0"/>
    <cs:fontRef idx="minor">
      <a:schemeClr val="tx1"/>
    </cs:fontRef>
    <cs:spPr>
      <a:solidFill>
        <a:schemeClr val="phClr"/>
      </a:solidFill>
      <a:ln w="9525">
        <a:solidFill>
          <a:schemeClr val="lt1"/>
        </a:solidFill>
      </a:ln>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2857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solidFill>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lumOff val="10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ajor">
      <a:schemeClr val="dk1">
        <a:lumMod val="50000"/>
        <a:lumOff val="50000"/>
      </a:schemeClr>
    </cs:fontRef>
    <cs:defRPr sz="900"/>
  </cs:seriesAxis>
  <cs:seriesLine>
    <cs:lnRef idx="0"/>
    <cs:fillRef idx="0"/>
    <cs:effectRef idx="0"/>
    <cs:fontRef idx="minor">
      <a:schemeClr val="dk1"/>
    </cs:fontRef>
    <cs:spPr>
      <a:ln w="9525" cap="flat">
        <a:solidFill>
          <a:schemeClr val="bg1">
            <a:lumMod val="50000"/>
          </a:schemeClr>
        </a:solidFill>
        <a:round/>
      </a:ln>
    </cs:spPr>
  </cs:seriesLine>
  <cs:title>
    <cs:lnRef idx="0"/>
    <cs:fillRef idx="0"/>
    <cs:effectRef idx="0"/>
    <cs:fontRef idx="major">
      <a:schemeClr val="dk1">
        <a:lumMod val="50000"/>
        <a:lumOff val="50000"/>
      </a:schemeClr>
    </cs:fontRef>
    <cs:defRPr sz="1600" b="1" spc="0" normalizeH="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ajor">
      <a:schemeClr val="dk1">
        <a:lumMod val="50000"/>
        <a:lumOff val="50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ajor">
      <a:schemeClr val="dk1">
        <a:lumMod val="50000"/>
        <a:lumOff val="50000"/>
      </a:schemeClr>
    </cs:fontRef>
    <cs:defRPr sz="9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1.xml"/></Relationships>
</file>

<file path=xl/drawings/_rels/drawing3.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224117</xdr:colOff>
      <xdr:row>46</xdr:row>
      <xdr:rowOff>168088</xdr:rowOff>
    </xdr:from>
    <xdr:to>
      <xdr:col>2</xdr:col>
      <xdr:colOff>661147</xdr:colOff>
      <xdr:row>75</xdr:row>
      <xdr:rowOff>25773</xdr:rowOff>
    </xdr:to>
    <xdr:graphicFrame macro="">
      <xdr:nvGraphicFramePr>
        <xdr:cNvPr id="4" name="Chart 10">
          <a:extLst>
            <a:ext uri="{FF2B5EF4-FFF2-40B4-BE49-F238E27FC236}">
              <a16:creationId xmlns:a16="http://schemas.microsoft.com/office/drawing/2014/main" id="{E1C728DB-E7A8-4CC0-A0F1-58C0FBABC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1098176</xdr:colOff>
      <xdr:row>46</xdr:row>
      <xdr:rowOff>168086</xdr:rowOff>
    </xdr:from>
    <xdr:to>
      <xdr:col>4</xdr:col>
      <xdr:colOff>661147</xdr:colOff>
      <xdr:row>72</xdr:row>
      <xdr:rowOff>35372</xdr:rowOff>
    </xdr:to>
    <xdr:graphicFrame macro="">
      <xdr:nvGraphicFramePr>
        <xdr:cNvPr id="5" name="Chart 9">
          <a:extLst>
            <a:ext uri="{FF2B5EF4-FFF2-40B4-BE49-F238E27FC236}">
              <a16:creationId xmlns:a16="http://schemas.microsoft.com/office/drawing/2014/main" id="{99B80491-170B-426C-90DB-E6E2B0D186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891539</xdr:colOff>
      <xdr:row>16</xdr:row>
      <xdr:rowOff>8964</xdr:rowOff>
    </xdr:from>
    <xdr:to>
      <xdr:col>4</xdr:col>
      <xdr:colOff>1264022</xdr:colOff>
      <xdr:row>54</xdr:row>
      <xdr:rowOff>123824</xdr:rowOff>
    </xdr:to>
    <mc:AlternateContent xmlns:mc="http://schemas.openxmlformats.org/markup-compatibility/2006">
      <mc:Choice xmlns:cx1="http://schemas.microsoft.com/office/drawing/2015/9/8/chartex" Requires="cx1">
        <xdr:graphicFrame macro="">
          <xdr:nvGraphicFramePr>
            <xdr:cNvPr id="2" name="Grafikon 1">
              <a:extLst>
                <a:ext uri="{FF2B5EF4-FFF2-40B4-BE49-F238E27FC236}">
                  <a16:creationId xmlns:a16="http://schemas.microsoft.com/office/drawing/2014/main" id="{B8BCD0B5-86BD-46A6-9532-FCB73E271D37}"/>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91539" y="3834204"/>
              <a:ext cx="8228703" cy="6774740"/>
            </a:xfrm>
            <a:prstGeom prst="rect">
              <a:avLst/>
            </a:prstGeom>
            <a:solidFill>
              <a:prstClr val="white"/>
            </a:solidFill>
            <a:ln w="1">
              <a:solidFill>
                <a:prstClr val="green"/>
              </a:solidFill>
            </a:ln>
          </xdr:spPr>
          <xdr:txBody>
            <a:bodyPr vertOverflow="clip" horzOverflow="clip"/>
            <a:lstStyle/>
            <a:p>
              <a:r>
                <a:rPr lang="sl-SI" sz="1100"/>
                <a:t>Ta grafikon ni na voljo v vaši različici programa Excel.
Če obliko uredite ali pa delovni zvezek shranite v drugi obliki zapisa datoteke, bo grafikon trajno poškodovan.</a:t>
              </a:r>
            </a:p>
          </xdr:txBody>
        </xdr:sp>
      </mc:Fallback>
    </mc:AlternateContent>
    <xdr:clientData/>
  </xdr:twoCellAnchor>
  <xdr:twoCellAnchor>
    <xdr:from>
      <xdr:col>5</xdr:col>
      <xdr:colOff>0</xdr:colOff>
      <xdr:row>17</xdr:row>
      <xdr:rowOff>35858</xdr:rowOff>
    </xdr:from>
    <xdr:to>
      <xdr:col>13</xdr:col>
      <xdr:colOff>44822</xdr:colOff>
      <xdr:row>35</xdr:row>
      <xdr:rowOff>35857</xdr:rowOff>
    </xdr:to>
    <xdr:graphicFrame macro="">
      <xdr:nvGraphicFramePr>
        <xdr:cNvPr id="3" name="Grafikon 2">
          <a:extLst>
            <a:ext uri="{FF2B5EF4-FFF2-40B4-BE49-F238E27FC236}">
              <a16:creationId xmlns:a16="http://schemas.microsoft.com/office/drawing/2014/main" id="{C89B9C19-34BA-4A09-96E5-434D7F2FDF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529590</xdr:colOff>
      <xdr:row>67</xdr:row>
      <xdr:rowOff>76200</xdr:rowOff>
    </xdr:from>
    <xdr:to>
      <xdr:col>4</xdr:col>
      <xdr:colOff>2853690</xdr:colOff>
      <xdr:row>83</xdr:row>
      <xdr:rowOff>15240</xdr:rowOff>
    </xdr:to>
    <xdr:graphicFrame macro="">
      <xdr:nvGraphicFramePr>
        <xdr:cNvPr id="4" name="Grafikon 3">
          <a:extLst>
            <a:ext uri="{FF2B5EF4-FFF2-40B4-BE49-F238E27FC236}">
              <a16:creationId xmlns:a16="http://schemas.microsoft.com/office/drawing/2014/main" id="{FA8E1BBE-6292-4777-BC61-2A80B06297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289560</xdr:colOff>
      <xdr:row>3</xdr:row>
      <xdr:rowOff>60960</xdr:rowOff>
    </xdr:from>
    <xdr:ext cx="624840" cy="624840"/>
    <xdr:pic>
      <xdr:nvPicPr>
        <xdr:cNvPr id="12" name="Slika 11">
          <a:extLst>
            <a:ext uri="{FF2B5EF4-FFF2-40B4-BE49-F238E27FC236}">
              <a16:creationId xmlns:a16="http://schemas.microsoft.com/office/drawing/2014/main" id="{B8EC598B-88C9-48C4-8DFC-DD50B77F30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9160" y="1889760"/>
          <a:ext cx="624840" cy="6248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982980</xdr:colOff>
      <xdr:row>3</xdr:row>
      <xdr:rowOff>60960</xdr:rowOff>
    </xdr:from>
    <xdr:ext cx="626400" cy="626400"/>
    <xdr:pic>
      <xdr:nvPicPr>
        <xdr:cNvPr id="13" name="Slika 12">
          <a:extLst>
            <a:ext uri="{FF2B5EF4-FFF2-40B4-BE49-F238E27FC236}">
              <a16:creationId xmlns:a16="http://schemas.microsoft.com/office/drawing/2014/main" id="{6656A646-F5D9-4309-8AA1-E51C5702B0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9200" y="188976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1691640</xdr:colOff>
      <xdr:row>3</xdr:row>
      <xdr:rowOff>68580</xdr:rowOff>
    </xdr:from>
    <xdr:ext cx="626400" cy="626400"/>
    <xdr:pic>
      <xdr:nvPicPr>
        <xdr:cNvPr id="14" name="Slika 13">
          <a:extLst>
            <a:ext uri="{FF2B5EF4-FFF2-40B4-BE49-F238E27FC236}">
              <a16:creationId xmlns:a16="http://schemas.microsoft.com/office/drawing/2014/main" id="{A1F68E50-7151-43D2-8F45-D7E50DFC67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19200" y="189738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486120</xdr:colOff>
      <xdr:row>4</xdr:row>
      <xdr:rowOff>59400</xdr:rowOff>
    </xdr:from>
    <xdr:ext cx="626400" cy="626400"/>
    <xdr:pic>
      <xdr:nvPicPr>
        <xdr:cNvPr id="15" name="Slika 14">
          <a:extLst>
            <a:ext uri="{FF2B5EF4-FFF2-40B4-BE49-F238E27FC236}">
              <a16:creationId xmlns:a16="http://schemas.microsoft.com/office/drawing/2014/main" id="{87791DF7-7F8E-4B25-8538-EBF9A609A75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95720" y="207108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1324320</xdr:colOff>
      <xdr:row>4</xdr:row>
      <xdr:rowOff>59400</xdr:rowOff>
    </xdr:from>
    <xdr:ext cx="626400" cy="626400"/>
    <xdr:pic>
      <xdr:nvPicPr>
        <xdr:cNvPr id="16" name="Slika 15">
          <a:extLst>
            <a:ext uri="{FF2B5EF4-FFF2-40B4-BE49-F238E27FC236}">
              <a16:creationId xmlns:a16="http://schemas.microsoft.com/office/drawing/2014/main" id="{88FA9514-3890-4359-A88E-B36EC0183BE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17640" y="207108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486120</xdr:colOff>
      <xdr:row>5</xdr:row>
      <xdr:rowOff>82260</xdr:rowOff>
    </xdr:from>
    <xdr:ext cx="626400" cy="626400"/>
    <xdr:pic>
      <xdr:nvPicPr>
        <xdr:cNvPr id="17" name="Slika 16">
          <a:extLst>
            <a:ext uri="{FF2B5EF4-FFF2-40B4-BE49-F238E27FC236}">
              <a16:creationId xmlns:a16="http://schemas.microsoft.com/office/drawing/2014/main" id="{E9EAA9C3-1D5F-4755-BCEA-39CAE511527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95720" y="227682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1324320</xdr:colOff>
      <xdr:row>5</xdr:row>
      <xdr:rowOff>82260</xdr:rowOff>
    </xdr:from>
    <xdr:ext cx="626400" cy="626400"/>
    <xdr:pic>
      <xdr:nvPicPr>
        <xdr:cNvPr id="18" name="Slika 17">
          <a:extLst>
            <a:ext uri="{FF2B5EF4-FFF2-40B4-BE49-F238E27FC236}">
              <a16:creationId xmlns:a16="http://schemas.microsoft.com/office/drawing/2014/main" id="{E7085CEC-7BA7-4C4E-BD22-AF43F39422C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217640" y="227682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868680</xdr:colOff>
      <xdr:row>6</xdr:row>
      <xdr:rowOff>99060</xdr:rowOff>
    </xdr:from>
    <xdr:ext cx="626400" cy="626400"/>
    <xdr:pic>
      <xdr:nvPicPr>
        <xdr:cNvPr id="19" name="Slika 18">
          <a:extLst>
            <a:ext uri="{FF2B5EF4-FFF2-40B4-BE49-F238E27FC236}">
              <a16:creationId xmlns:a16="http://schemas.microsoft.com/office/drawing/2014/main" id="{2146385A-EF69-42DB-9C9B-1A615D979E4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219200" y="247650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1264920</xdr:colOff>
      <xdr:row>7</xdr:row>
      <xdr:rowOff>83820</xdr:rowOff>
    </xdr:from>
    <xdr:ext cx="624840" cy="624840"/>
    <xdr:pic>
      <xdr:nvPicPr>
        <xdr:cNvPr id="20" name="Slika 19">
          <a:extLst>
            <a:ext uri="{FF2B5EF4-FFF2-40B4-BE49-F238E27FC236}">
              <a16:creationId xmlns:a16="http://schemas.microsoft.com/office/drawing/2014/main" id="{D761CD73-C425-44F6-BC46-DFE5B25941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0" y="2644140"/>
          <a:ext cx="624840" cy="6248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478500</xdr:colOff>
      <xdr:row>7</xdr:row>
      <xdr:rowOff>82260</xdr:rowOff>
    </xdr:from>
    <xdr:ext cx="626400" cy="626400"/>
    <xdr:pic>
      <xdr:nvPicPr>
        <xdr:cNvPr id="21" name="Slika 20">
          <a:extLst>
            <a:ext uri="{FF2B5EF4-FFF2-40B4-BE49-F238E27FC236}">
              <a16:creationId xmlns:a16="http://schemas.microsoft.com/office/drawing/2014/main" id="{3E82FD0B-7E97-4657-B904-3AA28D2218E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88100" y="2642580"/>
          <a:ext cx="626400" cy="626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d.sigov.si\usr\T-Z\ZagarA55\Documents\Word\Impact%20Reporting%20Data%20Intake%20Sheet%20Social%20UoP.xlsx" TargetMode="External"/><Relationship Id="rId1" Type="http://schemas.openxmlformats.org/officeDocument/2006/relationships/externalLinkPath" Target="file:///\\ad.sigov.si\USR\Users\GartnerA55\AppData\Local\Microsoft\Windows\INetCache\Content.Outlook\BVDQ1XZ1\Impact%20Reporting%20Data%20Intake%20Sheet%20Social%20U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orningstaronline.sharepoint.com/sites/SUST_SFSCollaboration/Shared%20Documents/ProdDev%20-%20Impact%20Report%20on%20Bonds%20&amp;%20Loans/Impact_Tool/UoP%20tools/Impact_calculation_tool_WW.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ad.sigov.si\usr\F-J\GartnerA55\Documents\PROJEKT%20TRAJNOSTNA%20OBVEZNICA\Novi%20projekti\Sustainable%20projects_tabel%20WG_17.4.24.xlsx" TargetMode="External"/><Relationship Id="rId1" Type="http://schemas.openxmlformats.org/officeDocument/2006/relationships/externalLinkPath" Target="file:///\\ad.sigov.si\usr\F-J\GartnerA55\Documents\PROJEKT%20TRAJNOSTNA%20OBVEZNICA\Novi%20projekti\Sustainable%20projects_tabel%20WG_17.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AH (Affordable Housing)"/>
      <sheetName val="Education"/>
      <sheetName val="Healthcare"/>
      <sheetName val="Health Intervention"/>
      <sheetName val="SME Finance"/>
      <sheetName val="Country_List"/>
      <sheetName val="Units"/>
      <sheetName val="Currencies"/>
    </sheetNames>
    <sheetDataSet>
      <sheetData sheetId="0"/>
      <sheetData sheetId="1"/>
      <sheetData sheetId="2"/>
      <sheetData sheetId="3"/>
      <sheetData sheetId="4"/>
      <sheetData sheetId="5"/>
      <sheetData sheetId="6">
        <row r="1">
          <cell r="A1" t="str">
            <v>Afghanistan</v>
          </cell>
        </row>
        <row r="2">
          <cell r="A2" t="str">
            <v>Africa</v>
          </cell>
        </row>
        <row r="3">
          <cell r="A3" t="str">
            <v>Åland Islands</v>
          </cell>
        </row>
        <row r="4">
          <cell r="A4" t="str">
            <v>Albania</v>
          </cell>
        </row>
        <row r="5">
          <cell r="A5" t="str">
            <v>Algeria</v>
          </cell>
        </row>
        <row r="6">
          <cell r="A6" t="str">
            <v>American Samoa</v>
          </cell>
        </row>
        <row r="7">
          <cell r="A7" t="str">
            <v>Americas</v>
          </cell>
        </row>
        <row r="8">
          <cell r="A8" t="str">
            <v>Andorra</v>
          </cell>
        </row>
        <row r="9">
          <cell r="A9" t="str">
            <v>Angola</v>
          </cell>
        </row>
        <row r="10">
          <cell r="A10" t="str">
            <v>Anguilla</v>
          </cell>
        </row>
        <row r="11">
          <cell r="A11" t="str">
            <v>Antarctica</v>
          </cell>
        </row>
        <row r="12">
          <cell r="A12" t="str">
            <v>Antigua and Barbuda</v>
          </cell>
        </row>
        <row r="13">
          <cell r="A13" t="str">
            <v>Argentina</v>
          </cell>
        </row>
        <row r="14">
          <cell r="A14" t="str">
            <v>Armenia</v>
          </cell>
        </row>
        <row r="15">
          <cell r="A15" t="str">
            <v>Aruba</v>
          </cell>
        </row>
        <row r="16">
          <cell r="A16" t="str">
            <v>Asia</v>
          </cell>
        </row>
        <row r="17">
          <cell r="A17" t="str">
            <v>Australia</v>
          </cell>
        </row>
        <row r="18">
          <cell r="A18" t="str">
            <v>Australia and New Zealand</v>
          </cell>
        </row>
        <row r="19">
          <cell r="A19" t="str">
            <v>Austria</v>
          </cell>
        </row>
        <row r="20">
          <cell r="A20" t="str">
            <v>Azerbaijan</v>
          </cell>
        </row>
        <row r="21">
          <cell r="A21" t="str">
            <v>Bahamas</v>
          </cell>
        </row>
        <row r="22">
          <cell r="A22" t="str">
            <v>Bahrain</v>
          </cell>
        </row>
        <row r="23">
          <cell r="A23" t="str">
            <v>Bangladesh</v>
          </cell>
        </row>
        <row r="24">
          <cell r="A24" t="str">
            <v>Barbados</v>
          </cell>
        </row>
        <row r="25">
          <cell r="A25" t="str">
            <v>Belarus</v>
          </cell>
        </row>
        <row r="26">
          <cell r="A26" t="str">
            <v>Belgium</v>
          </cell>
        </row>
        <row r="27">
          <cell r="A27" t="str">
            <v>Belize</v>
          </cell>
        </row>
        <row r="28">
          <cell r="A28" t="str">
            <v>Benin</v>
          </cell>
        </row>
        <row r="29">
          <cell r="A29" t="str">
            <v>Bermuda</v>
          </cell>
        </row>
        <row r="30">
          <cell r="A30" t="str">
            <v>Bhutan</v>
          </cell>
        </row>
        <row r="31">
          <cell r="A31" t="str">
            <v>Bolivia (Plurinational State of)</v>
          </cell>
        </row>
        <row r="32">
          <cell r="A32" t="str">
            <v>Bonaire</v>
          </cell>
        </row>
        <row r="33">
          <cell r="A33" t="str">
            <v>Bosnia and Herzegovina</v>
          </cell>
        </row>
        <row r="34">
          <cell r="A34" t="str">
            <v>Botswana</v>
          </cell>
        </row>
        <row r="35">
          <cell r="A35" t="str">
            <v>Bouvet Island</v>
          </cell>
        </row>
        <row r="36">
          <cell r="A36" t="str">
            <v>Brazil</v>
          </cell>
        </row>
        <row r="37">
          <cell r="A37" t="str">
            <v>British Indian Ocean Territory</v>
          </cell>
        </row>
        <row r="38">
          <cell r="A38" t="str">
            <v>Brunei Darussalam</v>
          </cell>
        </row>
        <row r="39">
          <cell r="A39" t="str">
            <v>Bulgaria</v>
          </cell>
        </row>
        <row r="40">
          <cell r="A40" t="str">
            <v>Burkina Faso</v>
          </cell>
        </row>
        <row r="41">
          <cell r="A41" t="str">
            <v>Burundi</v>
          </cell>
        </row>
        <row r="42">
          <cell r="A42" t="str">
            <v>Cabo Verde</v>
          </cell>
        </row>
        <row r="43">
          <cell r="A43" t="str">
            <v>Cambodia</v>
          </cell>
        </row>
        <row r="44">
          <cell r="A44" t="str">
            <v>Cameroon</v>
          </cell>
        </row>
        <row r="45">
          <cell r="A45" t="str">
            <v>Canada</v>
          </cell>
        </row>
        <row r="46">
          <cell r="A46" t="str">
            <v>Cayman Islands</v>
          </cell>
        </row>
        <row r="47">
          <cell r="A47" t="str">
            <v>Central African Republic</v>
          </cell>
        </row>
        <row r="48">
          <cell r="A48" t="str">
            <v>Central Asia</v>
          </cell>
        </row>
        <row r="49">
          <cell r="A49" t="str">
            <v>Chad</v>
          </cell>
        </row>
        <row r="50">
          <cell r="A50" t="str">
            <v>Chile</v>
          </cell>
        </row>
        <row r="51">
          <cell r="A51" t="str">
            <v>China</v>
          </cell>
        </row>
        <row r="52">
          <cell r="A52" t="str">
            <v>Christmas Island</v>
          </cell>
        </row>
        <row r="53">
          <cell r="A53" t="str">
            <v>Cocos (Keeling) Islands</v>
          </cell>
        </row>
        <row r="54">
          <cell r="A54" t="str">
            <v>Colombia</v>
          </cell>
        </row>
        <row r="55">
          <cell r="A55" t="str">
            <v>Comoros</v>
          </cell>
        </row>
        <row r="56">
          <cell r="A56" t="str">
            <v>Congo</v>
          </cell>
        </row>
        <row r="57">
          <cell r="A57" t="str">
            <v>Cook Islands</v>
          </cell>
        </row>
        <row r="58">
          <cell r="A58" t="str">
            <v>Costa Rica</v>
          </cell>
        </row>
        <row r="59">
          <cell r="A59" t="str">
            <v>Côte d'Ivoire</v>
          </cell>
        </row>
        <row r="60">
          <cell r="A60" t="str">
            <v>Croatia</v>
          </cell>
        </row>
        <row r="61">
          <cell r="A61" t="str">
            <v>Cuba</v>
          </cell>
        </row>
        <row r="62">
          <cell r="A62" t="str">
            <v>Curaçao</v>
          </cell>
        </row>
        <row r="63">
          <cell r="A63" t="str">
            <v>Cyprus</v>
          </cell>
        </row>
        <row r="64">
          <cell r="A64" t="str">
            <v>Czechia</v>
          </cell>
        </row>
        <row r="65">
          <cell r="A65" t="str">
            <v>Democratic Republic of the Congo</v>
          </cell>
        </row>
        <row r="66">
          <cell r="A66" t="str">
            <v>Denmark</v>
          </cell>
        </row>
        <row r="67">
          <cell r="A67" t="str">
            <v>Djibouti</v>
          </cell>
        </row>
        <row r="68">
          <cell r="A68" t="str">
            <v>Dominica</v>
          </cell>
        </row>
        <row r="69">
          <cell r="A69" t="str">
            <v>Dominican Republic</v>
          </cell>
        </row>
        <row r="70">
          <cell r="A70" t="str">
            <v>Eastern Asia</v>
          </cell>
        </row>
        <row r="71">
          <cell r="A71" t="str">
            <v>Eastern Europe</v>
          </cell>
        </row>
        <row r="72">
          <cell r="A72" t="str">
            <v>Ecuador</v>
          </cell>
        </row>
        <row r="73">
          <cell r="A73" t="str">
            <v>Egypt</v>
          </cell>
        </row>
        <row r="74">
          <cell r="A74" t="str">
            <v>El Salvador</v>
          </cell>
        </row>
        <row r="75">
          <cell r="A75" t="str">
            <v>England</v>
          </cell>
        </row>
        <row r="76">
          <cell r="A76" t="str">
            <v>Equatorial Guinea</v>
          </cell>
        </row>
        <row r="77">
          <cell r="A77" t="str">
            <v>Eritrea</v>
          </cell>
        </row>
        <row r="78">
          <cell r="A78" t="str">
            <v>Estonia</v>
          </cell>
        </row>
        <row r="79">
          <cell r="A79" t="str">
            <v>Eswatini</v>
          </cell>
        </row>
        <row r="80">
          <cell r="A80" t="str">
            <v>Ethiopia</v>
          </cell>
        </row>
        <row r="81">
          <cell r="A81" t="str">
            <v>Europe</v>
          </cell>
        </row>
        <row r="82">
          <cell r="A82" t="str">
            <v>Falkland Islands (Malvinas)</v>
          </cell>
        </row>
        <row r="83">
          <cell r="A83" t="str">
            <v>Faroe Islands</v>
          </cell>
        </row>
        <row r="84">
          <cell r="A84" t="str">
            <v>Fiji</v>
          </cell>
        </row>
        <row r="85">
          <cell r="A85" t="str">
            <v>Finland</v>
          </cell>
        </row>
        <row r="86">
          <cell r="A86" t="str">
            <v>France</v>
          </cell>
        </row>
        <row r="87">
          <cell r="A87" t="str">
            <v>French Guiana</v>
          </cell>
        </row>
        <row r="88">
          <cell r="A88" t="str">
            <v>French Polynesia</v>
          </cell>
        </row>
        <row r="89">
          <cell r="A89" t="str">
            <v>French Southern Territories</v>
          </cell>
        </row>
        <row r="90">
          <cell r="A90" t="str">
            <v>Gabon</v>
          </cell>
        </row>
        <row r="91">
          <cell r="A91" t="str">
            <v>Gambia</v>
          </cell>
        </row>
        <row r="92">
          <cell r="A92" t="str">
            <v>Georgia</v>
          </cell>
        </row>
        <row r="93">
          <cell r="A93" t="str">
            <v>Germany</v>
          </cell>
        </row>
        <row r="94">
          <cell r="A94" t="str">
            <v>Ghana</v>
          </cell>
        </row>
        <row r="95">
          <cell r="A95" t="str">
            <v>Gibraltar</v>
          </cell>
        </row>
        <row r="96">
          <cell r="A96" t="str">
            <v>Greece</v>
          </cell>
        </row>
        <row r="97">
          <cell r="A97" t="str">
            <v>Greenland</v>
          </cell>
        </row>
        <row r="98">
          <cell r="A98" t="str">
            <v>Grenada</v>
          </cell>
        </row>
        <row r="99">
          <cell r="A99" t="str">
            <v>Guadeloupe</v>
          </cell>
        </row>
        <row r="100">
          <cell r="A100" t="str">
            <v>Guam</v>
          </cell>
        </row>
        <row r="101">
          <cell r="A101" t="str">
            <v>Guatemala</v>
          </cell>
        </row>
        <row r="102">
          <cell r="A102" t="str">
            <v>Guernsey</v>
          </cell>
        </row>
        <row r="103">
          <cell r="A103" t="str">
            <v>Guinea</v>
          </cell>
        </row>
        <row r="104">
          <cell r="A104" t="str">
            <v>Guinea-Bissau</v>
          </cell>
        </row>
        <row r="105">
          <cell r="A105" t="str">
            <v>Guyana</v>
          </cell>
        </row>
        <row r="106">
          <cell r="A106" t="str">
            <v>Haiti</v>
          </cell>
        </row>
        <row r="107">
          <cell r="A107" t="str">
            <v>Heard Island and McDonald Islands</v>
          </cell>
        </row>
        <row r="108">
          <cell r="A108" t="str">
            <v>Holy See</v>
          </cell>
        </row>
        <row r="109">
          <cell r="A109" t="str">
            <v>Honduras</v>
          </cell>
        </row>
        <row r="110">
          <cell r="A110" t="str">
            <v>Hong Kong</v>
          </cell>
        </row>
        <row r="111">
          <cell r="A111" t="str">
            <v>Hungary</v>
          </cell>
        </row>
        <row r="112">
          <cell r="A112" t="str">
            <v>Iceland</v>
          </cell>
        </row>
        <row r="113">
          <cell r="A113" t="str">
            <v>India</v>
          </cell>
        </row>
        <row r="114">
          <cell r="A114" t="str">
            <v>Indonesia</v>
          </cell>
        </row>
        <row r="115">
          <cell r="A115" t="str">
            <v>Iran (Islamic Republic of)</v>
          </cell>
        </row>
        <row r="116">
          <cell r="A116" t="str">
            <v>Iraq</v>
          </cell>
        </row>
        <row r="117">
          <cell r="A117" t="str">
            <v>Ireland</v>
          </cell>
        </row>
        <row r="118">
          <cell r="A118" t="str">
            <v>Isle of Man</v>
          </cell>
        </row>
        <row r="119">
          <cell r="A119" t="str">
            <v>Israel</v>
          </cell>
        </row>
        <row r="120">
          <cell r="A120" t="str">
            <v>Italy</v>
          </cell>
        </row>
        <row r="121">
          <cell r="A121" t="str">
            <v>Jamaica</v>
          </cell>
        </row>
        <row r="122">
          <cell r="A122" t="str">
            <v>Japan</v>
          </cell>
        </row>
        <row r="123">
          <cell r="A123" t="str">
            <v>Jersey</v>
          </cell>
        </row>
        <row r="124">
          <cell r="A124" t="str">
            <v>Jordan</v>
          </cell>
        </row>
        <row r="125">
          <cell r="A125" t="str">
            <v>Kazakhstan</v>
          </cell>
        </row>
        <row r="126">
          <cell r="A126" t="str">
            <v>Kenya</v>
          </cell>
        </row>
        <row r="127">
          <cell r="A127" t="str">
            <v>Kiribati</v>
          </cell>
        </row>
        <row r="128">
          <cell r="A128" t="str">
            <v>Korea (Democratic People's Republic of)</v>
          </cell>
        </row>
        <row r="129">
          <cell r="A129" t="str">
            <v>Korea (Republic of)</v>
          </cell>
        </row>
        <row r="130">
          <cell r="A130" t="str">
            <v>Kuwait</v>
          </cell>
        </row>
        <row r="131">
          <cell r="A131" t="str">
            <v>Kyrgyzstan</v>
          </cell>
        </row>
        <row r="132">
          <cell r="A132" t="str">
            <v>Lao People's Democratic Republic</v>
          </cell>
        </row>
        <row r="133">
          <cell r="A133" t="str">
            <v>Latin America and the Caribbean</v>
          </cell>
        </row>
        <row r="134">
          <cell r="A134" t="str">
            <v>Latvia</v>
          </cell>
        </row>
        <row r="135">
          <cell r="A135" t="str">
            <v>Lebanon</v>
          </cell>
        </row>
        <row r="136">
          <cell r="A136" t="str">
            <v>Lesotho</v>
          </cell>
        </row>
        <row r="137">
          <cell r="A137" t="str">
            <v>Liberia</v>
          </cell>
        </row>
        <row r="138">
          <cell r="A138" t="str">
            <v>Libya</v>
          </cell>
        </row>
        <row r="139">
          <cell r="A139" t="str">
            <v>Liechtenstein</v>
          </cell>
        </row>
        <row r="140">
          <cell r="A140" t="str">
            <v>Lithuania</v>
          </cell>
        </row>
        <row r="141">
          <cell r="A141" t="str">
            <v>Luxembourg</v>
          </cell>
        </row>
        <row r="142">
          <cell r="A142" t="str">
            <v>Macao</v>
          </cell>
        </row>
        <row r="143">
          <cell r="A143" t="str">
            <v>Madagascar</v>
          </cell>
        </row>
        <row r="144">
          <cell r="A144" t="str">
            <v>Malawi</v>
          </cell>
        </row>
        <row r="145">
          <cell r="A145" t="str">
            <v>Malaysia</v>
          </cell>
        </row>
        <row r="146">
          <cell r="A146" t="str">
            <v>Maldives</v>
          </cell>
        </row>
        <row r="147">
          <cell r="A147" t="str">
            <v>Mali</v>
          </cell>
        </row>
        <row r="148">
          <cell r="A148" t="str">
            <v>Malta</v>
          </cell>
        </row>
        <row r="149">
          <cell r="A149" t="str">
            <v>Marshall Islands</v>
          </cell>
        </row>
        <row r="150">
          <cell r="A150" t="str">
            <v>Martinique</v>
          </cell>
        </row>
        <row r="151">
          <cell r="A151" t="str">
            <v>Mauritania</v>
          </cell>
        </row>
        <row r="152">
          <cell r="A152" t="str">
            <v>Mauritius</v>
          </cell>
        </row>
        <row r="153">
          <cell r="A153" t="str">
            <v>Mayotte</v>
          </cell>
        </row>
        <row r="154">
          <cell r="A154" t="str">
            <v>Melanesia</v>
          </cell>
        </row>
        <row r="155">
          <cell r="A155" t="str">
            <v>Mexico</v>
          </cell>
        </row>
        <row r="156">
          <cell r="A156" t="str">
            <v>Micronesia</v>
          </cell>
        </row>
        <row r="157">
          <cell r="A157" t="str">
            <v>Micronesia (Federated States of)</v>
          </cell>
        </row>
        <row r="158">
          <cell r="A158" t="str">
            <v>Moldova</v>
          </cell>
        </row>
        <row r="159">
          <cell r="A159" t="str">
            <v>Monaco</v>
          </cell>
        </row>
        <row r="160">
          <cell r="A160" t="str">
            <v>Mongolia</v>
          </cell>
        </row>
        <row r="161">
          <cell r="A161" t="str">
            <v>Montenegro</v>
          </cell>
        </row>
        <row r="162">
          <cell r="A162" t="str">
            <v>Montserrat</v>
          </cell>
        </row>
        <row r="163">
          <cell r="A163" t="str">
            <v>Morocco</v>
          </cell>
        </row>
        <row r="164">
          <cell r="A164" t="str">
            <v>Mozambique</v>
          </cell>
        </row>
        <row r="165">
          <cell r="A165" t="str">
            <v>Myanmar</v>
          </cell>
        </row>
        <row r="166">
          <cell r="A166" t="str">
            <v>Namibia</v>
          </cell>
        </row>
        <row r="167">
          <cell r="A167" t="str">
            <v>Nauru</v>
          </cell>
        </row>
        <row r="168">
          <cell r="A168" t="str">
            <v>Nepal</v>
          </cell>
        </row>
        <row r="169">
          <cell r="A169" t="str">
            <v>Netherlands</v>
          </cell>
        </row>
        <row r="170">
          <cell r="A170" t="str">
            <v>New Caledonia</v>
          </cell>
        </row>
        <row r="171">
          <cell r="A171" t="str">
            <v>New Zealand</v>
          </cell>
        </row>
        <row r="172">
          <cell r="A172" t="str">
            <v>Nicaragua</v>
          </cell>
        </row>
        <row r="173">
          <cell r="A173" t="str">
            <v>Niger</v>
          </cell>
        </row>
        <row r="174">
          <cell r="A174" t="str">
            <v>Nigeria</v>
          </cell>
        </row>
        <row r="175">
          <cell r="A175" t="str">
            <v>Niue</v>
          </cell>
        </row>
        <row r="176">
          <cell r="A176" t="str">
            <v>Norfolk Island</v>
          </cell>
        </row>
        <row r="177">
          <cell r="A177" t="str">
            <v>North Macedonia</v>
          </cell>
        </row>
        <row r="178">
          <cell r="A178" t="str">
            <v>Northern Africa</v>
          </cell>
        </row>
        <row r="179">
          <cell r="A179" t="str">
            <v>Northern America</v>
          </cell>
        </row>
        <row r="180">
          <cell r="A180" t="str">
            <v>Northern Europe</v>
          </cell>
        </row>
        <row r="181">
          <cell r="A181" t="str">
            <v>Northern Ireland</v>
          </cell>
        </row>
        <row r="182">
          <cell r="A182" t="str">
            <v>Northern Mariana Islands</v>
          </cell>
        </row>
        <row r="183">
          <cell r="A183" t="str">
            <v>Norway</v>
          </cell>
        </row>
        <row r="184">
          <cell r="A184" t="str">
            <v>Oman</v>
          </cell>
        </row>
        <row r="185">
          <cell r="A185" t="str">
            <v>Pakistan</v>
          </cell>
        </row>
        <row r="186">
          <cell r="A186" t="str">
            <v>Palau</v>
          </cell>
        </row>
        <row r="187">
          <cell r="A187" t="str">
            <v>Palestine</v>
          </cell>
        </row>
        <row r="188">
          <cell r="A188" t="str">
            <v>Panama</v>
          </cell>
        </row>
        <row r="189">
          <cell r="A189" t="str">
            <v>Papua New Guinea</v>
          </cell>
        </row>
        <row r="190">
          <cell r="A190" t="str">
            <v>Paraguay</v>
          </cell>
        </row>
        <row r="191">
          <cell r="A191" t="str">
            <v>Peru</v>
          </cell>
        </row>
        <row r="192">
          <cell r="A192" t="str">
            <v>Philippines</v>
          </cell>
        </row>
        <row r="193">
          <cell r="A193" t="str">
            <v>Pitcairn</v>
          </cell>
        </row>
        <row r="194">
          <cell r="A194" t="str">
            <v>Poland</v>
          </cell>
        </row>
        <row r="195">
          <cell r="A195" t="str">
            <v>Polynesia</v>
          </cell>
        </row>
        <row r="196">
          <cell r="A196" t="str">
            <v>Portugal</v>
          </cell>
        </row>
        <row r="197">
          <cell r="A197" t="str">
            <v>Puerto Rico</v>
          </cell>
        </row>
        <row r="198">
          <cell r="A198" t="str">
            <v>Qatar</v>
          </cell>
        </row>
        <row r="199">
          <cell r="A199" t="str">
            <v>Réunion</v>
          </cell>
        </row>
        <row r="200">
          <cell r="A200" t="str">
            <v>Romania</v>
          </cell>
        </row>
        <row r="201">
          <cell r="A201" t="str">
            <v>Russian Federation</v>
          </cell>
        </row>
        <row r="202">
          <cell r="A202" t="str">
            <v>Rwanda</v>
          </cell>
        </row>
        <row r="203">
          <cell r="A203" t="str">
            <v>Saint Barthélemy</v>
          </cell>
        </row>
        <row r="204">
          <cell r="A204" t="str">
            <v>Saint Helena</v>
          </cell>
        </row>
        <row r="205">
          <cell r="A205" t="str">
            <v>Saint Kitts and Nevis</v>
          </cell>
        </row>
        <row r="206">
          <cell r="A206" t="str">
            <v>Saint Lucia</v>
          </cell>
        </row>
        <row r="207">
          <cell r="A207" t="str">
            <v>Saint Martin (French part)</v>
          </cell>
        </row>
        <row r="208">
          <cell r="A208" t="str">
            <v>Saint Pierre and Miquelon</v>
          </cell>
        </row>
        <row r="209">
          <cell r="A209" t="str">
            <v>Saint Vincent and the Grenadines</v>
          </cell>
        </row>
        <row r="210">
          <cell r="A210" t="str">
            <v>Samoa</v>
          </cell>
        </row>
        <row r="211">
          <cell r="A211" t="str">
            <v>San Marino</v>
          </cell>
        </row>
        <row r="212">
          <cell r="A212" t="str">
            <v>Sao Tome and Principe</v>
          </cell>
        </row>
        <row r="213">
          <cell r="A213" t="str">
            <v>Saudi Arabia</v>
          </cell>
        </row>
        <row r="214">
          <cell r="A214" t="str">
            <v>Scotland</v>
          </cell>
        </row>
        <row r="215">
          <cell r="A215" t="str">
            <v>Senegal</v>
          </cell>
        </row>
        <row r="216">
          <cell r="A216" t="str">
            <v>Serbia</v>
          </cell>
        </row>
        <row r="217">
          <cell r="A217" t="str">
            <v>Seychelles</v>
          </cell>
        </row>
        <row r="218">
          <cell r="A218" t="str">
            <v>Sierra Leone</v>
          </cell>
        </row>
        <row r="219">
          <cell r="A219" t="str">
            <v>Singapore</v>
          </cell>
        </row>
        <row r="220">
          <cell r="A220" t="str">
            <v>Sint Maarten (Dutch part)</v>
          </cell>
        </row>
        <row r="221">
          <cell r="A221" t="str">
            <v>Slovakia</v>
          </cell>
        </row>
        <row r="222">
          <cell r="A222" t="str">
            <v>Slovenia</v>
          </cell>
        </row>
        <row r="223">
          <cell r="A223" t="str">
            <v>Solomon Islands</v>
          </cell>
        </row>
        <row r="224">
          <cell r="A224" t="str">
            <v>Somalia</v>
          </cell>
        </row>
        <row r="225">
          <cell r="A225" t="str">
            <v>South Africa</v>
          </cell>
        </row>
        <row r="226">
          <cell r="A226" t="str">
            <v>South Georgia and the South Sandwich Islands</v>
          </cell>
        </row>
        <row r="227">
          <cell r="A227" t="str">
            <v>South Sudan</v>
          </cell>
        </row>
        <row r="228">
          <cell r="A228" t="str">
            <v>South-eastern Asia</v>
          </cell>
        </row>
        <row r="229">
          <cell r="A229" t="str">
            <v>Southern Asia</v>
          </cell>
        </row>
        <row r="230">
          <cell r="A230" t="str">
            <v>Southern Europe</v>
          </cell>
        </row>
        <row r="231">
          <cell r="A231" t="str">
            <v>Spain</v>
          </cell>
        </row>
        <row r="232">
          <cell r="A232" t="str">
            <v>Sri Lanka</v>
          </cell>
        </row>
        <row r="233">
          <cell r="A233" t="str">
            <v>Sub-Saharan Africa</v>
          </cell>
        </row>
        <row r="234">
          <cell r="A234" t="str">
            <v>Sudan</v>
          </cell>
        </row>
        <row r="235">
          <cell r="A235" t="str">
            <v>Suriname</v>
          </cell>
        </row>
        <row r="236">
          <cell r="A236" t="str">
            <v>Svalbard and Jan Mayen</v>
          </cell>
        </row>
        <row r="237">
          <cell r="A237" t="str">
            <v>Sweden</v>
          </cell>
        </row>
        <row r="238">
          <cell r="A238" t="str">
            <v>Switzerland</v>
          </cell>
        </row>
        <row r="239">
          <cell r="A239" t="str">
            <v>Syrian Arab Republic</v>
          </cell>
        </row>
        <row r="240">
          <cell r="A240" t="str">
            <v>Taiwan</v>
          </cell>
        </row>
        <row r="241">
          <cell r="A241" t="str">
            <v>Tajikistan</v>
          </cell>
        </row>
        <row r="242">
          <cell r="A242" t="str">
            <v>Tanzania</v>
          </cell>
        </row>
        <row r="243">
          <cell r="A243" t="str">
            <v>Thailand</v>
          </cell>
        </row>
        <row r="244">
          <cell r="A244" t="str">
            <v>Timor-Leste</v>
          </cell>
        </row>
        <row r="245">
          <cell r="A245" t="str">
            <v>Togo</v>
          </cell>
        </row>
        <row r="246">
          <cell r="A246" t="str">
            <v>Tokelau</v>
          </cell>
        </row>
        <row r="247">
          <cell r="A247" t="str">
            <v>Tonga</v>
          </cell>
        </row>
        <row r="248">
          <cell r="A248" t="str">
            <v>Trinidad and Tobago</v>
          </cell>
        </row>
        <row r="249">
          <cell r="A249" t="str">
            <v>Tunisia</v>
          </cell>
        </row>
        <row r="250">
          <cell r="A250" t="str">
            <v>Turkey</v>
          </cell>
        </row>
        <row r="251">
          <cell r="A251" t="str">
            <v>Turkmenistan</v>
          </cell>
        </row>
        <row r="252">
          <cell r="A252" t="str">
            <v>Turks and Caicos Islands</v>
          </cell>
        </row>
        <row r="253">
          <cell r="A253" t="str">
            <v>Tuvalu</v>
          </cell>
        </row>
        <row r="254">
          <cell r="A254" t="str">
            <v>Uganda</v>
          </cell>
        </row>
        <row r="255">
          <cell r="A255" t="str">
            <v>Ukraine</v>
          </cell>
        </row>
        <row r="256">
          <cell r="A256" t="str">
            <v>United Arab Emirates</v>
          </cell>
        </row>
        <row r="257">
          <cell r="A257" t="str">
            <v>United Kingdom of Great Britain and Northern Ireland</v>
          </cell>
        </row>
        <row r="258">
          <cell r="A258" t="str">
            <v>United States Minor Outlying Islands</v>
          </cell>
        </row>
        <row r="259">
          <cell r="A259" t="str">
            <v>United States of America</v>
          </cell>
        </row>
        <row r="260">
          <cell r="A260" t="str">
            <v>Uruguay</v>
          </cell>
        </row>
        <row r="261">
          <cell r="A261" t="str">
            <v>Uzbekistan</v>
          </cell>
        </row>
        <row r="262">
          <cell r="A262" t="str">
            <v>Vanuatu</v>
          </cell>
        </row>
        <row r="263">
          <cell r="A263" t="str">
            <v>Venezuela (Bolivarian Republic of)</v>
          </cell>
        </row>
        <row r="264">
          <cell r="A264" t="str">
            <v>Viet Nam</v>
          </cell>
        </row>
        <row r="265">
          <cell r="A265" t="str">
            <v>Virgin Islands (British)</v>
          </cell>
        </row>
        <row r="266">
          <cell r="A266" t="str">
            <v>Virgin Islands (U.S.)</v>
          </cell>
        </row>
        <row r="267">
          <cell r="A267" t="str">
            <v>Wales</v>
          </cell>
        </row>
        <row r="268">
          <cell r="A268" t="str">
            <v>Wallis and Futuna</v>
          </cell>
        </row>
        <row r="269">
          <cell r="A269" t="str">
            <v>Western Asia</v>
          </cell>
        </row>
        <row r="270">
          <cell r="A270" t="str">
            <v>Western Europe</v>
          </cell>
        </row>
        <row r="271">
          <cell r="A271" t="str">
            <v>Western Sahara</v>
          </cell>
        </row>
        <row r="272">
          <cell r="A272" t="str">
            <v>World</v>
          </cell>
        </row>
        <row r="273">
          <cell r="A273" t="str">
            <v>Yemen</v>
          </cell>
        </row>
        <row r="274">
          <cell r="A274" t="str">
            <v>Zambia</v>
          </cell>
        </row>
        <row r="275">
          <cell r="A275" t="str">
            <v>Zimbabwe</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W1_Issuer Input"/>
      <sheetName val="WW2_BOD_calculations"/>
      <sheetName val="WW3_Emissions_baseline"/>
      <sheetName val="WW4_Emissions_calculations"/>
      <sheetName val="WW4.5_Sludge_disposal"/>
      <sheetName val="WW3.5_WTE_emissions_avoided"/>
      <sheetName val="WW5_Output"/>
      <sheetName val="UnitConversion"/>
      <sheetName val="Conversion_tables"/>
      <sheetName val="EIB_EFs"/>
      <sheetName val="IPCC_WWTP_data"/>
      <sheetName val="Benchmark_DB"/>
      <sheetName val="TTW_EF_data"/>
      <sheetName val="WTT_EF_data"/>
      <sheetName val="DB_Output"/>
      <sheetName val="Currency_Conversion"/>
      <sheetName val="Review_Report"/>
      <sheetName val="BOD_IP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2022+2023"/>
      <sheetName val="Type of expenditure"/>
      <sheetName val="Instructions"/>
      <sheetName val="Drop list"/>
      <sheetName val="Social projects (SP)"/>
      <sheetName val="Green projects (GP)"/>
      <sheetName val="Podatki APPrA"/>
      <sheetName val="ESG"/>
      <sheetName val="Portfolio nr. 1"/>
      <sheetName val="Portfolio nr. 2"/>
      <sheetName val="Portfolio nr. 3"/>
      <sheetName val="Portfolio nr. 4"/>
      <sheetName val="Portfolio nr. 5"/>
      <sheetName val="Portfolio nr. 92"/>
      <sheetName val="Portfolio nr. 93"/>
      <sheetName val="Portfolio nr. 94"/>
      <sheetName val="Portfolio nr. 95"/>
      <sheetName val="Portfolio nr. 96"/>
      <sheetName val="Portfolio nr.156"/>
    </sheetNames>
    <sheetDataSet>
      <sheetData sheetId="0"/>
      <sheetData sheetId="1">
        <row r="10">
          <cell r="B10" t="str">
            <v>Allocated amount</v>
          </cell>
        </row>
        <row r="11">
          <cell r="A11" t="str">
            <v xml:space="preserve">investment expenditure </v>
          </cell>
          <cell r="B11">
            <v>480701591.52999985</v>
          </cell>
        </row>
        <row r="12">
          <cell r="A12" t="str">
            <v>subsidies, grant, loans</v>
          </cell>
          <cell r="B12">
            <v>135653828.08000001</v>
          </cell>
        </row>
        <row r="13">
          <cell r="A13" t="str">
            <v xml:space="preserve">intervention expenditure </v>
          </cell>
          <cell r="B13">
            <v>213836420.69999999</v>
          </cell>
        </row>
        <row r="14">
          <cell r="A14" t="str">
            <v xml:space="preserve">operating expenditure </v>
          </cell>
          <cell r="B14">
            <v>419808159.35000002</v>
          </cell>
        </row>
        <row r="15">
          <cell r="A15" t="str">
            <v>Total</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ja Gartner" refreshedDate="45439.336189236114" createdVersion="8" refreshedVersion="8" minRefreshableVersion="3" recordCount="33" xr:uid="{273103AD-0817-4865-B94A-F40DCA6331E9}">
  <cacheSource type="worksheet">
    <worksheetSource name="Green"/>
  </cacheSource>
  <cacheFields count="18">
    <cacheField name="Project nr. " numFmtId="0">
      <sharedItems containsSemiMixedTypes="0" containsString="0" containsNumber="1" containsInteger="1" minValue="1" maxValue="33"/>
    </cacheField>
    <cacheField name="NRP. Nr. " numFmtId="0">
      <sharedItems/>
    </cacheField>
    <cacheField name="Project name " numFmtId="0">
      <sharedItems/>
    </cacheField>
    <cacheField name="Description and rationale for green / social expense eligibility " numFmtId="0">
      <sharedItems longText="1"/>
    </cacheField>
    <cacheField name=" GBP Category" numFmtId="0">
      <sharedItems count="2">
        <s v="Low carbon transportation"/>
        <s v="Sustainable Envrionmental Management "/>
      </sharedItems>
    </cacheField>
    <cacheField name="Subcategory" numFmtId="0">
      <sharedItems count="5">
        <s v="Sustainable regional, local and urban mobility"/>
        <s v="Cycling infrastructure"/>
        <s v="Rolling stock"/>
        <s v="Railway infrastructure"/>
        <s v="Organic farming activities and incentives"/>
      </sharedItems>
    </cacheField>
    <cacheField name="UN SDG goal" numFmtId="0">
      <sharedItems/>
    </cacheField>
    <cacheField name="EU taxonomy goal" numFmtId="0">
      <sharedItems/>
    </cacheField>
    <cacheField name="EU taxonomy clasification" numFmtId="0">
      <sharedItems containsNonDate="0" containsString="0" containsBlank="1"/>
    </cacheField>
    <cacheField name="Type of expenditure" numFmtId="0">
      <sharedItems count="3">
        <s v="investment expenditure "/>
        <s v="subsidies, grant, loans"/>
        <s v="- subsidies, grant, loans" u="1"/>
      </sharedItems>
    </cacheField>
    <cacheField name="Beneficiary" numFmtId="0">
      <sharedItems containsBlank="1"/>
    </cacheField>
    <cacheField name="Phase of the project" numFmtId="0">
      <sharedItems/>
    </cacheField>
    <cacheField name="Total project amount (EUR)" numFmtId="3">
      <sharedItems containsSemiMixedTypes="0" containsString="0" containsNumber="1" containsInteger="1" minValue="4388518" maxValue="1077845074"/>
    </cacheField>
    <cacheField name="RS financing amount (EUR)" numFmtId="3">
      <sharedItems containsSemiMixedTypes="0" containsString="0" containsNumber="1" containsInteger="1" minValue="236644" maxValue="340989605"/>
    </cacheField>
    <cacheField name="Bond eligible amount (EUR)_x000a_Σ 22+23" numFmtId="3">
      <sharedItems containsSemiMixedTypes="0" containsString="0" containsNumber="1" containsInteger="1" minValue="206334" maxValue="57997097"/>
    </cacheField>
    <cacheField name="RS financing 2022 (EUR)" numFmtId="3">
      <sharedItems containsSemiMixedTypes="0" containsString="0" containsNumber="1" containsInteger="1" minValue="0" maxValue="21981243"/>
    </cacheField>
    <cacheField name="RS financing 2023 (EUR)" numFmtId="3">
      <sharedItems containsSemiMixedTypes="0" containsString="0" containsNumber="1" containsInteger="1" minValue="181959" maxValue="52577529"/>
    </cacheField>
    <cacheField name="Responsible Ministry"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ja Gartner" refreshedDate="45439.336189930553" createdVersion="8" refreshedVersion="8" minRefreshableVersion="3" recordCount="123" xr:uid="{E8584D3D-24C7-401E-B08E-4DB51ABBD74A}">
  <cacheSource type="worksheet">
    <worksheetSource name="Social"/>
  </cacheSource>
  <cacheFields count="17">
    <cacheField name="Project nr. " numFmtId="0">
      <sharedItems containsSemiMixedTypes="0" containsString="0" containsNumber="1" containsInteger="1" minValue="1" maxValue="123"/>
    </cacheField>
    <cacheField name="NRP nr. " numFmtId="0">
      <sharedItems/>
    </cacheField>
    <cacheField name="Project name " numFmtId="0">
      <sharedItems longText="1"/>
    </cacheField>
    <cacheField name="Description and rationale for social eligibility " numFmtId="0">
      <sharedItems longText="1"/>
    </cacheField>
    <cacheField name=" _x000a_SBP Category" numFmtId="0">
      <sharedItems count="3">
        <s v="Access to Essential Services - Healthcare "/>
        <s v="Access to Essential Services - Social Inclusion"/>
        <s v="Access to Essential Services - Education "/>
      </sharedItems>
    </cacheField>
    <cacheField name="Sub-category" numFmtId="0">
      <sharedItems count="9">
        <s v="Health institutions construction, renovation, and equipping"/>
        <s v="Health care system development"/>
        <s v="Health services"/>
        <s v="Health professionals training"/>
        <s v="Social activation"/>
        <s v="Pre-school"/>
        <s v="Primary school"/>
        <s v="Secondary school"/>
        <s v="Natural disaster infrastructure restoration"/>
      </sharedItems>
    </cacheField>
    <cacheField name="UN SDG goal" numFmtId="0">
      <sharedItems containsBlank="1"/>
    </cacheField>
    <cacheField name="Type of expenditure" numFmtId="0">
      <sharedItems count="4">
        <s v="investment expenditure "/>
        <s v="intervention expenditure "/>
        <s v="operating expenditure "/>
        <s v="subsidies, grant, loans"/>
      </sharedItems>
    </cacheField>
    <cacheField name="Beneficiary" numFmtId="0">
      <sharedItems containsBlank="1"/>
    </cacheField>
    <cacheField name="Target Population " numFmtId="0">
      <sharedItems/>
    </cacheField>
    <cacheField name="Phase of the project" numFmtId="0">
      <sharedItems/>
    </cacheField>
    <cacheField name="Total project amount (EUR)" numFmtId="3">
      <sharedItems containsSemiMixedTypes="0" containsString="0" containsNumber="1" containsInteger="1" minValue="11182" maxValue="837577863"/>
    </cacheField>
    <cacheField name="Total RS financing amount (EUR)" numFmtId="3">
      <sharedItems containsSemiMixedTypes="0" containsString="0" containsNumber="1" containsInteger="1" minValue="11182" maxValue="434302404"/>
    </cacheField>
    <cacheField name="Bond eligible amount (EUR)_x000a_Σ 22+23" numFmtId="3">
      <sharedItems containsSemiMixedTypes="0" containsString="0" containsNumber="1" containsInteger="1" minValue="2240" maxValue="136665470"/>
    </cacheField>
    <cacheField name="RS financing 2022 (EUR)" numFmtId="3">
      <sharedItems containsSemiMixedTypes="0" containsString="0" containsNumber="1" containsInteger="1" minValue="0" maxValue="86061257"/>
    </cacheField>
    <cacheField name="RS financing 2023 (EUR)" numFmtId="3">
      <sharedItems containsSemiMixedTypes="0" containsString="0" containsNumber="1" containsInteger="1" minValue="0" maxValue="136665470"/>
    </cacheField>
    <cacheField name="Responsible Ministr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n v="1"/>
    <s v="Portfolio of projects nr. 92"/>
    <s v="Implementation of the Integrated Territorial Investment Mechanism which implements measures contributing to sustainable, green, resilient and smart mobility for the general public, such as meausres set out in Sustainable Urban Mobility Plans "/>
    <s v="In order to successfully achieve and exceed the GHG emission reduction target (non-ETS), it is important to manage and reduce emissions in all the areas involved in transport. Implementation of the Integrated Territorial Investment Mechanism (ESRR VZHOD) covered the measures contributing to sustainable, green, resilient and smart mobility / addressing the general public"/>
    <x v="0"/>
    <x v="0"/>
    <s v="Sustainable cities and communities"/>
    <s v="Climate change mitigation"/>
    <m/>
    <x v="0"/>
    <s v="municipalities"/>
    <s v="Execution"/>
    <n v="19387597"/>
    <n v="2198804"/>
    <n v="1588525"/>
    <n v="797458"/>
    <n v="791067"/>
    <s v="Ministry of the Environment, Climate and Energy"/>
  </r>
  <r>
    <n v="2"/>
    <s v="Portfolio of projects nr. 93"/>
    <s v="Implementation of the Integrated Territorial Investment Mechanism which implements measures contributing to sustainable, green, resilient and smart mobility for the general public, such as meausres set out in Sustainable Urban Mobility Plans "/>
    <s v="In order to successfully achieve and exceed the GHG emission reduction target (non-ETS), it is important to manage and reduce emissions in all the areas involved in transport. Implementation of the Integrated Territorial Investment Mechanism (ESRR ZAHOD) covered the measures contributing to sustainable, green, resilient and smart mobility / addressing the general public."/>
    <x v="0"/>
    <x v="0"/>
    <s v="Sustainable cities and communities"/>
    <s v="Climate change mitigation"/>
    <m/>
    <x v="0"/>
    <s v="municipalities"/>
    <s v="Execution"/>
    <n v="13204392"/>
    <n v="471275"/>
    <n v="400456"/>
    <n v="100709"/>
    <n v="299747"/>
    <s v="Ministry of the Environment, Climate and Energy"/>
  </r>
  <r>
    <n v="3"/>
    <s v="Portfolio of projects nr. 95"/>
    <s v="Projects identified by the Slovenian Regional Development Agencies linked to promoting multimodal urban mobility, including the construction of regional cycling connections to ensure sustainable mobility "/>
    <s v="In order to successfully achieve and exceed the GHG emission reduction target (non-ETS), it is important to manage and reduce emissions in all the areas involved in transport. Agreement on regional development (ESRR VZHOD) covered the measures contributing to sustainable, green, resilient and smart mobility / addressing the general public."/>
    <x v="0"/>
    <x v="1"/>
    <s v="Sustainable cities and communities"/>
    <s v="Climate change mitigation"/>
    <m/>
    <x v="0"/>
    <s v="municipalities, DRSI (public authority)"/>
    <s v="Execution"/>
    <n v="187536741"/>
    <n v="42963466"/>
    <n v="30292468"/>
    <n v="10449553"/>
    <n v="19842915"/>
    <s v="Ministry of Infrastructure"/>
  </r>
  <r>
    <n v="4"/>
    <s v="Portfolio of projects nr. 96"/>
    <s v="Projects identified by the Slovenian Regional Development Agencies linked to promoting multimodal urban mobility, including the construction of regional cycling connections to ensure sustainable mobility "/>
    <s v="In order to successfully achieve and exceed the GHG emission reduction target (non-ETS), it is important to manage and reduce emissions in all the areas involved in transport. Agreement on regional development (ESRR ZAHOD) covered the measures contributing to sustainable, green, resilient and smart mobility / addressing the general public."/>
    <x v="0"/>
    <x v="1"/>
    <s v="Sustainable cities and communities"/>
    <s v="Climate change mitigation"/>
    <m/>
    <x v="0"/>
    <s v="municipalities, DRSI (public authority)"/>
    <s v="Execution"/>
    <n v="188450507"/>
    <n v="340989605"/>
    <n v="20651873"/>
    <n v="5098108"/>
    <n v="15553765"/>
    <s v="Ministry of Infrastructure"/>
  </r>
  <r>
    <n v="5"/>
    <s v="2415-05-0025"/>
    <s v="Construction of cycling connections between Brezovica, Vrhnika and Logatec to ensure sustainable mobility"/>
    <s v="Construction of cycling connection to ensure sustainable mobility."/>
    <x v="0"/>
    <x v="1"/>
    <s v="Sustainable cities and communities"/>
    <s v="Climate change mitigation"/>
    <m/>
    <x v="0"/>
    <s v="DRSI (public authority)"/>
    <s v="Execution"/>
    <n v="15189338"/>
    <n v="4085367"/>
    <n v="1322604"/>
    <n v="1037218"/>
    <n v="285386"/>
    <s v="Ministry of Infrastructure"/>
  </r>
  <r>
    <n v="6"/>
    <s v="2415-08-0011"/>
    <s v="Construction of cycling connections between Rogaška Slatina, Podčetrtek and Bistrica ob Sotli to ensure sustainable mobility"/>
    <s v="Construction of cycling connection to ensure sustainable mobility."/>
    <x v="0"/>
    <x v="1"/>
    <s v="Sustainable cities and communities"/>
    <s v="Climate change mitigation"/>
    <m/>
    <x v="0"/>
    <s v="DRSI (public authority)"/>
    <s v="Project closure"/>
    <n v="8058933"/>
    <n v="3239260"/>
    <n v="1587057"/>
    <n v="1323024"/>
    <n v="264033"/>
    <s v="Ministry of Infrastructure"/>
  </r>
  <r>
    <n v="7"/>
    <s v="2431-18-0111"/>
    <s v="Construction of long-distance cycle connections in the area of ​​the northern part of the Ljubljana urban region to ensure safer traffic"/>
    <s v="The purpose of the project is to ensure safer traffic for the weakest participants and increase the tourist attractiveness of the location. Construction of long-distance cycle connections in the area of ​​the northern part of the Ljubljana urban region."/>
    <x v="0"/>
    <x v="1"/>
    <s v="Sustainable cities and communities"/>
    <s v="Climate change mitigation"/>
    <m/>
    <x v="0"/>
    <s v="DRSI (public authority)"/>
    <s v="Execution"/>
    <n v="11468568"/>
    <n v="236644"/>
    <n v="236644"/>
    <n v="0"/>
    <n v="236644"/>
    <s v="Ministry of Infrastructure"/>
  </r>
  <r>
    <n v="8"/>
    <s v="2431-18-0131"/>
    <s v="Construction of long-distance cycle connections in the area of Mežička dolina to ensure safer traffic"/>
    <s v="The purpose of the project is to ensure safer traffic for the weakest participants and increase the tourist attractiveness of the location. Construction of long-distance cycle connections in the area of Mežička dolina."/>
    <x v="0"/>
    <x v="1"/>
    <s v="Sustainable cities and communities"/>
    <s v="Climate change mitigation"/>
    <m/>
    <x v="0"/>
    <s v="DRSI (public authority)"/>
    <s v="Execution"/>
    <n v="4388518"/>
    <n v="1020168"/>
    <n v="1020168"/>
    <n v="0"/>
    <n v="1020168"/>
    <s v="Ministry of Infrastructure"/>
  </r>
  <r>
    <n v="9"/>
    <s v="2431-19-0111"/>
    <s v="Construction of 103km of cycling routes across 11 municipalities "/>
    <s v="_x000a_The goals of the investment are the construction of cycling areas in 11 municipalities with a total length of 103 km."/>
    <x v="0"/>
    <x v="1"/>
    <s v="Sustainable cities and communities"/>
    <s v="Climate change mitigation"/>
    <m/>
    <x v="0"/>
    <s v="DRSI (public authority)"/>
    <s v="Execution"/>
    <n v="25305391"/>
    <n v="4966362"/>
    <n v="1982949"/>
    <n v="0"/>
    <n v="1982949"/>
    <s v="Ministry of Infrastructure"/>
  </r>
  <r>
    <n v="10"/>
    <s v="2431-18-0138"/>
    <s v="Procurement of electric rolling stock"/>
    <s v="Procurement of rolling stock to modernize the rolling stock in order to increase the competitiveness of rail transport compared to other modes of transport; in line with the envisaged infrastructure improvements."/>
    <x v="0"/>
    <x v="2"/>
    <s v="Industry, innovation and infrastructure"/>
    <s v="Climate change mitigation"/>
    <m/>
    <x v="0"/>
    <m/>
    <s v="Execution"/>
    <n v="160754551"/>
    <n v="77576986"/>
    <n v="23320066"/>
    <n v="11660033"/>
    <n v="11660033"/>
    <s v="Ministry of Infrastructure"/>
  </r>
  <r>
    <n v="11"/>
    <s v="2431-16-0019"/>
    <s v="Upgrade of the railway section Zidani Most-Celje - 2nd phase Upgrade to increase line capacity, safety, and interoperability"/>
    <s v="Upgrading of an existing railway line / section to ensure category D4 (22.5 t / axle and 80 kN / m1), upgrading of stations, off-level access to platforms in accordance with TSIs, increase of line capacity, increase of traffic safety level and thus interoperability."/>
    <x v="0"/>
    <x v="3"/>
    <s v="Industry, innovation and infrastructure"/>
    <s v="Climate change mitigation"/>
    <m/>
    <x v="0"/>
    <m/>
    <s v="Project closure"/>
    <n v="226068847"/>
    <n v="121426191"/>
    <n v="11780652"/>
    <n v="6544717"/>
    <n v="5235935"/>
    <s v="Ministry of Infrastructure"/>
  </r>
  <r>
    <n v="12"/>
    <s v="2431-16-0020"/>
    <s v="Installation of the ETCS system on part of the X. rail corridor to enable interoperability of the rail network"/>
    <s v="Installation of the ETCS system on lines, which enables interoperability of the entire core network or Introduction of ETCS on the missing part of the corridor lines."/>
    <x v="0"/>
    <x v="3"/>
    <s v="Industry, innovation and infrastructure"/>
    <s v="Climate change mitigation"/>
    <m/>
    <x v="0"/>
    <m/>
    <s v="Execution"/>
    <n v="21171349"/>
    <n v="10210599"/>
    <n v="1562367"/>
    <n v="573123"/>
    <n v="989244"/>
    <s v="Ministry of Infrastructure"/>
  </r>
  <r>
    <n v="13"/>
    <s v="2431-16-0010"/>
    <s v="Upgrade of the Karavanke railway tunnel"/>
    <s v="Upgrading of the Karavanke railway tunnel or improving / ensuring safety conditions in the Karavanke tunnel in accordance with TSIs, increasing the level of traffic safety and thus interoperability."/>
    <x v="0"/>
    <x v="3"/>
    <s v="Industry, innovation and infrastructure"/>
    <s v="Climate change mitigation"/>
    <m/>
    <x v="0"/>
    <m/>
    <s v="Project closure"/>
    <n v="77048417"/>
    <n v="22701849"/>
    <n v="8543000"/>
    <n v="3828195"/>
    <n v="4714805"/>
    <s v="Ministry of Infrastructure"/>
  </r>
  <r>
    <n v="14"/>
    <s v="2431-16-0007"/>
    <s v="Construction of the II. track Maribor-Šentilj 2nd phase to increase capacity, safety, and interoperability"/>
    <s v="Upgrading of an existing railway line / section to ensure category D4 (22.5 t / axle and 80 kN / m1), upgrading of stations, off-level access to platforms in accordance with TSIs, increase of line capacity, increase of traffic safety level and thus interoperability."/>
    <x v="0"/>
    <x v="3"/>
    <s v="Industry, innovation and infrastructure"/>
    <s v="Climate change mitigation"/>
    <m/>
    <x v="0"/>
    <m/>
    <s v="Execution"/>
    <n v="312176181"/>
    <n v="92686038"/>
    <n v="56254732"/>
    <n v="21981243"/>
    <n v="34273489"/>
    <s v="Ministry of Infrastructure"/>
  </r>
  <r>
    <n v="15"/>
    <s v="2411-07-0016"/>
    <s v="Construction of a new railway line between Divača and Koper, in particular the construction of a tunnel and two viaducts"/>
    <s v="Construction of a new line or. 2nd track Divača-Koper in accordance with the TSI, increasing the level of traffic safety and thus interoperability."/>
    <x v="0"/>
    <x v="3"/>
    <s v="Industry, innovation and infrastructure"/>
    <s v="Climate change mitigation"/>
    <m/>
    <x v="0"/>
    <m/>
    <s v="Performance/monitoring"/>
    <n v="1077845074"/>
    <n v="26965552"/>
    <n v="11961018"/>
    <n v="3985371"/>
    <n v="7975647"/>
    <s v="Ministry of Infrastructure"/>
  </r>
  <r>
    <n v="16"/>
    <s v="2431-16-0006"/>
    <s v="Upgrading the existing Node Pragersko railway station to increase safety and interoperability "/>
    <s v="Upgrading of the existing railway station to ensure category D4 (22.5 t / axle and 80 kN / m1), off-level access to platforms, upgrading of platforms in accordance with TSIs, increasing the level of traffic safety and thus interoperability."/>
    <x v="0"/>
    <x v="3"/>
    <s v="Industry, innovation and infrastructure"/>
    <s v="Climate change mitigation"/>
    <m/>
    <x v="0"/>
    <m/>
    <s v="Execution"/>
    <n v="107946912"/>
    <n v="46985685"/>
    <n v="33130460"/>
    <n v="17619054"/>
    <n v="15511406"/>
    <s v="Ministry of Infrastructure"/>
  </r>
  <r>
    <n v="17"/>
    <s v="2431-19-0016"/>
    <s v="Upgrading the existing Grosuplje railway station to increase safety and interoperability "/>
    <s v="Upgrading of the existing railway station to ensure category D4 (22.5 t / axle and 80 kN / m1), off-level access to platforms, upgrading of platforms in accordance with TSIs, increasing the level of traffic safety and thus interoperability."/>
    <x v="0"/>
    <x v="3"/>
    <s v="Industry, innovation and infrastructure"/>
    <s v="Climate change mitigation"/>
    <m/>
    <x v="0"/>
    <m/>
    <s v="Execution"/>
    <n v="18800042"/>
    <n v="2434337"/>
    <n v="2434338"/>
    <n v="1904282"/>
    <n v="530056"/>
    <s v="Ministry of Infrastructure"/>
  </r>
  <r>
    <n v="18"/>
    <s v="2431-20-0025"/>
    <s v="Upgrade of existing railway line between Ljubljana and Jesenice 2nd phase to increase capacity, safety, and interoperability"/>
    <s v="Upgrading of the existing railway line / section, upgrading of stations, out-of-level access to platforms in accordance with TSIs, increase of the level of traffic safety and thus of interoperability."/>
    <x v="0"/>
    <x v="3"/>
    <s v="Industry, innovation and infrastructure"/>
    <s v="Climate change mitigation"/>
    <m/>
    <x v="0"/>
    <m/>
    <s v="Planning"/>
    <n v="108256436"/>
    <n v="16295875"/>
    <n v="4016739"/>
    <n v="852644"/>
    <n v="3164095"/>
    <s v="Ministry of Infrastructure"/>
  </r>
  <r>
    <n v="19"/>
    <s v="2431-22-0029"/>
    <s v="Upgrade of existing railway line between Ljubljana and Divača 3rd phase to increase capacity, safety, and interoperability"/>
    <s v="Upgrading the existing railway line / section, upgrading stations and stops, out-of-level access to platforms in accordance with TSIs, increasing the level of traffic safety and thus interoperability."/>
    <x v="0"/>
    <x v="3"/>
    <s v="Industry, innovation and infrastructure"/>
    <s v="Climate change mitigation"/>
    <m/>
    <x v="0"/>
    <m/>
    <s v="Execution"/>
    <n v="312945884"/>
    <n v="91801945"/>
    <n v="57997097"/>
    <n v="5419568"/>
    <n v="52577529"/>
    <s v="Ministry of Infrastructure"/>
  </r>
  <r>
    <n v="20"/>
    <s v="2431-20-0030"/>
    <s v="Upgrading the Ljubljana train station to reduce bottlenecks, and improve safety and interoperability"/>
    <s v="Upgrading an existing railway station to reduce bottlenecks, upgrading platforms in accordance with TSIs, increasing the level of traffic safety and thus interoperability."/>
    <x v="0"/>
    <x v="3"/>
    <s v="Industry, innovation and infrastructure"/>
    <s v="Climate change mitigation"/>
    <m/>
    <x v="0"/>
    <m/>
    <s v="Planning"/>
    <n v="108609256"/>
    <n v="29293066"/>
    <n v="12102351"/>
    <n v="3234070"/>
    <n v="8868281"/>
    <s v="Ministry of Infrastructure"/>
  </r>
  <r>
    <n v="21"/>
    <s v="2431-19-0119"/>
    <s v="Reconstraction of the Domžale train station to reduce bottlenecks, and improve safety and interoperability"/>
    <s v="Upgrading of the existing railway station to ensure category D4 (22.5 t / axle and 80 kN / m1), off-level access to platforms, upgrading of platforms in accordance with TSIs, increasing the level of traffic safety and thus interoperability."/>
    <x v="0"/>
    <x v="3"/>
    <s v="Industry, innovation and infrastructure"/>
    <s v="Climate change mitigation"/>
    <m/>
    <x v="0"/>
    <m/>
    <s v="Execution"/>
    <n v="18332786"/>
    <n v="4889601"/>
    <n v="4189601"/>
    <n v="992436"/>
    <n v="3197165"/>
    <s v="Ministry of Infrastructure"/>
  </r>
  <r>
    <n v="22"/>
    <s v="2431-20-0039"/>
    <s v="Upgrading the Krško train station to reduce bottlenecks, and improve safety and interoperability"/>
    <s v="Upgrading of an existing railway station, level access to platforms, upgrading of platforms in accordance with TSIs, increasing the level of traffic safety and thus interoperability."/>
    <x v="0"/>
    <x v="3"/>
    <s v="Industry, innovation and infrastructure"/>
    <s v="Climate change mitigation"/>
    <m/>
    <x v="0"/>
    <m/>
    <s v="Planning"/>
    <n v="42236225"/>
    <n v="2960326"/>
    <n v="206334"/>
    <n v="24375"/>
    <n v="181959"/>
    <s v="Ministry of Infrastructure"/>
  </r>
  <r>
    <n v="23"/>
    <s v="2431-20-0040"/>
    <s v="Upgrading the Sevnica train station to reduce bottlenecks, and improve safety and interoperability"/>
    <s v="Upgrading of an existing railway station, level access to platforms, upgrading of platforms in accordance with TSIs, increasing the level of traffic safety and thus interoperability."/>
    <x v="0"/>
    <x v="3"/>
    <s v="Industry, innovation and infrastructure"/>
    <s v="Climate change mitigation"/>
    <m/>
    <x v="0"/>
    <m/>
    <s v="Planning"/>
    <n v="47534395"/>
    <n v="1526423"/>
    <n v="340844"/>
    <n v="11735"/>
    <n v="329109"/>
    <s v="Ministry of Infrastructure"/>
  </r>
  <r>
    <n v="24"/>
    <s v="2431-21-0180"/>
    <s v="Measures in the railway area of Ljubljana stations-1. phase between Šiška, Moste-Polje, Zalog and Ljubljana to increase capacity, safety, and interoperability, as well as reduce bottlenecks"/>
    <s v="Upgrading of existing lines / sections, upgrading of existing bottlenecks to reduce bottlenecks, upgrading of platforms in accordance with TSIs, increasing the level of traffic safety and thus interoperability and the possibility of suburban transport with a timetable."/>
    <x v="0"/>
    <x v="3"/>
    <s v="Industry, innovation and infrastructure"/>
    <s v="Climate change mitigation"/>
    <m/>
    <x v="0"/>
    <m/>
    <s v="Planning"/>
    <n v="15376184"/>
    <n v="9501762"/>
    <n v="423520"/>
    <n v="0"/>
    <n v="423520"/>
    <s v="Ministry of Infrastructure"/>
  </r>
  <r>
    <n v="25"/>
    <s v="2431-21-0183"/>
    <s v="Upgrade of the railway line Divača-Sežana-state border - Phase 1 to increase capacity, safety, and interoperability"/>
    <s v="Project documentation for the upgrade of the railway line / section, arrangement of level crossings of roads / railways, increase of the level of traffic safety and thus interoperability."/>
    <x v="0"/>
    <x v="3"/>
    <s v="Industry, innovation and infrastructure"/>
    <s v="Climate change mitigation"/>
    <m/>
    <x v="0"/>
    <s v="Ministry of Infrastructure"/>
    <s v="Planning"/>
    <n v="6655619"/>
    <n v="2514316"/>
    <n v="333316"/>
    <n v="0"/>
    <n v="333316"/>
    <s v="Ministry of Infrastructure"/>
  </r>
  <r>
    <n v="26"/>
    <s v="2330-15-0011"/>
    <s v="Area-related meausres aimed at supporting farmers who voluntarily undertake sustainable agricultural practices under the Rural Development Programme"/>
    <s v="Reconstruction, conservation and improvement of ecosystems related to agruculture and forestry; Renewal, conservation and improvement of biodiversity. Different measures: organic farming, Agri-environment-climate payments and Payments to areas facing natural or other specific constraints. These measures support agriculture in its environmental function and encourages above-standard sustainable agricultural practices which are aimed at:_x000a_• preserving biodiversity and landscape;_x000a_• appropriate water and soil management;_x000a_• mitigating and adapting farming to climate change. _x000a_ "/>
    <x v="1"/>
    <x v="4"/>
    <s v="Responsible consumption and production"/>
    <s v="Climate change mitigation"/>
    <m/>
    <x v="1"/>
    <m/>
    <s v="Execution"/>
    <n v="735636373"/>
    <n v="187662637"/>
    <n v="35938148"/>
    <n v="21093896"/>
    <n v="14844252"/>
    <s v="Ministry of Agriculture, Forestry and Food"/>
  </r>
  <r>
    <n v="27"/>
    <s v="Portfolio of projects nr. 94"/>
    <s v="Implementation of the Integrated Territorial Investment Mechanism which implements measures contributing to sustainable, green, resilient and smart mobility for the general public, such as meausres set out in Sustainable Urban Mobility Plans "/>
    <s v="In order to successfully achieve and exceed the GHG emission reduction target (non-ETS), it is important to manage and reduce emissions in all the areas involved in transport. Implementation of the Integrated Territorial Investment Mechanism (KS) covered the measures contributing to sustainable, green, resilient and smart mobility / addressing the general public."/>
    <x v="0"/>
    <x v="0"/>
    <s v="Sustainable cities and communities"/>
    <s v="Climate change mitigation"/>
    <m/>
    <x v="0"/>
    <s v="municipalities"/>
    <s v="Execution"/>
    <n v="16173935"/>
    <n v="1680794"/>
    <n v="799309"/>
    <n v="477290"/>
    <n v="322019"/>
    <s v="Ministry of the Environment, Climate and Energy"/>
  </r>
  <r>
    <n v="28"/>
    <s v="2431-21-0161"/>
    <s v="Upgrade of the Ljubljana-Divača railway line - 2nd phase between Ljubljana and Brezovica to increase capacity, safety, and interoperability"/>
    <s v="Upgrading the existing railway line / section, upgrading stations and stops, out-of-level access to platforms in accordance with TSIs, increasing the level of traffic safety and thus interoperability."/>
    <x v="0"/>
    <x v="3"/>
    <s v="Industry, innovation and infrastructure"/>
    <s v="Climate change mitigation"/>
    <m/>
    <x v="0"/>
    <s v="Ministry of Infrastructure"/>
    <s v="Execution"/>
    <n v="69144014"/>
    <n v="10458957"/>
    <n v="10448957"/>
    <n v="7952624"/>
    <n v="2496333"/>
    <s v="Ministry of Infrastructure"/>
  </r>
  <r>
    <n v="29"/>
    <s v="2431-22-0018"/>
    <s v="Upgrade of the railway line state border-Dobova-Zidani Most - 1st phase - Project documentation to upgrade the existing railway line between Dobova and Zidani Most to increase capacity, safety, and interoperability"/>
    <s v="Project documentation for the upgrade of the railway line / section, arrangement of level crossings of roads / railways, increase of the level of traffic safety and thus interoperability."/>
    <x v="0"/>
    <x v="3"/>
    <s v="Industry, innovation and infrastructure"/>
    <s v="Climate change mitigation"/>
    <m/>
    <x v="0"/>
    <s v="Ministry of Infrastructure"/>
    <s v="Planning"/>
    <n v="16313094"/>
    <n v="9800202"/>
    <n v="3209841"/>
    <n v="39018"/>
    <n v="3170823"/>
    <s v="Ministry of Infrastructure"/>
  </r>
  <r>
    <n v="30"/>
    <s v="2431-22-0026"/>
    <s v="Upgrading the Jesenice train station to mprove safety and interoperability, as well as include a new underpass for padestrians and cyclists"/>
    <s v="Upgrading of an existing railway station, level access to platforms, upgrading of platforms in accordance with TSIs, increasing the level of traffic safety and thus interoperability, extension of the pedestrian underpass, construction of the new underpass for cyclists and pedestrians, construction of the anti-noise fences..."/>
    <x v="0"/>
    <x v="3"/>
    <s v="Industry, innovation and infrastructure"/>
    <s v="Climate change mitigation"/>
    <m/>
    <x v="0"/>
    <s v="Ministry of Infrastructure"/>
    <s v="Planning"/>
    <n v="82345400"/>
    <n v="11037358"/>
    <n v="289462"/>
    <n v="0"/>
    <n v="289462"/>
    <s v="Ministry of Infrastructure"/>
  </r>
  <r>
    <n v="31"/>
    <s v="2431-17-0085"/>
    <s v="Remote control of traffic on TEN-T corridor - 1st phase"/>
    <s v="The purpose of the project is to introduce remote traffic control on the remaining main lines of the public railway infrastructure, namely on lines 10 state border–Dobova–Ljubljana and 30 Zidani Most–Šentilj–state border. These are the only lines in the core TEN-T network in Slovenia that are not yet included in remote traffic control, as well as the only lines without remote traffic control on the freight corridors RFC 5 (Baltic-Adriatic) and RFC 6 (Mediterranean). In order to establish remote traffic control, the following conditions must be met: construction of non-level access to the platform infrastructure, upgrading of signal safety equipment and introduction of remote traffic control. Phase 1 is currently underway: introduction of remote traffic control on line 30 Zidani Most–Šentilj–state border on the section Zidani Most–Ljubljana (to the Laze station)."/>
    <x v="0"/>
    <x v="3"/>
    <s v="Industry, innovation and infrastructure"/>
    <s v="Climate change mitigation"/>
    <m/>
    <x v="0"/>
    <s v="Ministry of Infrastructure"/>
    <s v="Execution"/>
    <n v="210130730"/>
    <n v="49619367"/>
    <n v="13811442"/>
    <n v="1140969"/>
    <n v="12670473"/>
    <s v="Ministry of Infrastructure"/>
  </r>
  <r>
    <n v="32"/>
    <s v="2431-21-0134"/>
    <s v="Upgrade of existing railway line between Kranj and Jesenice 3rd phase to increase capacity, safety, and interoperability"/>
    <s v="Upgrading of the existing railway line / section, upgrading of stations and stops, out-of-level access to platforms in accordance with TSIs, increase of the level of traffic safety and thus of interoperability."/>
    <x v="0"/>
    <x v="3"/>
    <s v="Industry, innovation and infrastructure"/>
    <s v="Climate change mitigation"/>
    <m/>
    <x v="0"/>
    <s v="Ministry of Infrastructure"/>
    <s v="Project closure"/>
    <n v="72186559"/>
    <n v="5707788"/>
    <n v="2398288"/>
    <n v="876632"/>
    <n v="1521656"/>
    <s v="Ministry of Infrastructure"/>
  </r>
  <r>
    <n v="33"/>
    <s v="2431-23-0031"/>
    <s v="Upgrading of existing overpass over Dunajska street in Ljubljana to reduce bottlenecks in railway infrastructure; and also increasing the level of traffic safety and thus interoperability of the system"/>
    <s v="Upgrading of existing overpass over Dunajska street, reduce bottlenecks in railway infrastructure; increasing the level of traffic safety and thus interoperability and the possibility of suburban transport with a timetable, adaptation of rail infrastructure     "/>
    <x v="0"/>
    <x v="3"/>
    <s v="Industry, innovation and infrastructure"/>
    <s v="Climate change mitigation"/>
    <m/>
    <x v="0"/>
    <s v="Ministry of Infrastructure"/>
    <s v="Execution"/>
    <n v="64985080"/>
    <n v="29236313"/>
    <n v="4696514"/>
    <n v="0"/>
    <n v="4696514"/>
    <s v="Ministry of Infrastructure"/>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n v="1"/>
    <s v="2711-02-0001"/>
    <s v="Replacement of worn-out equipment for several public health institutions, as well as purchases of equipment to introduce new medical technologies"/>
    <s v="Procedures will be carried out for the procurement of medical and other equipment for public health care institutions founded by the Republic of Slovenia. The completed purchases will replace worn-out equipment, as well as a few pieces of equipment that represent the introduction of new medical technologies."/>
    <x v="0"/>
    <x v="0"/>
    <s v="Industry, innovation and infrastructure"/>
    <x v="0"/>
    <s v="Public health institutes on secondary and tertiary level"/>
    <s v="All population"/>
    <s v="Execution"/>
    <n v="68233682"/>
    <n v="45607486"/>
    <n v="8950730"/>
    <n v="4280566"/>
    <n v="4670164"/>
    <s v="Ministry of health"/>
  </r>
  <r>
    <n v="2"/>
    <s v="2711-08-0012"/>
    <s v="Establishing a modern and interoperable health information system that will enable secure electronic business and efficient management of data and information related to health and health services."/>
    <s v="Establishing a modern and interoperable health information system that will enable secure electronic business and efficient management of data and information related to health and health services."/>
    <x v="0"/>
    <x v="0"/>
    <s v="Industry, innovation and infrastructure"/>
    <x v="0"/>
    <s v="Nacionalni inštitut za javno zdravje"/>
    <s v="11. All population"/>
    <s v="Execution"/>
    <n v="81032634"/>
    <n v="55980318"/>
    <n v="13051156"/>
    <n v="5792731"/>
    <n v="7258425"/>
    <s v="Ministry of health"/>
  </r>
  <r>
    <n v="3"/>
    <s v="2711-10-0009"/>
    <s v="Establishment of a health dispatch service to ensure equal access to emergency medical care, emergency, non-emergency and ambulance transport of patients throughout the country"/>
    <s v="The main goals of the investment are: the establishment of a health dispatch service according to established international standards, which will ensure equal access to emergency medical care, emergency, non-emergency and ambulance transport of patients throughout the country. Improve the quality of emergency medical services with an emphasis on improving long-term survival and quality of survival in cases of community-acquired heart failure and other life-threatening conditions. Reduce the costs of emergency medical care and improve the readiness of health care to operate in emergency situations by establishing comprehensive monitoring of the state of the system and the capacity to implement operational crisis management."/>
    <x v="0"/>
    <x v="1"/>
    <s v="Industry, innovation and infrastructure"/>
    <x v="0"/>
    <s v="UKC Ljubljana"/>
    <s v="All population"/>
    <s v="Execution"/>
    <n v="3899772"/>
    <n v="3158640"/>
    <n v="289224"/>
    <n v="120258"/>
    <n v="168966"/>
    <s v="Ministry of health"/>
  </r>
  <r>
    <n v="4"/>
    <s v="2711-16-0001"/>
    <s v="Construction of new premises to replace and extend the capacities of the Department for Disabled Youth within the General Hospital -Dr. Franca Derganca- Nova Gorica"/>
    <s v="The purpose of the investment is the construction of new premises for the implementation of medical activities within the General Hospital -Dr. Franca Derganca- Nova Gorica, namely the replacement and supplementation of the capacities of the Department for Disabled Youth."/>
    <x v="0"/>
    <x v="0"/>
    <s v="Industry, innovation and infrastructure"/>
    <x v="0"/>
    <s v="ZIM Stara gora"/>
    <s v="All population"/>
    <s v="Execution"/>
    <n v="6486262"/>
    <n v="2711914"/>
    <n v="1103825"/>
    <n v="1103825"/>
    <n v="0"/>
    <s v="Ministry of health"/>
  </r>
  <r>
    <n v="5"/>
    <s v="2711-16-0002"/>
    <s v="Construct an emergency center at the General Hospital Ptuj to enable optimal access to services and to provide urgent and urgent medical care to urgent patients in one place at any time"/>
    <s v="The purpose of the construction of the Emergency Center at the General Hospital Ptuj is to enable optimal access to services and to provide urgent and urgent medical care to urgent patients in one place at any time. The goals of the investment are quality operation of the emergency service in SB Ptuj, uniform and comprehensive treatment in one place, both injured and suddenly ill patients, acquisition of equipment necessary for modern emergency care and with which it will be possible to shorten patient treatment times and improve outcome treatment."/>
    <x v="0"/>
    <x v="0"/>
    <s v="Industry, innovation and infrastructure"/>
    <x v="0"/>
    <s v="Splošna bolnišnica dr. Jožeta Potrča Ptuj"/>
    <s v="All population"/>
    <s v="Planning"/>
    <n v="6589601"/>
    <n v="4612884"/>
    <n v="4585393"/>
    <n v="1239267"/>
    <n v="3346126"/>
    <s v="Ministry of health"/>
  </r>
  <r>
    <n v="6"/>
    <s v="2711-16-0004"/>
    <s v="Constructing and equipping an intensive care unit for operative specialities and an intensive care unit for internal medicine at General Hospital Jesenice "/>
    <s v="The purpose of the investment project is to ensure the concentration of all intensive care units at GH Jesenice and thereby bring them closer to the standards of modern medical technology. The goal of the investment is the construction of a new extension to accommodate the intensive care unit for operative specialties and the intensive care unit for internal medicine, the reconstruction of the existing rooms on both floors is necessary to combine the new and old rooms, the construction of a new northern external fire escape and the procurement of equipment for both units."/>
    <x v="0"/>
    <x v="0"/>
    <s v="Industry, innovation and infrastructure"/>
    <x v="1"/>
    <s v="SB Jesenice"/>
    <s v="11. All population"/>
    <s v="Execution"/>
    <n v="3786577"/>
    <n v="1876694"/>
    <n v="1875743"/>
    <n v="975221"/>
    <n v="900522"/>
    <s v="Ministry of health"/>
  </r>
  <r>
    <n v="7"/>
    <s v="2711-17-0001"/>
    <s v="Support for the regulation and development of the health care system, in particular around funding, organization and effective governance, as well as the provision of health care and long-term care."/>
    <s v="Activities include support for the implementation of comprehensive systemic legislative changes in the areas of funding, organization and effective governance, and the provision of health care and long-term care."/>
    <x v="0"/>
    <x v="1"/>
    <s v="Good health and well-being"/>
    <x v="2"/>
    <s v="External contractors, non-profit organizations, public institutions"/>
    <s v="All population"/>
    <s v="Execution"/>
    <n v="2174218"/>
    <n v="2174218"/>
    <n v="84265"/>
    <n v="84265"/>
    <n v="0"/>
    <s v="Ministry of health"/>
  </r>
  <r>
    <n v="8"/>
    <s v="2711-17-0009"/>
    <s v="Funding for the National Institute of Public Health to provide services for public health"/>
    <s v="Funds are provided for the provision of public service in the field of public health activities, which is performed by the National Institute of Public Health (NIJZ) in accordance with the Health Activity Act. The content and scope of tasks shall be determined in the annual work program approved by the Ministry. Professional and development tasks in the field of worker protection are co-financed."/>
    <x v="0"/>
    <x v="2"/>
    <s v="Good health and well-being"/>
    <x v="2"/>
    <s v="Nacionalni inštitut za javno zdravje"/>
    <s v="All population"/>
    <s v="Execution"/>
    <n v="62529085"/>
    <n v="62529085"/>
    <n v="18052675"/>
    <n v="18052675"/>
    <n v="0"/>
    <s v="Ministry of health"/>
  </r>
  <r>
    <n v="9"/>
    <s v="2711-17-0010"/>
    <s v="Funding for the National Laboratory for Health, Environment and Food, which provides services related to public health such as monitoring the quality of drinking water "/>
    <s v="The measure ensures the implementation of the annual work program of the National Laboratory for Health, Environment and Food, which, based on the provisions of the ZZDej, performs a public service in the field of public health. Tasks are defined in 23 c. Article ZZDej, which includes, among other things, the implementation of drinking water monitoring and a comprehensive environmental impact assessment."/>
    <x v="0"/>
    <x v="2"/>
    <s v="Good health and well-being"/>
    <x v="2"/>
    <s v="Nacionalni laboratorij za zdravje, okolje in hrano"/>
    <s v="All population"/>
    <s v="Execution"/>
    <n v="4399080"/>
    <n v="4399080"/>
    <n v="891581"/>
    <n v="891581"/>
    <n v="0"/>
    <s v="Ministry of health"/>
  </r>
  <r>
    <n v="10"/>
    <s v="2711-17-0012"/>
    <s v="Development, promotion and coordination of organ transplant and blood donation within Slovenia "/>
    <s v="As part of the transfusion and transplantation activities, we will perform the following activities: blood supply as part of the transfusion activity (performed by the Institute of Transfusion Medicine and, to a lesser extent, transfusion centers at the University Medical Center Maribor and the Celje General Hospital), which includes planning, collection, processing, testing, storage, distribution, treatment and even and sufficient supply of the population with blood and blood products (ie blood plasma drugs) and trade in them, providing a sufficient amount of blood for the needs of the Republic of Slovenia through blood donation campaigns (carried out by the Red Cross), development , promotion and coordination of transplantation activity in Slovenia (performed by Slovenija Transplant)."/>
    <x v="0"/>
    <x v="2"/>
    <s v="Good health and well-being"/>
    <x v="2"/>
    <s v="Public institutions, non-profit organizations, other public service providers, individuals"/>
    <s v="All population"/>
    <s v="Execution"/>
    <n v="11403379"/>
    <n v="11403379"/>
    <n v="2322560"/>
    <n v="2322560"/>
    <n v="0"/>
    <s v="Ministry of health"/>
  </r>
  <r>
    <n v="11"/>
    <s v="2711-17-0013"/>
    <s v="Operation and development of the emergency medical care system, the development of system solutions and other tasks that affect the entire system of health care in the event of natural and other disasters in the Republic of Slovenia"/>
    <s v="The purpose of the measure is to provide conditions for the operation and development of the emergency medical care system, the development of system solutions and other tasks that affect the entire system of health care in the event of natural and other disasters in the Republic of Slovenia."/>
    <x v="0"/>
    <x v="2"/>
    <s v="Good health and well-being"/>
    <x v="2"/>
    <s v="Public institutions, non-profit organizations, other public service providers, municipalities"/>
    <s v="All population"/>
    <s v="Execution"/>
    <n v="432010"/>
    <n v="432010"/>
    <n v="99169"/>
    <n v="99169"/>
    <n v="0"/>
    <s v="Ministry of health"/>
  </r>
  <r>
    <n v="12"/>
    <s v="2711-17-0014"/>
    <s v="Inclusion of socially at-risk people in the health care system by covering the difference to the full value of health services to beneficiaries of financial social assistance"/>
    <s v="Within the measure, activities will be carried out to include socially endangered persons in the health care system by covering the difference to the full value of health services to beneficiaries of financial social assistance."/>
    <x v="0"/>
    <x v="2"/>
    <s v="Good health and well-being"/>
    <x v="2"/>
    <s v="Public institutions, non-profit organizations, other public service providers, individuals"/>
    <s v="All population"/>
    <s v="Execution"/>
    <n v="129987162"/>
    <n v="129987162"/>
    <n v="39051552"/>
    <n v="39051552"/>
    <n v="0"/>
    <s v="Ministry of health"/>
  </r>
  <r>
    <n v="13"/>
    <s v="2711-17-0023"/>
    <s v="Construction of new building fortreatment and rehabilitation of chronically ill children_x000a_"/>
    <s v="The goals of the investment project are better care of children (more successful treatment and achieving a greater share of lasting effects of treatment), shortening the time of treatment of children (reduction of nosocomial infections), improvement of health services (more suitable places for children and escorts), implementation of additional activities of existing programs. lifestyle, therapeutic treatment of children with developmental disabilities), improving the working conditions of employees, improving the conditions for the operation of the kitchen and other service activities. The social benefit of the project is also the provision of conditions for greater social inclusion of young people with special needs in the local environment and the development of deinstitutional forms of care. The new facility will offer users and employees improved living and working conditions."/>
    <x v="0"/>
    <x v="1"/>
    <s v="Industry, innovation and infrastructure"/>
    <x v="0"/>
    <s v="CZBO Šentvid pri Stični"/>
    <s v="All population"/>
    <s v="Execution"/>
    <n v="6982181"/>
    <n v="411211"/>
    <n v="411211"/>
    <n v="107124"/>
    <n v="304087"/>
    <s v="Ministry of health"/>
  </r>
  <r>
    <n v="14"/>
    <s v="2711-17-0029"/>
    <s v="Renovation and improvement of the hospital pharmacy at SB Trbovlje"/>
    <s v="The purpose of the investment is to provide the spatial and equipment conditions for performing the hospital pharmacy activity by carrying out the adaptation of the existing premises of the hospital pharmacy and by acquiring additional spatial areas."/>
    <x v="0"/>
    <x v="0"/>
    <s v="Industry, innovation and infrastructure"/>
    <x v="0"/>
    <s v="Splošna bolnišnica Trbovlje"/>
    <s v="All population"/>
    <s v="Execution"/>
    <n v="786804"/>
    <n v="558960"/>
    <n v="74899"/>
    <n v="74899"/>
    <n v="0"/>
    <s v="Ministry of health"/>
  </r>
  <r>
    <n v="15"/>
    <s v="2711-17-0035"/>
    <s v="Postgraduate training of health professionals"/>
    <s v="Providing conditions for the qualification of health care workers and associates for independent work in the health care activity."/>
    <x v="0"/>
    <x v="3"/>
    <s v="Good health and well-being"/>
    <x v="2"/>
    <s v="Zavod za zdravstveno zavarovanje RS"/>
    <s v="All population"/>
    <s v="Execution"/>
    <n v="386230222"/>
    <n v="386230222"/>
    <n v="86061257"/>
    <n v="86061257"/>
    <n v="0"/>
    <s v="Ministry of health"/>
  </r>
  <r>
    <n v="16"/>
    <s v="2711-17-0041"/>
    <s v="Provision of a mobile unit to enable DrogArt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Združenje DrogArt"/>
    <s v="10. Other vulnerable groups, including as a result of natural disasters."/>
    <s v="Execution"/>
    <n v="446649"/>
    <n v="88739"/>
    <n v="22047"/>
    <n v="19518"/>
    <n v="2529"/>
    <s v="Ministry of health"/>
  </r>
  <r>
    <n v="17"/>
    <s v="2711-17-0042"/>
    <s v="Provision of a mobile unit Society project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Društvo Projekt Človek"/>
    <s v="10. Other vulnerable groups, including as a result of natural disasters."/>
    <s v="Execution"/>
    <n v="96342"/>
    <n v="19269"/>
    <n v="4913"/>
    <n v="4913"/>
    <n v="0"/>
    <s v="Ministry of health"/>
  </r>
  <r>
    <n v="18"/>
    <s v="2711-17-0043"/>
    <s v="Provision of a mobile unit Society Šent to facilitate early identification of potential recipients for counseling, healthcare, information services and other appropriate forms of assistance"/>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Društvo Šent"/>
    <s v="10. Other vulnerable groups, including as a result of natural disasters."/>
    <s v="Execution"/>
    <n v="149090"/>
    <n v="29818"/>
    <n v="6792"/>
    <n v="6792"/>
    <n v="0"/>
    <s v="Ministry of health"/>
  </r>
  <r>
    <n v="19"/>
    <s v="2711-17-0044"/>
    <s v="Provision of a mobile unit Socio to facilitate early identification of potential recipients for counseling, healthcare, information services and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JZ Socio"/>
    <s v="10. Other vulnerable groups, including as a result of natural disasters."/>
    <s v="Execution"/>
    <n v="141142"/>
    <n v="28228"/>
    <n v="5323"/>
    <n v="5323"/>
    <n v="0"/>
    <s v="Ministry of health"/>
  </r>
  <r>
    <n v="20"/>
    <s v="2711-17-0045"/>
    <s v="Provision of a mobile unit Stigma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Društvo Stigma"/>
    <s v="10. Other vulnerable groups, including as a result of natural disasters."/>
    <s v="Execution"/>
    <n v="135482"/>
    <n v="27096"/>
    <n v="5612"/>
    <n v="5612"/>
    <n v="0"/>
    <s v="Ministry of health"/>
  </r>
  <r>
    <n v="21"/>
    <s v="2711-17-0046"/>
    <s v="Provision of a mobile unit Svit Koper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Društvo Svit Koper"/>
    <s v="10. Other vulnerable groups, including as a result of natural disasters."/>
    <s v="Execution"/>
    <n v="145417"/>
    <n v="29083"/>
    <n v="4829"/>
    <n v="4829"/>
    <n v="0"/>
    <s v="Ministry of health"/>
  </r>
  <r>
    <n v="22"/>
    <s v="2711-17-0047"/>
    <s v="Provision of a mobile unit Zdrava pot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Društvo Zdrava pot"/>
    <s v="10. Other vulnerable groups, including as a result of natural disasters."/>
    <s v="Execution"/>
    <n v="132230"/>
    <n v="26446"/>
    <n v="7996"/>
    <n v="7996"/>
    <n v="0"/>
    <s v="Ministry of health"/>
  </r>
  <r>
    <n v="23"/>
    <s v="2711-17-0048"/>
    <s v="Provision of a mobile unit Medical rehabilitation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UPK LJ"/>
    <s v="10. Other vulnerable groups, including as a result of natural disasters."/>
    <s v="Execution"/>
    <n v="157206"/>
    <n v="30836"/>
    <n v="8640"/>
    <n v="6021"/>
    <n v="2619"/>
    <s v="Ministry of health"/>
  </r>
  <r>
    <n v="24"/>
    <s v="2711-17-0049"/>
    <s v="Provision of a mobile unit Mobile Clinic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ZD Ptuj"/>
    <s v="10. Other vulnerable groups, including as a result of natural disasters."/>
    <s v="Execution"/>
    <n v="424865"/>
    <n v="84830"/>
    <n v="23742"/>
    <n v="13275"/>
    <n v="10467"/>
    <s v="Ministry of health"/>
  </r>
  <r>
    <n v="25"/>
    <s v="2711-17-0050"/>
    <s v="Provision of a mobile unit Mobile Clinic to facilitate early identification of potential recipients for counseling, healthcare, information services and other appropriate forms of assistance_x000a_"/>
    <s v="Inclusion of different groups of users (in terms of methods of use, age, environment of use...) and in this way reducing inequality in access to harm reduction services, while at the same time enabling early intervention and thus reducing the risk of developing health problems and social hardships, especially among younger users. It should be emphasized here that the testing service is only an entry point into the program and it is important to complement it with appropriate further counseling and information services, both in the field and in the program's stationary unit, as well as other appropriate forms of assistance. The DrogArt association provides the possibility of counseling within the framework of the DrogArt consultancy, with the aim of providing appropriate support and guidance to users, based on perceived problems, connecting with other organizations and aid programs in the local communities where they operate and where the users come from and where the activities will be carried out."/>
    <x v="0"/>
    <x v="1"/>
    <s v="Good health and well-being"/>
    <x v="2"/>
    <s v="ZD SG"/>
    <s v="10. Other vulnerable groups, including as a result of natural disasters."/>
    <s v="Execution"/>
    <n v="424865"/>
    <n v="83000"/>
    <n v="19591"/>
    <n v="14691"/>
    <n v="4900"/>
    <s v="Ministry of health"/>
  </r>
  <r>
    <n v="26"/>
    <s v="2711-18-0002"/>
    <s v="Implementation of prevention programmes related to mental health and addiction"/>
    <s v="By the measure of ensuring the implementation of prevention programs of governmental and non-governmental organizations in the field of mental health and addiction through unresolved strategies, national program and legislation of the Member States by the Republic of Slovenia, which is internationally committed, including regular monitoring and evaluation of these programs. emphasis on promoting and consolidating healthy lifestyles, reducing the harmful effects of alcohol and tobacco use and the risks of illicit drug use, improving mental health and preventing intentional and unintentional injuries and poisonings"/>
    <x v="0"/>
    <x v="2"/>
    <s v="Good health and well-being"/>
    <x v="2"/>
    <s v="Public institutions, external contractors, non-profit organizations, other providers of public services"/>
    <s v="All population"/>
    <s v="Execution"/>
    <n v="28411422"/>
    <n v="22718094"/>
    <n v="6084901"/>
    <n v="2669630"/>
    <n v="3415271"/>
    <s v="Ministry of health"/>
  </r>
  <r>
    <n v="27"/>
    <s v="2711-18-0003"/>
    <s v="Implementation of prevention programmes related to chronic non-communicable disease, including early detection and comprehensive treatment of patients"/>
    <s v="The measure ensures the implementation of prevention programs of governmental and non-governmental organizations for the implementation of strategies, national programs and objectives of legislation and adopted strategic documents in the field of prevention and control of KNB, including regular monitoring and evaluation of programs for effectiveness. with environmental risks and injuries), early detection and comprehensive treatment of patients."/>
    <x v="0"/>
    <x v="2"/>
    <s v="Good health and well-being"/>
    <x v="2"/>
    <s v="Public institutions, external contractors, non-profit organizations, other providers of public services"/>
    <s v="All population"/>
    <s v="Execution"/>
    <n v="6601603"/>
    <n v="5289603"/>
    <n v="1471335"/>
    <n v="556051"/>
    <n v="915284"/>
    <s v="Ministry of health"/>
  </r>
  <r>
    <n v="28"/>
    <s v="2711-18-0014"/>
    <s v="Renovation of and equipment for the hospital pharmacy at the General Hospital Celje"/>
    <s v="The purpose of the investment is to provide appropriate conditions regarding the premises and equipment for performing hospital pharmacy activities and consequently to regulate the conditions for aseptic work in the hospital pharmacy of the General Hospital Celje."/>
    <x v="0"/>
    <x v="0"/>
    <s v="Industry, innovation and infrastructure"/>
    <x v="0"/>
    <s v="Splošna bolnišnica Celje"/>
    <s v="All population"/>
    <s v="Execution"/>
    <n v="801464"/>
    <n v="737046"/>
    <n v="2735"/>
    <n v="2735"/>
    <n v="0"/>
    <s v="Ministry of health"/>
  </r>
  <r>
    <n v="29"/>
    <s v="2711-18-0036"/>
    <s v="Renovation of the hospital pharmacy at OP Valdoltra"/>
    <s v="The aim of the investment is to arrange the premises of the hospital pharmacy to obtain verification."/>
    <x v="0"/>
    <x v="0"/>
    <s v="Industry, innovation and infrastructure"/>
    <x v="0"/>
    <s v="Ortopedska bolnišnica Valdoltra"/>
    <s v="All population"/>
    <s v="Execution"/>
    <n v="1232916"/>
    <n v="1001849"/>
    <n v="720868"/>
    <n v="459723"/>
    <n v="261145"/>
    <s v="Ministry of health"/>
  </r>
  <r>
    <n v="30"/>
    <s v="2711-18-0047"/>
    <s v="Renovation of the hospital pharmacy at B Postojna "/>
    <s v="The purpose of the investment is the implementation of GOI works (extension) and the purchase of equipment and personal and hospital elevators for the arrangement of the hospital pharmacy. The aim of the investment is to arrange the premises of the hospital pharmacy to obtain verification"/>
    <x v="0"/>
    <x v="0"/>
    <s v="Industry, innovation and infrastructure"/>
    <x v="0"/>
    <s v="Bolnišnica Postojna"/>
    <s v="All population"/>
    <s v="Execution"/>
    <n v="1020219"/>
    <n v="868091"/>
    <n v="705497"/>
    <n v="705497"/>
    <n v="0"/>
    <s v="Ministry of health"/>
  </r>
  <r>
    <n v="31"/>
    <s v="2611-20-0906"/>
    <s v="Co-financing the reconstruction and extension of the Intergenerational Center in the Municipality of Loški Potok, which will contain serviced apartments and apartments for young families"/>
    <s v="Co-financing the reconstruction and extension of the Intergenerational Center in the Municipality of Loški Potok, in which serviced apartments and apartments for young families will be arranged. "/>
    <x v="1"/>
    <x v="4"/>
    <m/>
    <x v="0"/>
    <m/>
    <s v="persons aged 65 and over, young families"/>
    <s v="Execution"/>
    <n v="1465926"/>
    <n v="610000"/>
    <n v="110000"/>
    <n v="110000"/>
    <n v="0"/>
    <s v="Ministry of Labour, Family, Social Affairs and Equal Opportunities"/>
  </r>
  <r>
    <n v="32"/>
    <s v="3311-11-0002"/>
    <s v="Increasing children's participation in pre-school education, which also ensures better results in further education"/>
    <s v="Shorter programs for preschool children not included in kindergarten. "/>
    <x v="2"/>
    <x v="5"/>
    <s v="Reduced inequalities"/>
    <x v="2"/>
    <s v="children and their families"/>
    <s v="All population and vulnerable families"/>
    <s v="Performance/monitoring"/>
    <n v="440278945"/>
    <n v="354163347"/>
    <n v="93528059"/>
    <n v="43225495"/>
    <n v="50302564"/>
    <s v="Ministry of education science and sport"/>
  </r>
  <r>
    <n v="33"/>
    <s v="3311-11-0016"/>
    <s v="Provision of cheaper or free school meals for primary school students with lower socieoeconomic status"/>
    <s v="Ensuring quality school nutrition affects the optimal development of students, the development of awareness of healthy eating and eating culture, education and training for a responsible attitude towards themselves, their health and the environment. Students from socially less stimulating backgrounds are provided with a cheaper or free meal of school meals with a subsidy."/>
    <x v="2"/>
    <x v="6"/>
    <s v="Reduced inequalities"/>
    <x v="3"/>
    <s v="Pupils in primary schools and their families"/>
    <s v="Population with lower income"/>
    <s v="Performance/monitoring"/>
    <n v="532324401"/>
    <n v="434302404"/>
    <n v="78092447"/>
    <n v="35086444"/>
    <n v="43006003"/>
    <s v="Ministry of education science and sport"/>
  </r>
  <r>
    <n v="34"/>
    <s v="3311-11-0019"/>
    <s v="Provision of cheaper or free school meals for secondary school students with lower socieoeconomic status"/>
    <s v="Students from socially less stimulating backgrounds are provided with a cheaper or free meal of school lunch with a subsidy, which has a favorable effect on their psycho-physical development and on the development of awareness of healthy eating and eating culture."/>
    <x v="2"/>
    <x v="7"/>
    <s v="Reduced inequalities"/>
    <x v="3"/>
    <s v="Pupils in primary schools and their families"/>
    <s v="Population with lower income"/>
    <s v="Performance/monitoring"/>
    <n v="168645233"/>
    <n v="142708010"/>
    <n v="17481666"/>
    <n v="8080385"/>
    <n v="9401281"/>
    <s v="Ministry of education science and sport"/>
  </r>
  <r>
    <n v="35"/>
    <s v="2711-19-0002"/>
    <s v="Improvement of the dialysis and associated ancillary rooms at SB Murska Sobota "/>
    <s v="The aim of the investment is to provide a modern arrangement of all dialysis rooms and associated ancillary and auxiliary rooms of the department, which will be used for outpatient and inpatient patients in need of dialysis."/>
    <x v="0"/>
    <x v="0"/>
    <s v="Industry, innovation and infrastructure"/>
    <x v="0"/>
    <s v="Splošna bolnišnica Murska Sobota"/>
    <s v="All population"/>
    <s v="Execution"/>
    <n v="3014697"/>
    <n v="2775149"/>
    <n v="2747923"/>
    <n v="1947950"/>
    <n v="799973"/>
    <s v="Ministry of health"/>
  </r>
  <r>
    <n v="36"/>
    <s v="2711-19-0007"/>
    <s v="Implementation of health programmes to reduce healthcare waiting times"/>
    <s v="The project refers to a private national regulation for the selection of the most favorable bidders for the implementation of selected health programs for 2020 in 2021, which will include services with inadmissibly waiting patients for all levels of urgency."/>
    <x v="0"/>
    <x v="1"/>
    <s v="Good health and well-being"/>
    <x v="2"/>
    <s v="Healthcare service providers"/>
    <s v="All population"/>
    <s v="Execution"/>
    <n v="204986"/>
    <n v="205873"/>
    <n v="155690"/>
    <n v="153903"/>
    <n v="1787"/>
    <s v="Ministry of health"/>
  </r>
  <r>
    <n v="37"/>
    <s v="2711-19-0010"/>
    <s v="Ensure adequate fire safety and environmental sustainability of buildings at SB Jesenice "/>
    <s v="The purpose of the investment is to eliminate technical or safety deficiencies of the existing state of architectural designs, construction elements and installation systems of buildings, to ensure adequate fire safety and environmental sustainability of renovated buildings, and to eliminate the safety risks of the existing state."/>
    <x v="0"/>
    <x v="0"/>
    <s v="Industry, innovation and infrastructure"/>
    <x v="0"/>
    <s v=" Splošna bolnišnica Jesenice"/>
    <s v="All population"/>
    <s v="Execution"/>
    <n v="3165970"/>
    <n v="2885292"/>
    <n v="1277407"/>
    <n v="1277407"/>
    <n v="0"/>
    <s v="Ministry of health"/>
  </r>
  <r>
    <n v="38"/>
    <s v="2711-19-0012"/>
    <s v="Various projects to promote integrated care for the elderly, such as training of employees, trial of new sercies such as e-care, creation of pathways for cooperation_x000a_Which municipality is this project for?"/>
    <s v="The purpose and goals of the project are: - establishment of a single entry information point; - testing of a new assessment tool for assessing entitlement to integrated care; - development, testing, implementation, monitoring and evaluation of new services, including e-care services, for the adult and elderly population who, due to the consequences of illness, age-related weakness, injuries, disability, lack or loss of intellectual abilities, are dependent on the assistance of other persons in performing basic and supporting daily tasks and, in accordance with the assessment tool determined by the Ministry, are assessed as entitled to services; - creation of an integrated treatment of the individual (by connecting existing and new services) and continuous monitoring in case of transitions between providers in the field of health and social care; - creation of clinical pathways or cooperation protocols between the healthcare and social care system; - creation and monitoring of service quality indicators; - establishment of information support for eligibility assessment, planning and monitoring of the implementation of existing and new services of the contractor in real time; - development and strengthening of networks for palliative care at the primary level; - training of employees for high-quality, safe, multi-professional and multi-sector provision of services oriented towards the user and his needs."/>
    <x v="0"/>
    <x v="1"/>
    <s v="Good health and well-being"/>
    <x v="2"/>
    <s v="Dom Danice Vogrinec Maribor"/>
    <s v="9. Aging populations and/or vulnerable youth"/>
    <s v="Execution"/>
    <n v="2254974"/>
    <n v="452772"/>
    <n v="159131"/>
    <n v="156214"/>
    <n v="2917"/>
    <s v="Ministry of health"/>
  </r>
  <r>
    <n v="39"/>
    <s v="2711-19-0013"/>
    <s v="Various projects to promote integrated care for the elderly in the municipality of Koper, such as training of employees, trial of new sercies such as e-care, creation of pathways for cooperation"/>
    <s v="The purpose and goals of the project are: - establishment of a single entry information point; - testing of a new assessment tool for assessing entitlement to integrated care; - development, testing, implementation, monitoring and evaluation of new services, including e-care services, for the adult and elderly population who, due to the consequences of illness, age-related weakness, injuries, disability, lack or loss of intellectual abilities, are dependent on the assistance of other persons in performing basic and supporting daily tasks and, in accordance with the assessment tool determined by the Ministry, are assessed as entitled to services; - creation of an integrated treatment of the individual (by connecting existing and new services) and continuous monitoring in case of transitions between providers in the field of health and social care; - creation of clinical pathways or cooperation protocols between the healthcare and social care system; - creation and monitoring of service quality indicators; - establishment of information support for eligibility assessment, planning and monitoring of the implementation of existing and new services of the contractor in real time; - development and strengthening of networks for palliative care at the primary level; - training of employees for high-quality, safe, multi-professional and multi-sector provision of services oriented towards the user and his needs."/>
    <x v="0"/>
    <x v="1"/>
    <s v="Good health and well-being"/>
    <x v="2"/>
    <s v="Obalni dom upokojencev Koper"/>
    <s v="9. Aging populations and/or vulnerable youth"/>
    <s v="Execution"/>
    <n v="2324540"/>
    <n v="458346"/>
    <n v="110725"/>
    <n v="110725"/>
    <n v="0"/>
    <s v="Ministry of health"/>
  </r>
  <r>
    <n v="40"/>
    <s v="2711-19-0014"/>
    <s v="Various projects to promote integrated care for the elderly, such as training of employees, trial of new servicies such as e-care, creation of pathways for cooperation_x000a_"/>
    <s v="The purpose and goals of the project are: - establishment of a single entry information point; - testing of a new assessment tool for assessing entitlement to integrated care; - development, testing, implementation, monitoring and evaluation of new services, including e-care services, for the adult and elderly population who, due to the consequences of illness, age-related weakness, injuries, disability, lack or loss of intellectual abilities, are dependent on the assistance of other persons in performing basic and supporting daily tasks and, in accordance with the assessment tool determined by the Ministry, are assessed as entitled to services; - creation of an integrated treatment of the individual (by connecting existing and new services) and continuous monitoring in case of transitions between providers in the field of health and social care; - creation of clinical pathways or cooperation protocols between the healthcare and social care system; - creation and monitoring of service quality indicators; - establishment of information support for eligibility assessment, planning and monitoring of the implementation of existing and new services of the contractor in real time; - development and strengthening of networks for palliative care at the primary level; - training of employees for high-quality, safe, multi-professional and multi-sector provision of services oriented towards the user and his needs."/>
    <x v="0"/>
    <x v="1"/>
    <s v="Good health and well-being"/>
    <x v="2"/>
    <s v="Dom Petra Uzarja"/>
    <s v="9. Aging populations and/or vulnerable youth"/>
    <s v="Execution"/>
    <n v="2305543"/>
    <n v="461109"/>
    <n v="113772"/>
    <n v="113772"/>
    <n v="0"/>
    <s v="Ministry of health"/>
  </r>
  <r>
    <n v="41"/>
    <s v="2711-20-0001"/>
    <s v="Purchase of necessary equipment for the Ministry of Health"/>
    <s v="The project is intended to provide material equipment and thus conditions for the operation and implementation of the tasks of the Ministry of Health. The project includes the purchase of equipment for normal operation of employees at the Ministry of Health from office furniture, telephone and mobile devices, multifunctional devices, devices for cutting and destroying materials, security equipment, other office devices and fixed assets and a company car."/>
    <x v="0"/>
    <x v="0"/>
    <s v="Industry, innovation and infrastructure"/>
    <x v="0"/>
    <s v="External contractors"/>
    <s v="All population"/>
    <s v="Execution"/>
    <n v="461825"/>
    <n v="461825"/>
    <n v="177014"/>
    <n v="58818"/>
    <n v="118196"/>
    <s v="Ministry of health"/>
  </r>
  <r>
    <n v="42"/>
    <s v="2711-20-0002"/>
    <s v="Procurement for the reservation/purchase of a pandemic influenza vaccine _x000a_"/>
    <s v="The measure has three objectives, namely to maintain and strengthen the health of the population in the areas of nutrition, exercise, alcohol, diabetes, HIV, cancer, injuries and addiction prevention, and the objective of this measure public procurement of Member States for the reservation or purchase of a pandemic influenza vaccine (Decision of the Government of the Republic of Slovenia No. 43000-7 / 2017/3, dated 20 April 2017), this measure also ensures the implementation of measures and activities in the field of vaccination."/>
    <x v="0"/>
    <x v="1"/>
    <s v="Good health and well-being"/>
    <x v="2"/>
    <s v="Public institutions, external contractors, non-profit organizations"/>
    <s v="All population"/>
    <s v="Execution"/>
    <n v="19526772"/>
    <n v="13278155"/>
    <n v="1713631"/>
    <n v="872837"/>
    <n v="840794"/>
    <s v="Ministry of health"/>
  </r>
  <r>
    <n v="43"/>
    <s v="2711-20-0005"/>
    <s v="Implementation of integrated care for the elderly in the municipality of Ptuj"/>
    <s v="The purpose is the implementation of integrated care in the area of ​​the Municipality of Ptuj, the development of new services in the community and the strengthening of the field of prevention, as well as the provision of continuous treatment of individuals who need services to maintain independence. The project aims to transform the existing way of implementing community services and programs for the elderly. No. will be measured. involved users in the provision of community services and programs for the elderly."/>
    <x v="0"/>
    <x v="1"/>
    <s v="Good health and well-being"/>
    <x v="2"/>
    <s v="Dom upokojencev Ptuj"/>
    <s v="9. Aging populations and/or vulnerable youth"/>
    <s v="Execution"/>
    <n v="2171099"/>
    <n v="434796"/>
    <n v="203846"/>
    <n v="203846"/>
    <n v="0"/>
    <s v="Ministry of health"/>
  </r>
  <r>
    <n v="44"/>
    <s v="2711-20-0006"/>
    <s v="Implementation of integrated care for the elderly, development of new services in the community and strengthening of the field of prevention, as well as ensuring the continuity of treatment between various providers from the field of health and social care in the public network in the municipality of Slovenska Bistrica_x000a_"/>
    <s v="The purpose is the implementation of integrated care in the area of ​​the Municipality of Ptuj, the development of new services in the community and the strengthening of the field of prevention, as well as the provision of continuous treatment of individuals who need services to maintain independence. The project aims to transform the existing way of implementing community services and programs for the elderly. No. will be measured. involved users in the provision of community services and programs for the elderly."/>
    <x v="0"/>
    <x v="1"/>
    <s v="Good health and well-being"/>
    <x v="2"/>
    <s v="Dom dr. Jožeta Potrča Poljčane"/>
    <s v="9. Aging populations and/or vulnerable youth"/>
    <s v="Execution"/>
    <n v="2486208"/>
    <n v="498508"/>
    <n v="209847"/>
    <n v="209847"/>
    <n v="0"/>
    <s v="Ministry of health"/>
  </r>
  <r>
    <n v="45"/>
    <s v="2711-20-1007"/>
    <s v="Systemic regulation of long-term care"/>
    <s v="The Ministry of Health creates the necessary conditions for the preparation and transition to the implementation of the new integrated DO system. The measure provides conditions for the implementation of activities, the purpose of which is to support the implementation of comprehensive system changes in the field of organization and effective management of the DO system, including the establishment of an effective system of control over the quality and safety of services in long-term care. As part of the measure, funding is provided for the work of individual experts and expert groups, who provide professional assistance to the Ministry in preparing the necessary professional bases, such as clinical pathways and protocols in the field of long-term care, proposals for staff training curricula in the field of long-term care, and links between social care, health care and long-term care systems. The measure is also intended for activities for the effective management of the long-term care system."/>
    <x v="0"/>
    <x v="1"/>
    <s v="Good health and well-being"/>
    <x v="2"/>
    <s v="Public institutions, non-profit organizations, other public service providers, individuals"/>
    <s v="11. All population"/>
    <s v="Execution"/>
    <n v="636601"/>
    <n v="618891"/>
    <n v="591441"/>
    <n v="529151"/>
    <n v="62290"/>
    <s v="Ministry of health"/>
  </r>
  <r>
    <n v="46"/>
    <s v="2711-21-0002"/>
    <s v="Provision of additional funds for public health insurance "/>
    <s v="Due to the reduction of economic activity as a consequence of the epidemic, the revenues of the HIIS from contributions for compulsory health insurance are also decreasing, as a result of which the operating conditions of the HIIS are significantly deteriorating. Therefore, ZZZS, as one of the public coffers established by the state, must provide additional liquid funds from the budget of the Republic of Slovenia for the provision of public health insurance, ie to cover the rights of insured persons from this insurance and thus to pay obligations. to health care providers if the ZZZS 'own resources are not sufficient for this purpose. This will also enable more stable operations of the health insurance fund and health care providers in public networks, and thus the smooth implementation of health care activities and access to health care services for the population."/>
    <x v="0"/>
    <x v="1"/>
    <s v="Good health and well-being"/>
    <x v="1"/>
    <s v="Healthcare service providers"/>
    <s v="11. All population"/>
    <s v="Execution"/>
    <n v="265243622"/>
    <n v="265243622"/>
    <n v="49673"/>
    <n v="49673"/>
    <n v="0"/>
    <s v="Ministry of health"/>
  </r>
  <r>
    <n v="47"/>
    <s v="2711-21-0035"/>
    <s v="Improvements to facilities for the blind and partially sighted to enable an increase in autonomy and independence"/>
    <s v="The purpose of the operation is to improve the conditions for blind and partially sighted rehabilitators, increase the efficiency of individual treatment as part of their comprehensive rehabilitation, including the provision of modern and attractively arranged medical facilities, and improve working conditions and facilitate work for participating medical staff. The anticipated results of the operation are an increase in the autonomy, independence and self-regulation of rehabilitators, which enables the relief of care or foreign aid, and the reduction of the scope and costs of institutional care for the blind and partially sighted."/>
    <x v="0"/>
    <x v="1"/>
    <s v="Industry, innovation and infrastructure"/>
    <x v="0"/>
    <s v="UKC Ljubljana"/>
    <s v="All population"/>
    <s v="Execution"/>
    <n v="1220755"/>
    <n v="618264"/>
    <n v="587041"/>
    <n v="587041"/>
    <n v="0"/>
    <s v="Ministry of health"/>
  </r>
  <r>
    <n v="48"/>
    <s v="2711-21-0057"/>
    <s v="Construction of a new building in the Isolation Department at the Golnik Clinic to increase readiness for treatment of a large number of patients with infectious diseases "/>
    <s v="The purpose of the 1st phase of the investment is the preparation of project and investment documentation for the investment in the new building of the Isolation Department of the Golnik Clinic. The objectives of the 1st phase of the investment is to provide the necessary conditions - project and investment documentation, which will be the basis for providing all the necessary resources for the implementation of the entire investment, with the aim of arranging an isolation department to increase the readiness of the Golnik Clinic for acute hospital treatment of a large number of patients with COVID-19 and other infectious diseases, with equal opportunities for others, especially for immunocompromised patients."/>
    <x v="0"/>
    <x v="1"/>
    <s v="Industry, innovation and infrastructure"/>
    <x v="0"/>
    <s v="Klinika Golnik"/>
    <s v="11. All population"/>
    <s v="Execution"/>
    <n v="21125"/>
    <n v="21125"/>
    <n v="21125"/>
    <n v="21125"/>
    <n v="0"/>
    <s v="Ministry of health"/>
  </r>
  <r>
    <n v="49"/>
    <s v="2711-21-0076"/>
    <s v="Renovation of UKC Maribor to create a Nursing Hospital"/>
    <s v="The object of the investment is the arrangement of premises for the purpose of the Nursing Hospital as part of UKC Maribor, namely at the location of Slivniško Pohorje, in the premises of the current Department of Pulmonary Diseases, with the aim of increasing the capacity of bed units for the reception of acute patients at UKC Maribor."/>
    <x v="0"/>
    <x v="0"/>
    <s v="Industry, innovation and infrastructure"/>
    <x v="0"/>
    <s v="UKC Maribor"/>
    <s v="11. All population"/>
    <s v="Execution"/>
    <n v="17311691"/>
    <n v="2004807"/>
    <n v="4807"/>
    <n v="4807"/>
    <n v="0"/>
    <s v="Ministry of health"/>
  </r>
  <r>
    <n v="50"/>
    <s v="2711-21-0078"/>
    <s v="Upgrade and equip the Clinic for Infectious Diseases and Febrile Conditions at UKC Ljubljana"/>
    <s v="The goal of the investment is the preparation of documentation for the implementation of the project to upgrade the Clinic for Infectious Diseases and Febrile Conditions at UKC Ljubljana. The investment in question will be co-financed by the EU from the Recovery and Resilience Fund in the amount of EUR 70,000,000.00, but it is necessary to provide funds for the preparation of documentation before obtaining the funds and placing the project in the NRP. The investment will otherwise include the execution of construction, tradesman and installation (GOI) works, with which the construction of the new facility is carried out, the purchase, supply and installation of medical, general and furniture equipment, as well as services related to the implementation of the investment. The purpose of the investment is to improve the conditions for the implementation of quality medical treatment of all patients with infectious diseases within the Clinic for Infectious Diseases and Febrile Conditions of the UKC Ljubljana and thereby enable the public health system in the Central Slovenian (largest) statistical and health region, and for some infections and diseases in national framework to further improve the effectiveness of detection and treatment of communicable diseases."/>
    <x v="0"/>
    <x v="0"/>
    <s v="Industry, innovation and infrastructure"/>
    <x v="0"/>
    <s v="UKC Ljubljana"/>
    <s v="11. All population"/>
    <s v="Execution"/>
    <n v="5010648"/>
    <n v="3239734"/>
    <n v="3239734"/>
    <n v="3128344"/>
    <n v="111390"/>
    <s v="Ministry of health"/>
  </r>
  <r>
    <n v="51"/>
    <s v="2711-21-0079"/>
    <s v="Renovate the Department for Infectious Diseases and Febrile Conditions at UKC Maribor"/>
    <s v="The goal of the investment is the preparation of documentation for the implementation of the replacement project for the building of the Department for Infectious Diseases and Febrile Conditions in the University Medical Center Maribor. The latter will be co-financed by the EU from the Recovery and Resilience Fund in the amount of EUR 50,000,000.00, but it is necessary to provide funds for the preparation of documentation before obtaining the funds and placing the project in the NRP. The purpose of the investment in the replacement of the new building of the Department for Infectious Diseases and Febrile Conditions in UKC Maribor is to ensure professional and safe outpatient and hospital treatment of patients with infectious diseases."/>
    <x v="0"/>
    <x v="0"/>
    <s v="Industry, innovation and infrastructure"/>
    <x v="1"/>
    <s v="UKC Maribor"/>
    <s v="11. All population"/>
    <s v="Execution"/>
    <n v="2037613"/>
    <n v="37613"/>
    <n v="37613"/>
    <n v="37613"/>
    <n v="0"/>
    <s v="Ministry of health"/>
  </r>
  <r>
    <n v="52"/>
    <s v="2711-21-0081"/>
    <s v="Renovation and expansion to create and equip the Nursing Department at the Murska Sobota General Hospital"/>
    <s v="The object of the investment is the arrangement of the Nursing Department of the Murska Sobota General Hospital (hereinafter: SB Murska Sobota) and includes a new building, in which the old gynecology facility is reconstructed and added for the purpose of arranging the premises of the Nursing Department. maternity hospital SB Murska Sobota and build a replacement facility for the Technical Maintenance Service on undeveloped land north of the existing boiler house. The investment also includes the purchase of general and medical equipment for the new premises of the Nursing Department, related services (investment and project documentation and construction supervision) and other costs (utility contribution and taxes)."/>
    <x v="0"/>
    <x v="0"/>
    <s v="Industry, innovation and infrastructure"/>
    <x v="0"/>
    <s v="Splošna bolnišnica Murska Sobota"/>
    <s v="11. All population"/>
    <s v="Planning"/>
    <n v="11149637"/>
    <n v="3217539"/>
    <n v="1192538"/>
    <n v="2342"/>
    <n v="1190196"/>
    <s v="Ministry of health"/>
  </r>
  <r>
    <n v="53"/>
    <s v="2711-22-0002"/>
    <s v="Remodeling of the Internal Department of SB Novo mesto to house the Nursing Hospital Department"/>
    <s v="The subject of the investment is the remodeling of the existing building of the Internal Department of SB Novo mesto, Kandijska cesta 3, with a usable area of 1,179 m2, which will house the premises of the Nursing Hospital Department, namely: - in the basement: changing rooms, heating substation, electrical room, storage of cleaning products, archive (as before), - on the ground floor: common areas for the department for non-acute hospital treatment ? NBO (day room for visiting relatives, carrying out workshops, various therapies, doctor's room, room for the head of the department), - on the 1st and 2nd floors: department for non-acute hospital treatment - NBO, - on the 3rd floor / attic: department for non-acute hospital treatment - NBO and palliative care department."/>
    <x v="0"/>
    <x v="0"/>
    <s v="Industry, innovation and infrastructure"/>
    <x v="0"/>
    <s v="Splošna bolnišnica Novo mesto"/>
    <s v="11. All population"/>
    <s v="Execution"/>
    <n v="12480078"/>
    <n v="743360"/>
    <n v="743360"/>
    <n v="0"/>
    <n v="743360"/>
    <s v="Ministry of health"/>
  </r>
  <r>
    <n v="54"/>
    <s v="2711-22-0005"/>
    <s v="Renovate the ZVD building in the University Medical Center in Ljubljana to house the Hematology Internal Clinic and the Center for Transplantation"/>
    <s v="The object of the investment is the arrangement of the ZVD building in the University Medical Center Ljubljana, which is currently not in use, and the purchase of equipment for the needs of: - the gray zone of the Urgentne block, - the specialist clinics and day hospital of the KO Hematology Internal Clinic and - the specialist clinics and day hospital of the Center for Transplantation activity, for which the renovation of the ground floor, 1st and 2nd floors (total 1,722 m2) of the ZVD UKC Ljubljana building, Bohoričeva ulica 22, will be carried out. For the investment, a conceptual design of the placement of the gray zone in the ZVD facility COVID 19 gray zone."/>
    <x v="0"/>
    <x v="0"/>
    <s v="Industry, innovation and infrastructure"/>
    <x v="0"/>
    <s v="ZVD"/>
    <s v="11. All population"/>
    <s v="Planning"/>
    <n v="1184914"/>
    <n v="177791"/>
    <n v="177791"/>
    <n v="177791"/>
    <n v="0"/>
    <s v="Ministry of health"/>
  </r>
  <r>
    <n v="55"/>
    <s v="2711-22-0006"/>
    <s v="Investments into the digitalisation of healthcare "/>
    <s v="The object of the investment is an investment in 13 areas of digitization of healthcare within the framework of the Recovery and Resilience Plan. It will focus on 4 main areas - users and providers of health services, decision makers and planners of the health system and payers of services. The investment will enable the inclusion of new digital services in healthcare, including telemedicine, digitization of medical records, establishment of a central storage of imaging material, introduction of safer dispensing of drugs using robots in hospitals and certification of IT solutions."/>
    <x v="0"/>
    <x v="1"/>
    <s v="Industry, innovation and infrastructure"/>
    <x v="0"/>
    <s v="Users of digital services"/>
    <s v="11. All population"/>
    <s v="Planning"/>
    <n v="2513600"/>
    <n v="104034"/>
    <n v="2834"/>
    <n v="0"/>
    <n v="2834"/>
    <s v="Ministry of health"/>
  </r>
  <r>
    <n v="56"/>
    <s v="2711-22-0007"/>
    <s v="Construct and equip the Isolation Department of the Golnik University Clinic for Lung Diseases and Allergy"/>
    <s v="The goal of the investment is to organize the Isolation Department of the Golnik University Clinic for Lung Diseases and Allergy, which includes the new construction of a building with an approximate net area of 7,032 m2, the purchase of equipment, services (design, investment documentation and construction supervision) and other costs (communal contribution, costs of the measure artistic share in public investment projects from Article 79b of the Act on the realization of public interest in culture and value added tax - VAT). The location of the new facility is on the northeast side of the existing hospital complex of the Golnik Clinic. More precisely, the future new construction is located in the bank north of the railway building from 1937 and between the manor house and the infectious disease clinic, which is scheduled for removal."/>
    <x v="0"/>
    <x v="0"/>
    <s v="Industry, innovation and infrastructure"/>
    <x v="0"/>
    <s v="Klinika Golnik"/>
    <s v="11. All population"/>
    <s v="Planning"/>
    <n v="42402150"/>
    <n v="906996"/>
    <n v="66996"/>
    <n v="0"/>
    <n v="66996"/>
    <s v="Ministry of health"/>
  </r>
  <r>
    <n v="57"/>
    <s v="2711-22-0017"/>
    <s v="Renovate, extend, and equip the Department of Oncology at UKC Maribor"/>
    <s v="The goal of the investment is: construction, craftsmanship and installation (GOI) works, namely the reconstruction and extension of the existing premises of the Department of Oncology at the address Ljubljanska ulica 5, Maribor and the addition of a new tower, supply and installation of general furniture equipment, general medical equipment and equipment for distribution food, supervision and other investment-related costs. The purpose of the investment is to improve the possibilities and hospital capacities in the field of cancer management, to increase the proportion of cancer treatment with radiation, to increase the proportion of nuclear medicine diagnostic examinations for the early detection of diseases, to increase the proportion of hematological-oncological medical treatments, to increase the accessibility of oncology services at UKC Maribor, oncology activity at a common location."/>
    <x v="0"/>
    <x v="0"/>
    <s v="Industry, innovation and infrastructure"/>
    <x v="1"/>
    <s v="UKC Maribor"/>
    <s v="11. All population"/>
    <s v="Planning"/>
    <n v="65635716"/>
    <n v="23496073"/>
    <n v="1356057"/>
    <n v="16278"/>
    <n v="1339779"/>
    <s v="Ministry of health"/>
  </r>
  <r>
    <n v="58"/>
    <s v="2711-22-0018"/>
    <s v="Renovate UKC Ljubljana to improve energy use and align with the Technical Construction Guidelines for medical buildings "/>
    <s v="The goal of the investment is the comprehensive renovation (revitalization) of the Hospital UKC Ljubljana building, Zaloška cesta 2, Ljubljana. With the revitalization, 49,987 m 2 of net floor area will be renovated. Renovation or revitalization of the Hospital building will take place in parallel with the energy renovation of the building. Therefore, for the comprehensive renovation of the building, it is also necessary to carry out its revitalization, which will be carried out at the same time as the energy renovation, for which the funds have already been approved. With the simultaneous implementation of energy rehabilitation and revitalization, the downtime of the work process, which in this case is hospital care, is reduced to a minimum. With the revitalization, we are also getting closer to the requirements prescribed by the new Technical Construction Guideline for medical buildings. The purpose of the implementation of the investment project is to improve the building, with which we contribute to better well-being, functionality and efficiency of the building and its general appearance, which is especially true for the renovation of the interior of the building."/>
    <x v="0"/>
    <x v="0"/>
    <s v="Industry, innovation and infrastructure"/>
    <x v="0"/>
    <s v="UKC Ljubljana"/>
    <s v="11. All population"/>
    <s v="Conception and initiation"/>
    <n v="58685720"/>
    <n v="18863416"/>
    <n v="932841"/>
    <n v="0"/>
    <n v="932841"/>
    <s v="Ministry of health"/>
  </r>
  <r>
    <n v="59"/>
    <s v="2711-22-0020"/>
    <s v="Constructing an extension for the Clinic for Infectious Diseases and Febrile Conditions at the UKC Ljubljana"/>
    <s v="The investment in the extension of the Clinic for Infectious Diseases and Febrile Conditions of the UKC Ljubljana includes construction, trade and installation (GOI) works, with which the construction of the new facility is carried out, the purchase, supply and installation of medical, general and furniture equipment, as well as services related to the implementation of the investment. The purpose of the investment is to: - improve the infrastructural readiness of public health in the Republic of Slovenia for detecting, limiting the spread and treatment of infectious diseases and strengthening the resistance of Slovenian society as a whole to pandemics and epidemics; - The clinic for infectious diseases and febrile conditions of the UKC Ljubljana, as the only regional tertiary health institution, must provide the appropriate conditions of premises and equipment in accordance with applicable regulations and other established norms; -reduce the burden of infectious diseases, especially the impact of epidemics and pandemics on society and the individual; - prevent or limit to a minimum the disruption in the activities and operations of UKC Ljubljana caused by seasonal phenomena or epidemics of communicable diseases."/>
    <x v="0"/>
    <x v="0"/>
    <s v="Industry, innovation and infrastructure"/>
    <x v="0"/>
    <s v="UKC Ljubljana"/>
    <s v="11. All population"/>
    <s v="Planning"/>
    <n v="150847134"/>
    <n v="30922840"/>
    <n v="3193774"/>
    <n v="0"/>
    <n v="3193774"/>
    <s v="Ministry of health"/>
  </r>
  <r>
    <n v="60"/>
    <s v="2711-22-0021"/>
    <s v="Construction of a new Clinic for Infectious Diseases and Febrile Conditions at UMC MB"/>
    <s v="The main goal of the investment is to ensure adequate conditions for the provision of health services, better patient care and higher quality specialist medical treatment in accordance with modern standards. The other goals of the project are as follows: - to ensure spatial conditions for the timely, high-quality and safe implementation of health services under the jurisdiction of the Department for Infectious Diseases and Fever Conditions; - maintain the professional level and ensure normal working conditions for the staff; - to improve the possibilities and hospital capacities in the field of managing infectious diseases and febrile conditions; - to shorten the time otherwise required for the (re)organization of the existing spatial capacities so that they are suitable for managing a larger number of patients in the event of an outbreak of an infectious disease epidemic; - ensure greater accessibility to health services; - increase the efficiency of medical equipment management; - increase the efficiency of the hospital; - to provide opportunities for introducing new methods and improving the conditions for the education of medical personnel; - ensure working conditions in accordance with professional standards."/>
    <x v="0"/>
    <x v="1"/>
    <s v="Industry, innovation and infrastructure"/>
    <x v="0"/>
    <s v="UKC Maribor"/>
    <s v="11. All population"/>
    <s v="Planning"/>
    <n v="54673001"/>
    <n v="11918025"/>
    <n v="730977"/>
    <n v="0"/>
    <n v="730977"/>
    <s v="Ministry of health"/>
  </r>
  <r>
    <n v="61"/>
    <s v="2711-22-1001"/>
    <s v="Renovate and equip the Ivančna Gorica primary care health centre"/>
    <s v="The purpose of the investment is to build and equip the following premises for the implementation of medical programs: reception (71 m2), general and family medicine (281 m2), dental service (216 m2). The aim of the investments is to ensure better conditions for meeting the needs of residents at the primary level of health care."/>
    <x v="0"/>
    <x v="1"/>
    <s v="Industry, innovation and infrastructure"/>
    <x v="0"/>
    <s v="Občina Ivančna Gorica"/>
    <s v="11. All population"/>
    <s v="Execution"/>
    <n v="1424899"/>
    <n v="638602"/>
    <n v="638602"/>
    <n v="348886"/>
    <n v="289716"/>
    <s v="Ministry of health"/>
  </r>
  <r>
    <n v="62"/>
    <s v="2711-22-1002"/>
    <s v="Renovate and equip the Celje primary care health centre"/>
    <s v="The purpose of the investment is to build and equip the following premises for the implementation of health programs: reception (204 m2), general and family medicine (909 m2), health care for preschool children and youth (99 m2), preventive activities (322 m2), dental service (134 m2). The aim of the investments is to ensure better conditions for meeting the needs of residents at the primary level of health care."/>
    <x v="0"/>
    <x v="0"/>
    <s v="Industry, innovation and infrastructure"/>
    <x v="0"/>
    <s v="Občina Celje"/>
    <s v="11. All population"/>
    <s v="Execution"/>
    <n v="3824590"/>
    <n v="1870422"/>
    <n v="1309296"/>
    <n v="0"/>
    <n v="1309296"/>
    <s v="Ministry of health"/>
  </r>
  <r>
    <n v="63"/>
    <s v="2711-22-1004"/>
    <s v="Build and equip the Idrija primary care health centre"/>
    <s v="The purpose is to build and equip premises for the implementation of medical programs: reception (16 m2), general medicine and family medicine (113 m2), health care for preschool children and youth (78 m2). The goal of the investment is to ensure better conditions for meeting the needs of residents at the primary level of health care."/>
    <x v="0"/>
    <x v="0"/>
    <s v="Industry, innovation and infrastructure"/>
    <x v="0"/>
    <s v="Občina Idrija"/>
    <s v="11. All population"/>
    <s v="Execution"/>
    <n v="344032"/>
    <n v="190710"/>
    <n v="190710"/>
    <n v="0"/>
    <n v="190710"/>
    <s v="Ministry of health"/>
  </r>
  <r>
    <n v="64"/>
    <s v="2711-22-1008"/>
    <s v="Extend and equip the Ilirska Bistrica primary care health centre"/>
    <s v="The purpose is to build and equip premises for the implementation of medical programs: reception (728 m2), general and family medicine (488 m2), preventive activities (47 m2), physical medicine (149 m2). The goal of the investment is to ensure better conditions for meeting the needs of residents at the primary level of health care."/>
    <x v="0"/>
    <x v="0"/>
    <s v="Industry, innovation and infrastructure"/>
    <x v="0"/>
    <s v="Občina Ilirska Bistrica"/>
    <s v="11. All population"/>
    <s v="Execution"/>
    <n v="3244226"/>
    <n v="1070320"/>
    <n v="1070320"/>
    <n v="1070320"/>
    <n v="0"/>
    <s v="Ministry of health"/>
  </r>
  <r>
    <n v="65"/>
    <s v="2711-22-1009"/>
    <s v="Extend and equip the Logatec primary care health centre"/>
    <s v="The purpose is to build and equip premises for the implementation of health programs: reception (255 m2), general and family medicine (257 m2), health care for pre-school children and youth (12 m2), outpatient care for families (39 m2), dental service (124 m2 ). The goal of the investment is to ensure better conditions for meeting the needs of residents at the primary level of health care."/>
    <x v="0"/>
    <x v="0"/>
    <s v="Industry, innovation and infrastructure"/>
    <x v="0"/>
    <s v="Občina Logatec"/>
    <s v="11. All population"/>
    <s v="Execution"/>
    <n v="2252718"/>
    <n v="541600"/>
    <n v="541600"/>
    <n v="0"/>
    <n v="541600"/>
    <s v="Ministry of health"/>
  </r>
  <r>
    <n v="66"/>
    <s v="2711-22-1010"/>
    <s v="Renovate the Logatec primary care  health centre to include mental health facilities"/>
    <s v="The purpose is to build and equip premises for the implementation of health programs: preventive activities ? mental health center (287 m2). The goal of the investment is to ensure better conditions for meeting the needs of residents at the primary level of health care."/>
    <x v="0"/>
    <x v="0"/>
    <s v="Industry, innovation and infrastructure"/>
    <x v="0"/>
    <s v="Občina Logatec"/>
    <s v="11. All population"/>
    <s v="Execution"/>
    <n v="619439"/>
    <n v="321440"/>
    <n v="321440"/>
    <n v="12328"/>
    <n v="309112"/>
    <s v="Ministry of health"/>
  </r>
  <r>
    <n v="67"/>
    <s v="2711-22-1011"/>
    <s v="Renovate and equip the Piran primary care health centre"/>
    <s v="The purpose is to build and equip premises for the implementation of medical programs: reception (18 m2), general and family medicine (53 m2), dental service (91 m2). The goal of the investment is to ensure better conditions for meeting the needs of residents at the primary level of health care."/>
    <x v="0"/>
    <x v="0"/>
    <s v="Industry, innovation and infrastructure"/>
    <x v="0"/>
    <s v="Občina Piran"/>
    <s v="11. All population"/>
    <s v="Execution"/>
    <n v="374575"/>
    <n v="236592"/>
    <n v="236592"/>
    <n v="113855"/>
    <n v="122737"/>
    <s v="Ministry of health"/>
  </r>
  <r>
    <n v="68"/>
    <s v="2711-22-1014"/>
    <s v="Renovate and equip the Piran primary care health centre to include radiological and ultrasound diagnostics "/>
    <s v="The purpose of the investment is the construction and equipment of the following premises for the implementation of medical programs: radiological and ultrasound diagnostics (59 m2). The aim of the investments is to ensure better conditions for meeting the needs of residents at the primary level of health care."/>
    <x v="0"/>
    <x v="0"/>
    <s v="Industry, innovation and infrastructure"/>
    <x v="0"/>
    <s v="Občina Idrija"/>
    <s v="11. All population"/>
    <s v="Execution"/>
    <n v="83246"/>
    <n v="44541"/>
    <n v="44541"/>
    <n v="0"/>
    <n v="44541"/>
    <s v="Ministry of health"/>
  </r>
  <r>
    <n v="69"/>
    <s v="2711-22-1015"/>
    <s v="Renovate and equip the Mozirje primary care  health centre"/>
    <s v="The purpose is to build and equip premises for the implementation of medical programs: general medicine and family medicine (153 m2). The goal of the investment is to ensure better conditions for meeting the needs of residents at the primary level of health care."/>
    <x v="0"/>
    <x v="0"/>
    <s v="Industry, innovation and infrastructure"/>
    <x v="0"/>
    <s v="Občina Mozirje"/>
    <s v="11. All population"/>
    <s v="Execution"/>
    <n v="96820"/>
    <n v="96820"/>
    <n v="96820"/>
    <n v="96820"/>
    <n v="0"/>
    <s v="Ministry of health"/>
  </r>
  <r>
    <n v="70"/>
    <s v="2711-22-1016"/>
    <s v="Extend and equip the Izola primary care health centre"/>
    <s v="The purpose is to build and equip premises for the implementation of medical programs: general medicine and family medicine (26 m2), preventive activities (282 m2), physical medicine (50 m2). The goal of the investment is to ensure better conditions for meeting the needs of residents at the primary level of health care."/>
    <x v="0"/>
    <x v="0"/>
    <s v="Industry, innovation and infrastructure"/>
    <x v="0"/>
    <s v="Občina Izola"/>
    <s v="11. All population"/>
    <s v="Execution"/>
    <n v="1036778"/>
    <n v="400960"/>
    <n v="400960"/>
    <n v="150080"/>
    <n v="250880"/>
    <s v="Ministry of health"/>
  </r>
  <r>
    <n v="71"/>
    <s v="2711-22-1017"/>
    <s v="Extend and equip the Lovrenc na Pohorju primary care health centre"/>
    <s v="The purpose is the construction and equipment of premises for the implementation of medical programs: reception (18 m2), general medicine and family medicine (369 m2), outpatient family care (19 m2). The goal of the investment is to ensure better conditions for meeting the needs of residents at the primary level of health care."/>
    <x v="0"/>
    <x v="0"/>
    <s v="Industry, innovation and infrastructure"/>
    <x v="0"/>
    <s v="Občina Lovrenc na Pohorju"/>
    <s v="11. All population"/>
    <s v="Execution"/>
    <n v="867100"/>
    <n v="239040"/>
    <n v="239040"/>
    <n v="0"/>
    <n v="239040"/>
    <s v="Ministry of health"/>
  </r>
  <r>
    <n v="72"/>
    <s v="2711-22-1020"/>
    <s v="Renovate and equip the Vitanje primary care health centre"/>
    <s v="The purpose is to build and equip the following premises for the implementation of medical programs: reception (23 m2), general medicine and family medicine (23 m2). The aim of the investments is to ensure better conditions for meeting the needs of residents at the primary level of health care."/>
    <x v="0"/>
    <x v="0"/>
    <s v="Industry, innovation and infrastructure"/>
    <x v="0"/>
    <s v="Občina Vitanje"/>
    <s v="11. All population"/>
    <s v="Execution"/>
    <n v="87888"/>
    <n v="87888"/>
    <n v="87888"/>
    <n v="87888"/>
    <n v="0"/>
    <s v="Ministry of health"/>
  </r>
  <r>
    <n v="73"/>
    <s v="2711-22-1021"/>
    <s v="Renovate, extend and equip the Črenšovci primary care health centre"/>
    <s v="The purpose is to build and equip premises for the implementation of medical programs: reception (38 m2), general medicine and family medicine (376 m2), outpatient care for families (19 m2), preventive activities (29 m2). The goal of the investment is to ensure better conditions for meeting the needs of residents at the primary level of health care."/>
    <x v="0"/>
    <x v="0"/>
    <s v="Industry, innovation and infrastructure"/>
    <x v="0"/>
    <s v="Občina Črenšovci"/>
    <s v="11. All population"/>
    <s v="Execution"/>
    <n v="1173909"/>
    <n v="317760"/>
    <n v="317760"/>
    <n v="41806"/>
    <n v="275954"/>
    <s v="Ministry of health"/>
  </r>
  <r>
    <n v="74"/>
    <s v="2711-22-1022"/>
    <s v="Renovate and equip the Kamnik primary care health centre"/>
    <s v="The purpose is the construction and equipment of premises for the implementation of medical programs: physical medicine (124 m2). The goal of the investment is to ensure better conditions for meeting the needs of residents at the primary level of health care."/>
    <x v="0"/>
    <x v="0"/>
    <s v="Industry, innovation and infrastructure"/>
    <x v="0"/>
    <s v="Občina Kamnik"/>
    <s v="11. All population"/>
    <s v="Execution"/>
    <n v="474357"/>
    <n v="122177"/>
    <n v="122177"/>
    <n v="54705"/>
    <n v="67472"/>
    <s v="Ministry of health"/>
  </r>
  <r>
    <n v="75"/>
    <s v="2711-22-1023"/>
    <s v="Renovate and equip the Dobrepolje primary care health centre"/>
    <s v="The purpose is to build and equip premises for the implementation of medical programs: reception (129 m2), general medicine and family medicine (95 m2), health care for preschool children and youth (16 m2), radiological and ultrasound diagnostics (19 m2), outpatient family care (14 m2), physical medicine (18 m2), dental service (48 m2). The goal of the investment is to ensure better conditions for meeting the needs of residents at the primary level of health care."/>
    <x v="0"/>
    <x v="0"/>
    <s v="Industry, innovation and infrastructure"/>
    <x v="0"/>
    <s v="Občina Dobrepolje"/>
    <s v="11. All population"/>
    <s v="Execution"/>
    <n v="213144"/>
    <n v="213144"/>
    <n v="213144"/>
    <n v="213144"/>
    <n v="0"/>
    <s v="Ministry of health"/>
  </r>
  <r>
    <n v="76"/>
    <s v="2711-22-1025"/>
    <s v="Extend and equip the Bled primary care health centre"/>
    <s v="The purpose of the investment is the construction and equipping of the following premises for the implementation of health programs: health care for pre-school children and youth (583 m2). The aim of the investments is to ensure better conditions for meeting the needs of residents at the primary level of health care."/>
    <x v="0"/>
    <x v="0"/>
    <s v="Industry, innovation and infrastructure"/>
    <x v="0"/>
    <s v="Občina Bled"/>
    <s v="11. All population"/>
    <s v="Execution"/>
    <n v="1474941"/>
    <n v="702382"/>
    <n v="702382"/>
    <n v="0"/>
    <n v="702382"/>
    <s v="Ministry of health"/>
  </r>
  <r>
    <n v="77"/>
    <s v="2711-22-1026"/>
    <s v="Renovate, extend and equip the Bohinj primary care health centre"/>
    <s v="The purpose of the investment is to build and equip the following premises for the implementation of medical programs: general medicine and family medicine (112 m2). The aim of the investments is to ensure better conditions for meeting the needs of residents at the primary level of health care."/>
    <x v="0"/>
    <x v="0"/>
    <s v="Industry, innovation and infrastructure"/>
    <x v="0"/>
    <s v="Občina Bohinj"/>
    <s v="11. All population"/>
    <s v="Execution"/>
    <n v="275117"/>
    <n v="349945"/>
    <n v="349945"/>
    <n v="79687"/>
    <n v="270258"/>
    <s v="Ministry of health"/>
  </r>
  <r>
    <n v="78"/>
    <s v="2711-22-1027"/>
    <s v="Renovate, extend and equip the Brežice primary care health centre"/>
    <s v="The purpose of the investment is to build and equip the following premises for the implementation of medical programs: reception (167 m2), general medicine and family medicine (499 m2). The aim of the investments is to ensure better conditions for meeting the needs of residents at the primary level of health care."/>
    <x v="0"/>
    <x v="0"/>
    <s v="Industry, innovation and infrastructure"/>
    <x v="0"/>
    <s v="Občina Brežice"/>
    <s v="11. All population"/>
    <s v="Execution"/>
    <n v="6659602"/>
    <n v="853389"/>
    <n v="350000"/>
    <n v="0"/>
    <n v="350000"/>
    <s v="Ministry of health"/>
  </r>
  <r>
    <n v="79"/>
    <s v="2711-22-1028"/>
    <s v="Build and equip the Radovljica primary care health centre"/>
    <s v="The purpose of the investment is the construction and equipping of the following premises for the implementation of health programs: health care for pre-school children and youth (258 m2). The aim of the investments is to ensure better conditions for meeting the needs of residents at the primary level of health care."/>
    <x v="0"/>
    <x v="0"/>
    <s v="Industry, innovation and infrastructure"/>
    <x v="0"/>
    <s v="Občina Radovljica"/>
    <s v="11. All population"/>
    <s v="Execution"/>
    <n v="569705"/>
    <n v="330701"/>
    <n v="147431"/>
    <n v="0"/>
    <n v="147431"/>
    <s v="Ministry of health"/>
  </r>
  <r>
    <n v="80"/>
    <s v="2711-22-1030"/>
    <s v="Renovate and equip the Turnišče primary care health centre"/>
    <s v="The purpose of the investment is the construction and equipping of the following premises for the implementation of health programs: reception (55 m2), outpatient care for families (14 m2), dental service (20 m2). The aim of the investments is to ensure better conditions for meeting the needs of residents at the primary level of health care."/>
    <x v="0"/>
    <x v="0"/>
    <s v="Industry, innovation and infrastructure"/>
    <x v="0"/>
    <s v="Občina Turnišče"/>
    <s v="11. All population"/>
    <s v="Execution"/>
    <n v="442532"/>
    <n v="146716"/>
    <n v="146716"/>
    <n v="0"/>
    <n v="146716"/>
    <s v="Ministry of health"/>
  </r>
  <r>
    <n v="81"/>
    <s v="2711-22-1032"/>
    <s v="Build and equip a new Maribor primary care health centre"/>
    <s v="The purpose of the investment is to build and equip the following premises for the implementation of medical programs: reception (130 m2), general medicine and family medicine (1,098 m2), health care for preschool children and youth (535 m2), women's health care (177 m2), preventive activities (91 m2)."/>
    <x v="0"/>
    <x v="0"/>
    <s v="Industry, innovation and infrastructure"/>
    <x v="0"/>
    <s v="Občina Maribor"/>
    <s v="11. All population"/>
    <s v="Execution"/>
    <n v="9516742"/>
    <n v="2928643"/>
    <n v="2698650"/>
    <n v="0"/>
    <n v="2698650"/>
    <s v="Ministry of health"/>
  </r>
  <r>
    <n v="82"/>
    <s v="2711-22-1033"/>
    <s v="Renovate and equip the Mislinja primary care health centre"/>
    <s v="The purpose of the investment is to build and equip the following premises for the implementation of medical programs: physical medicine (135 m2), dental service (110 m2). Expected completion of the investment: September 2023. The goal of the investment is to ensure better conditions for meeting the needs of the population at the primary level of health care."/>
    <x v="0"/>
    <x v="0"/>
    <s v="Industry, innovation and infrastructure"/>
    <x v="0"/>
    <s v="Občina Mislinja"/>
    <s v="11. All population"/>
    <s v="Execution"/>
    <n v="368951"/>
    <n v="219209"/>
    <n v="219209"/>
    <n v="112500"/>
    <n v="106709"/>
    <s v="Ministry of health"/>
  </r>
  <r>
    <n v="83"/>
    <s v="2711-22-1034"/>
    <s v="Build and equip a new Murska Sobota primary care health centre for general and family medicine_x000a_"/>
    <s v="The purpose of the investment is to build and equip the following premises for the implementation of medical programs: general medicine and family medicine (720 m2). The aim of the investments is to ensure better conditions for meeting the needs of residents at the primary level of health care."/>
    <x v="0"/>
    <x v="0"/>
    <s v="Industry, innovation and infrastructure"/>
    <x v="0"/>
    <s v="Občina Murska Sobota"/>
    <s v="11. All population"/>
    <s v="Execution"/>
    <n v="1582212"/>
    <n v="895936"/>
    <n v="895936"/>
    <n v="0"/>
    <n v="895936"/>
    <s v="Ministry of health"/>
  </r>
  <r>
    <n v="84"/>
    <s v="2711-22-1035"/>
    <s v="Extend and equip the Metlika primary care health centre"/>
    <s v="The purpose is to build and equip premises for the implementation of medical programs: reception (111 m2), general medicine and family medicine (283 m2), health care for preschool children and youth (41 m2), women's health care (27 m2). The goal of the investment is to ensure better conditions for meeting the needs of residents at the primary level of health care."/>
    <x v="0"/>
    <x v="0"/>
    <s v="Industry, innovation and infrastructure"/>
    <x v="0"/>
    <s v="Občina Metlika"/>
    <s v="11. All population"/>
    <s v="Execution"/>
    <n v="994892"/>
    <n v="593448"/>
    <n v="593449"/>
    <n v="7794"/>
    <n v="585655"/>
    <s v="Ministry of health"/>
  </r>
  <r>
    <n v="85"/>
    <s v="2711-22-1036"/>
    <s v="Extend and equip the Nazarje primary care health centre"/>
    <s v="The purpose of the investment is to build and equip the following premises for the implementation of health programs: reception (76 m2), general medicine and family medicine (363 m2), health care for preschool children and youth (389 m2), women's health care (59 m2), outpatient care families (191 m2), preventive activities (324 m2), physical medicine (226 m2), dental service (108 m2). Expected completion of the investment: May 2024. Total value of the investment: EUR 5,926,600.02. The aim of the investments is to ensure better conditions for meeting the needs of residents at the primary level of health care."/>
    <x v="0"/>
    <x v="0"/>
    <s v="Industry, innovation and infrastructure"/>
    <x v="0"/>
    <s v="Občina Nazarje"/>
    <s v="11. All population"/>
    <s v="Execution"/>
    <n v="5926600"/>
    <n v="949192"/>
    <n v="949192"/>
    <n v="0"/>
    <n v="949192"/>
    <s v="Ministry of health"/>
  </r>
  <r>
    <n v="86"/>
    <s v="2711-22-1040"/>
    <s v="Renovate and equip the Slovenska Bistrica primary care health centre"/>
    <s v="The purpose of the investment is the construction and equipping of the following premises for the implementation of health programs: reception (76 m2), health care for preschool children and youth (691 m2), outpatient care for families (173 m2), dental service (548 m2). The aim of the investments is to ensure better conditions for meeting the needs of residents at the primary level of health care."/>
    <x v="0"/>
    <x v="0"/>
    <s v="Industry, innovation and infrastructure"/>
    <x v="0"/>
    <s v="Občina Slovenska Bistrica"/>
    <s v="11. All population"/>
    <s v="Execution"/>
    <n v="5745033"/>
    <n v="2004875"/>
    <n v="2004875"/>
    <n v="0"/>
    <n v="2004875"/>
    <s v="Ministry of health"/>
  </r>
  <r>
    <n v="87"/>
    <s v="2711-22-1041"/>
    <s v="Build and equip a Šentrupert primary care health centre for general and family medicine"/>
    <s v="The purpose of the investment is to build and equip the following premises for the implementation of medical programs: reception (15 m2), general medicine and family medicine (82 m2). Estimated completion of the investment: March 2022. Total value of the investment: EUR 223,822.32. The aim of the investments is to ensure better conditions for meeting the needs of residents at the primary level of health care."/>
    <x v="0"/>
    <x v="0"/>
    <s v="Industry, innovation and infrastructure"/>
    <x v="0"/>
    <s v="Občina Šentrupert"/>
    <s v="11. All population"/>
    <s v="Execution"/>
    <n v="187795"/>
    <n v="111550"/>
    <n v="111550"/>
    <n v="111550"/>
    <n v="0"/>
    <s v="Ministry of health"/>
  </r>
  <r>
    <n v="88"/>
    <s v="2711-22-1042"/>
    <s v="Build and equip a Šmarje pri Jelšah primary care health centre"/>
    <s v="The purpose of the investment is to arrange rooms for physiotherapy and other health care services at the primary level, namely to build and equip the following rooms for the implementation of health programs: reception (114 m2), family care (28 m2), preventive activities (79 m2), physical medicine (337 m2). The aim of the investments is to ensure better conditions for meeting the needs of residents at the primary level of health care."/>
    <x v="0"/>
    <x v="0"/>
    <s v="Industry, innovation and infrastructure"/>
    <x v="0"/>
    <s v="Občina Šmarje pri Jelšah"/>
    <s v="11. All population"/>
    <s v="Execution"/>
    <n v="1671969"/>
    <n v="648390"/>
    <n v="648390"/>
    <n v="0"/>
    <n v="648390"/>
    <s v="Ministry of health"/>
  </r>
  <r>
    <n v="89"/>
    <s v="2711-22-1044"/>
    <s v="Extend and equip the Cerknica primary care health centre"/>
    <s v="The purpose of the investment is to build and equip the following premises for the implementation of medical programs: general medicine and family medicine (343 m2), health care for preschool children and youth (284 m2). Estimated completion of the investment: October 2023. Total value of the investment: EUR 2,072,565.28. The aim of the investments is to ensure better conditions for meeting the needs of residents at the primary level of health care."/>
    <x v="0"/>
    <x v="0"/>
    <s v="Industry, innovation and infrastructure"/>
    <x v="0"/>
    <s v="Občina Cerjnica"/>
    <s v="11. All population"/>
    <s v="Execution"/>
    <n v="2072565"/>
    <n v="364762"/>
    <n v="364762"/>
    <n v="0"/>
    <n v="364762"/>
    <s v="Ministry of health"/>
  </r>
  <r>
    <n v="90"/>
    <s v="2711-22-1045"/>
    <s v="Build and equip a new Lenart primary care health centre_x000a_"/>
    <s v="The purpose of the investment is to build and equip the following premises for the implementation of medical programs: reception (195 m2), general medicine and family medicine (157 m2), women's health care (58 m2), preventive activities (100 m2), dental service (39 m2) . The aim of the investments is to ensure better conditions for meeting the needs of residents at the primary level of health care."/>
    <x v="0"/>
    <x v="0"/>
    <s v="Industry, innovation and infrastructure"/>
    <x v="0"/>
    <s v="Občina Lenart"/>
    <s v="11. All population"/>
    <s v="Execution"/>
    <n v="1226574"/>
    <n v="680960"/>
    <n v="365646"/>
    <n v="0"/>
    <n v="365646"/>
    <s v="Ministry of health"/>
  </r>
  <r>
    <n v="91"/>
    <s v="2711-94-0001"/>
    <s v="Renovate and equip various unites at UKC Ljubljana to modernise the facilities and improve fire safety"/>
    <s v="The dilapidation of the arrangement, the lack of space and fire safety issues dictate the modernization and upgrading of the emergency unit, OP unit, central laboratories and the center of intensive care in the DTS facility, as well as the renovation of the hospital unit. Funds are needed for GOI work and for equipment."/>
    <x v="0"/>
    <x v="0"/>
    <s v="Industry, innovation and infrastructure"/>
    <x v="0"/>
    <s v="UKC Ljubljana"/>
    <s v="All population"/>
    <s v="Execution"/>
    <n v="114262039"/>
    <n v="70315008"/>
    <n v="5377468"/>
    <n v="4608699"/>
    <n v="768769"/>
    <s v="Ministry of health"/>
  </r>
  <r>
    <n v="92"/>
    <s v="2711-94-0006"/>
    <s v="Renovate, extend and equip the Ljubljana Oncology Institute "/>
    <s v="Continuation and finalization of replacement construction and reconstruction or. modernization of existing facilities also requires the necessary funds for modern equipment and landscaping with municipal infrastructure. The centralization of modern arrangements in a common place ensures the long-term normal functioning of most of the Institute."/>
    <x v="0"/>
    <x v="0"/>
    <s v="Industry, innovation and infrastructure"/>
    <x v="0"/>
    <s v="Onkološki inštitut Ljubljana"/>
    <s v="All population"/>
    <s v="Execution"/>
    <n v="98788088"/>
    <n v="46646593"/>
    <n v="442972"/>
    <n v="10858"/>
    <n v="432114"/>
    <s v="Ministry of health"/>
  </r>
  <r>
    <n v="93"/>
    <s v="2711-94-0010"/>
    <s v="Construct and equip hospital wards at SB Celje "/>
    <s v="Finalization of premises in the existing, still unfinished construction of orthopedic and other hospital wards, emergency block and specialist outpatient services; modernization of older existing facilities. The gradual purchase of general and medical equipment and infrastructure enables the modern arrangement of the hospital as a whole and the provision of appropriate standards."/>
    <x v="0"/>
    <x v="0"/>
    <s v="Industry, innovation and infrastructure"/>
    <x v="0"/>
    <s v="Splošna bolnišnica Celje"/>
    <s v="All population"/>
    <s v="Execution"/>
    <n v="116504517"/>
    <n v="37007937"/>
    <n v="13394618"/>
    <n v="10048866"/>
    <n v="3345752"/>
    <s v="Ministry of health"/>
  </r>
  <r>
    <n v="94"/>
    <s v="2711-94-0034"/>
    <s v="Investment preparation and land purchases for public health institutions"/>
    <s v="Preparation and revision of studies and programs for public procurement of an investment nature and preparation of common bases for the planning of investment projects and the regulation of ownership and land registry relations, including possible purchases for the needs of public health institutions."/>
    <x v="0"/>
    <x v="1"/>
    <s v="Industry, innovation and infrastructure"/>
    <x v="0"/>
    <s v="External contractors"/>
    <s v="All population"/>
    <s v="Execution"/>
    <n v="1352639"/>
    <n v="949166"/>
    <n v="186430"/>
    <n v="186430"/>
    <n v="0"/>
    <s v="Ministry of health"/>
  </r>
  <r>
    <n v="95"/>
    <s v="2711-99-0004"/>
    <s v="Renovations to improve fire safety at the University Medical Center Maribor"/>
    <s v="Execution of construction and installation works for the installation of a fire extinguisher and the processing of fire sectors on the high-rise of the University Medical Center Maribor and the handover of the facility and equipment to the management of the University Clinical Center Maribor."/>
    <x v="0"/>
    <x v="0"/>
    <s v="Industry, innovation and infrastructure"/>
    <x v="0"/>
    <s v="UKC Maribor"/>
    <s v="All population"/>
    <s v="Execution"/>
    <n v="10338101"/>
    <n v="9494842"/>
    <n v="2787208"/>
    <n v="2787208"/>
    <n v="0"/>
    <s v="Ministry of health"/>
  </r>
  <r>
    <n v="96"/>
    <s v="Portfolio of projects nr. 156"/>
    <s v="Purchase, construction, refurbishment and equipment investments in kindergartens and primary schools_x000a_"/>
    <s v="Co-financing of 126 of investments in kindergartens and primary education in the Republic of Slovenia in the budget period 2021-2024."/>
    <x v="2"/>
    <x v="5"/>
    <s v="Reduced inequalities"/>
    <x v="0"/>
    <s v="Communities"/>
    <s v="11. All population"/>
    <s v="Execution"/>
    <n v="243324362"/>
    <n v="81846335"/>
    <n v="64808145"/>
    <n v="48950106"/>
    <n v="15858039"/>
    <s v="Ministry of Education"/>
  </r>
  <r>
    <n v="97"/>
    <s v="2611-21-0913"/>
    <s v="Construction of a modern 49-bed retirement home in the Municipality of Kozje that will enable users to receive institutional care, social care and health services, maintain social inclusion in their personal and wider social network of the local environment, as well as intergenerational cooperation and socialising."/>
    <s v="The purpose of the investment is to build a dislocated unit, which will provide adequate facilities in the home environment, a safer living and working environment for all users, improve living conditions for residents, and enable conditions to adequately prevent the spread of viral infections, while at the same time providing residents with a creative, active and quality leisure time. The investment will provide a modern facility that will enable users to receive institutional care, social care and health services, maintain social inclusion in their personal and wider social network of the local environment, as well as intergenerational cooperation and socialising."/>
    <x v="1"/>
    <x v="4"/>
    <s v="Reduced inequalities"/>
    <x v="0"/>
    <s v="Dom starejših občanov Šmarje pri Jelšah"/>
    <s v="persons aged 65 and over"/>
    <s v="Execution"/>
    <n v="5715358"/>
    <n v="4776377"/>
    <n v="2772477"/>
    <n v="300088"/>
    <n v="2472389"/>
    <s v="Ministry of Solidarity-Based Future"/>
  </r>
  <r>
    <n v="98"/>
    <s v="2611-22-0903"/>
    <s v="Construction of a new 26-bed retirement home in the Municipality of Podčetrte that will enable the residents to live, receive social care and health services in the middle of their lives, allowing them to be optimally connected to their relatives and their home environment. "/>
    <s v="The purpose of the investment is to build a unit of the Šmarje pri Jelšah Retirement Home adjacent to the existing facility in Podčetrtek, which will provide the necessary additional capacities in the home environment, either in the form of institutional care or day care, improve the living conditions of the residents and enable conditions for adequate prevention of the spread of viral infections, while ensuring a quality time for the residents. The investment will provide a new facility that will enable the residents to live, receive social care and health services in the middle of their lives, allowing them to be optimally connected to their relatives and their home environment. "/>
    <x v="1"/>
    <x v="4"/>
    <s v="Reduced inequalities"/>
    <x v="0"/>
    <s v="Dom starejših občanov Šmarje pri Jelšah"/>
    <s v="persons aged 65 and over"/>
    <s v="Execution"/>
    <n v="190731"/>
    <n v="188748"/>
    <n v="188748"/>
    <n v="28458"/>
    <n v="160290"/>
    <s v="Ministry of Solidarity-Based Future"/>
  </r>
  <r>
    <n v="99"/>
    <s v="2611-22-0902"/>
    <s v="Extension of the retirement home in Slovenska Bistrica by 76 beds to provide adequate social care infrastructure to keep pace with demographic trends, to provide quality care for the elderly, to reduce the number of people waiting to be admitted to care and to contribute to improving the quality of the social environment."/>
    <s v="The purpose of the investment is to provide adequate spatial conditions to increase the capacity of the home unit in Slovenski Bistrica by an additional 76 persons. At the same time, the accompanying medical and service programme, especially the kitchen, will be appropriately increased. The investment (extension, extension and reconstruction of the existing building) will provide adequate social care infrastructure to keep pace with demographic trends, to provide quality care for the elderly, to reduce the number of people waiting to be admitted to care and to contribute to improving the quality of the social environment."/>
    <x v="1"/>
    <x v="4"/>
    <s v="Reduced inequalities"/>
    <x v="0"/>
    <s v="Dom dr. Jožeta Potrča Poljčane"/>
    <s v="persons aged 65 and over"/>
    <s v="Execution"/>
    <n v="4223602"/>
    <n v="152878"/>
    <n v="152878"/>
    <n v="149311"/>
    <n v="3567"/>
    <s v="Ministry of Solidarity-Based Future"/>
  </r>
  <r>
    <n v="100"/>
    <s v="2611-22-0929"/>
    <s v="Extension and rebuilding of the returement home in Trebnje, providing new, additional space, and converting the multi-bed rooms into single and double rooms."/>
    <s v="The purpose of the investment is to extend and rebuild the existing building, providing new, additional space, and converting the multi-bed rooms into single and double rooms, ensuring that they comply with the required standards and norms, improving the living standards of the residents and facilitating the prevention of the transmission of infections in the event of an outbreak of an epidemic or other infectious diseases. The extension of the unused attic space is planned to provide living and sanitary facilities. The investment will provide a better, safer and more pleasant living environment for the residents and working environment for the staff, enable the separation of clean and unclean routes and the creation of grey and red zones, and provide adequate space conditions for the provision of efficient, safe and personalised services."/>
    <x v="1"/>
    <x v="4"/>
    <s v="Reduced inequalities"/>
    <x v="0"/>
    <s v="Dom starejših občanov Trebnje"/>
    <s v="persons aged 65 and over"/>
    <s v="Execution"/>
    <n v="397232"/>
    <n v="397232"/>
    <n v="397232"/>
    <n v="69092"/>
    <n v="328140"/>
    <s v="Ministry of Solidarity-Based Future"/>
  </r>
  <r>
    <n v="101"/>
    <s v="2611-22-0910"/>
    <s v="Construction of a 25-bed retirement home in the Municipality of Vrhnika that will enable institutional care, especially for residents with dementia, while at the same time ensuring adequate, safe and quality living conditions, preventing the spread of infections and ensuring the safe treatment of residents and staff in the event of infections."/>
    <s v="The purpose of the investment is the construction of a new unit, including the improvement of the external areas, which will provide new, alternative capacity for 24 residents with dementia, with the aim of providing a friendly, safe and high-quality living environment in the context of institutional care, thus meeting the need for organised and quality long-term care and ensuring an adequate standard, and one place will be used for isolation in the event of infection or for temporary/crisis accommodation. The investment will provide a new facility that will enable institutional care, especially for residents with dementia, while at the same time ensuring adequate, safe and quality living conditions, preventing the spread of infections and ensuring the safe treatment of residents and staff in the event of infections."/>
    <x v="1"/>
    <x v="4"/>
    <s v="Reduced inequalities"/>
    <x v="0"/>
    <s v="Dom upokojencev Vrhnika"/>
    <s v="persons aged 65 and over"/>
    <s v="Execution"/>
    <n v="2750380"/>
    <n v="2705661"/>
    <n v="2705661"/>
    <n v="1123395"/>
    <n v="1582266"/>
    <s v="Ministry of Solidarity-Based Future"/>
  </r>
  <r>
    <n v="102"/>
    <s v="2611-22-0917"/>
    <s v="Construction of a dispersed living unit in Lenart that will enable users to receive institutional care, social care and health services and maintain their social inclusion in their personal and wider social network of the local environment."/>
    <s v="The purpose of the investment is to build a dispersed living unit, which will provide adequate capacity and a pleasant and safe living environment for the residents, improve living and working conditions for all users, and improve security and enable conditions for the adequate prevention of the spread of viral infections by the possibility of establishing a grey and red zone. The unit will consist of nine buildings, each building will accommodate 12 residents, for a total of 70 persons. The investment will provide a new facility that will enable users to receive institutional care, social care and health services and maintain their social inclusion in their personal and wider social network of the local environment."/>
    <x v="1"/>
    <x v="4"/>
    <s v="Reduced inequalities"/>
    <x v="0"/>
    <s v="Posebni socialnovarstveni zavod Hrastovec"/>
    <s v="people with mental health problems"/>
    <s v="Execution"/>
    <n v="4196593"/>
    <n v="3974497"/>
    <n v="3974497"/>
    <n v="1352123"/>
    <n v="2622374"/>
    <s v="Ministry of Solidarity-Based Future"/>
  </r>
  <r>
    <n v="103"/>
    <s v="2611-23-0301"/>
    <s v="Partial reimbursement of salaries for workers waiting for work while reconstruction efforts following the August 2023 floods conclude"/>
    <s v="Measures to help and rehabilitate the consequences of floods - August 2023."/>
    <x v="1"/>
    <x v="8"/>
    <s v="Decent work and economic growth"/>
    <x v="3"/>
    <s v="municipalities, corporates, individuals"/>
    <s v="affected by a natural disaster"/>
    <s v="Execution"/>
    <n v="21528000"/>
    <n v="2924339"/>
    <n v="2924339"/>
    <n v="0"/>
    <n v="2924339"/>
    <s v="Ministry of Labour, Family, Social Affairs and Equal Opportunities"/>
  </r>
  <r>
    <n v="104"/>
    <s v="2611-23-0704"/>
    <s v="Investments to repair flood damage mun from the August 2023 floods and associated landslides_x000a_"/>
    <s v="Measures to help and rehabilitate the consequences of floods - August 2023."/>
    <x v="1"/>
    <x v="8"/>
    <s v="Sustainable cities and communities"/>
    <x v="3"/>
    <s v="municipalities, individuals"/>
    <s v="affected by a natural disaster"/>
    <s v="Execution"/>
    <n v="1198433"/>
    <n v="1197340"/>
    <n v="1145075"/>
    <n v="0"/>
    <n v="1145075"/>
    <s v="Ministry of Labour, Family, Social Affairs and Equal Opportunities"/>
  </r>
  <r>
    <n v="105"/>
    <s v="2611-23-0801"/>
    <s v="One time solidarity aid for social care workers"/>
    <s v="Measures to help and rehabilitate the consequences of floods - August 2023."/>
    <x v="1"/>
    <x v="8"/>
    <s v="Sustainable cities and communities"/>
    <x v="3"/>
    <s v="municipalities, individuals"/>
    <s v="affected by a natural disaster"/>
    <s v="Execution"/>
    <n v="100232"/>
    <n v="44770"/>
    <n v="44770"/>
    <n v="0"/>
    <n v="44770"/>
    <s v="Ministry of Labour, Family, Social Affairs and Equal Opportunities"/>
  </r>
  <r>
    <n v="106"/>
    <s v="2611-23-0503"/>
    <s v="Provision of additional counselling and psychological assistance for users of public social welfare programmes, following increased demand due to the impact of natural disasters"/>
    <s v="Measures to help and rehabilitate the consequences of floods - August 2023."/>
    <x v="1"/>
    <x v="8"/>
    <s v="Sustainable cities and communities"/>
    <x v="3"/>
    <s v="municipalities, individuals"/>
    <s v="affected by a natural disaster"/>
    <s v="Execution"/>
    <n v="11182"/>
    <n v="11182"/>
    <n v="11182"/>
    <n v="0"/>
    <n v="11182"/>
    <s v="Ministry of Labour, Family, Social Affairs and Equal Opportunities"/>
  </r>
  <r>
    <n v="107"/>
    <s v="2611-23-0401"/>
    <s v="Family support programmes to respond to the increased demand for support for children and young people, or their families, who are facing hardships caused by natural disasters"/>
    <s v="Measures to help and rehabilitate the consequences of floods - August 2023."/>
    <x v="1"/>
    <x v="8"/>
    <s v="Sustainable cities and communities"/>
    <x v="3"/>
    <s v="municipalities, individuals"/>
    <s v="affected by a natural disaster"/>
    <s v="Execution"/>
    <n v="38011"/>
    <n v="16200"/>
    <n v="16200"/>
    <n v="0"/>
    <n v="16200"/>
    <s v="Ministry of Labour, Family, Social Affairs and Equal Opportunities"/>
  </r>
  <r>
    <n v="108"/>
    <s v="2711-23-0005"/>
    <s v="Provisioning of emergency transport and emergency treatment for socially vulnerable people"/>
    <s v="In order to implement the measure Health care for vulnerable groups, activities will be carried out to provide emergency treatment and emergency transport by vehicles and state vessels for persons for whom it is not possible to provide a payer; however, they are referred for emergency treatment by the attending physician or seek emergency help from a physician on their own or with the help of others."/>
    <x v="0"/>
    <x v="2"/>
    <s v="Good health and well-being"/>
    <x v="0"/>
    <s v="Public institutions, external contractors, non-profit organizations"/>
    <s v="All population"/>
    <s v="Execution"/>
    <n v="145917006"/>
    <n v="140117006"/>
    <n v="46696006"/>
    <n v="0"/>
    <n v="46696006"/>
    <s v="Ministry of health"/>
  </r>
  <r>
    <n v="109"/>
    <s v="2711-23-0006"/>
    <s v="Postgraduate training of health workers_x000a_"/>
    <s v="Providing conditions for the qualification of health care workers and associates for independent work in the health care activity."/>
    <x v="0"/>
    <x v="1"/>
    <s v="Good health and well-being"/>
    <x v="0"/>
    <s v="Zavod za zdravstveno zavarovanje RS"/>
    <s v="All population"/>
    <s v="Execution"/>
    <n v="380045406"/>
    <n v="297874811"/>
    <n v="96848323"/>
    <n v="0"/>
    <n v="96848323"/>
    <s v="Ministry of health"/>
  </r>
  <r>
    <n v="110"/>
    <s v="2711-23-0007"/>
    <s v="Funding for the National Institute of Public Health to provide services for public health_x000a_"/>
    <s v="Funds are provided for the provision of public service in the field of public health activities, which is performed by the National Institute of Public Health (NIJZ) in accordance with the Health Activity Act. The content and scope of tasks shall be determined in the annual work program approved by the Ministry. Professional and development tasks in the field of worker protection are co-financed."/>
    <x v="0"/>
    <x v="1"/>
    <s v="Good health and well-being"/>
    <x v="0"/>
    <s v="Nacionalni inštitut za javno zdravje"/>
    <s v="All population"/>
    <s v="Execution"/>
    <n v="64269987"/>
    <n v="41549987"/>
    <n v="15535337"/>
    <n v="0"/>
    <n v="15535337"/>
    <s v="Ministry of health"/>
  </r>
  <r>
    <n v="111"/>
    <s v="2711-23-0016"/>
    <s v="Support for the regulation and development of the health care system, in particular around funding, organization and effective governance, as well as the provision of health care and long-term care_x000a_"/>
    <s v="Activities include support for the implementation of comprehensive systemic legislative changes in the areas of funding, organization and effective governance, and the provision of health care and long-term care."/>
    <x v="0"/>
    <x v="1"/>
    <s v="Good health and well-being"/>
    <x v="0"/>
    <s v="External contractors, non-profit organizations, public institutions"/>
    <s v="All population"/>
    <s v="Execution"/>
    <n v="3058419"/>
    <n v="3058419"/>
    <n v="428619"/>
    <n v="0"/>
    <n v="428619"/>
    <s v="Ministry of health"/>
  </r>
  <r>
    <n v="112"/>
    <s v="2711-23-0018"/>
    <s v="Strengthening the competences of personnel in healthcare to ensure the quality of care in the field of geriatric care for the elderly"/>
    <s v="The purpose of the project is to upgrade the competences of employees in the field of health and social care and others who come into contact with the aging population in their work, and to develop tools for establishing a comprehensive approach to the treatment of the geriatric population, which will enable the systematic identification of the needs of the elderly and their most optimal health care."/>
    <x v="0"/>
    <x v="3"/>
    <s v="Good health and well-being"/>
    <x v="2"/>
    <s v="Public institutions, external contractors, non-profit organizations"/>
    <s v="All population"/>
    <s v="Execution"/>
    <n v="3246022"/>
    <n v="314003"/>
    <n v="2240"/>
    <n v="0"/>
    <n v="2240"/>
    <s v="Ministry of health"/>
  </r>
  <r>
    <n v="113"/>
    <s v="2711-23-0020"/>
    <s v="Strengthening palliative mobile teams trough equpment and training of mobile palliative teams _x000a_"/>
    <s v="The basic (general) goal of the investment is to provide the necessary equipment and train 14 mobile palliative care teams for the needs of palliative care activities. With the implementation of the project, the Republic of Slovenia will provide a network of regional coverage with those who are qualified to perform this activity and medical and other equipment for their work. New treatment methods in these areas will prevent unnecessary hospitalizations, which will have a positive effect on the financial sustainability of the system. Staffing will be provided through reorganization of work, whereby patients will be treated at the primary level of the health system."/>
    <x v="0"/>
    <x v="1"/>
    <s v="Good health and well-being"/>
    <x v="2"/>
    <s v="Public institutions, external contractors, non-profit organizations"/>
    <s v="All population"/>
    <s v="Execution"/>
    <n v="2345975"/>
    <n v="206862"/>
    <n v="66196"/>
    <n v="0"/>
    <n v="66196"/>
    <s v="Ministry of health"/>
  </r>
  <r>
    <n v="114"/>
    <s v="2711-23-0021"/>
    <s v="Payouts for increased workload in healthcare for attendant positions"/>
    <s v="Payouts for increased workload in healthcare for attendant positions."/>
    <x v="0"/>
    <x v="1"/>
    <s v="Good health and well-being"/>
    <x v="2"/>
    <s v="Public institutions, external contractors, non-profit organizations"/>
    <s v="All population"/>
    <s v="Execution"/>
    <n v="9356674"/>
    <n v="9356674"/>
    <n v="4346874"/>
    <n v="0"/>
    <n v="4346874"/>
    <s v="Ministry of health"/>
  </r>
  <r>
    <n v="115"/>
    <s v="2711-23-0008"/>
    <s v="Funding for the National Laboratory for Health, Environment and Food, which provides services related to public health such as monitoring the quality of drinking water _x000a_"/>
    <s v="The measure ensures the implementation of the annual work program of the National Laboratory for Health, Environment and Food, which, based on the provisions of ZZDej, performs public service in the field of public health. Tasks are defined in 23 c. article ZZDej, which includes, among other things, the implementation of drinking water monitoring and a comprehensive assessment of environmental impacts."/>
    <x v="0"/>
    <x v="1"/>
    <s v="Good health and well-being"/>
    <x v="2"/>
    <s v="Public institutions, external contractors, non-profit organizations"/>
    <s v="All population"/>
    <s v="Execution"/>
    <n v="12852586"/>
    <n v="8212586"/>
    <n v="2408626"/>
    <n v="0"/>
    <n v="2408626"/>
    <s v="Ministry of health"/>
  </r>
  <r>
    <n v="116"/>
    <s v="2711-23-0003"/>
    <s v="Development, promotion and coordination of organ transplant and blood donation within Slovenia _x000a_"/>
    <s v="As part of the transfusion and transplantation activities, we will perform the following activities: blood supply as part of the transfusion activity (performed by the Institute of Transfusion Medicine and, to a lesser extent, transfusion centers at the University Medical Center Maribor and the Celje General Hospital), which includes planning, collection, processing, testing, storage, distribution, treatment and even and sufficient supply of the population with blood and blood products (ie blood plasma drugs) and trade in them, providing a sufficient amount of blood for the needs of the Republic of Slovenia through blood donation campaigns (carried out by the Red Cross), development , promotion and coordination of transplantation activity in Slovenia (performed by Slovenija Transplant)."/>
    <x v="0"/>
    <x v="2"/>
    <s v="Good health and well-being"/>
    <x v="2"/>
    <s v="Public institutions, non-profit organizations, other public service providers, individuals"/>
    <s v="All population"/>
    <s v="Execution"/>
    <n v="11461552"/>
    <n v="8627535"/>
    <n v="2461015"/>
    <n v="0"/>
    <n v="2461015"/>
    <s v="Ministry of health"/>
  </r>
  <r>
    <n v="117"/>
    <s v="2611-23-0502"/>
    <s v="Solidarity aid in the form of extraordinary monetary social assistance for people affected by the August 2023 floods and landslides "/>
    <s v="Measures to help and rehabilitate the consequences of floods - August 2023."/>
    <x v="1"/>
    <x v="8"/>
    <s v="Reduced inequalities"/>
    <x v="1"/>
    <s v="municipalities, corporates, individuals"/>
    <s v="Individuals"/>
    <s v="Execution"/>
    <n v="57321137"/>
    <n v="57003898"/>
    <n v="48881829"/>
    <n v="0"/>
    <n v="48881829"/>
    <s v="Ministry of Labour, Family, Social Affairs and Equal Opportunities"/>
  </r>
  <r>
    <n v="118"/>
    <s v="Portfolio of projects nr. 1"/>
    <s v="Investments to repair flood-damaged municipal infrastructure from the August 2023 floods and associated landslides_x000a_"/>
    <s v="Providing access to essential infrastructure and services to populations affected by natural disasters"/>
    <x v="1"/>
    <x v="8"/>
    <s v="Reduced inequalities"/>
    <x v="1"/>
    <s v="municipialities"/>
    <s v="Population in Slovenia affected by a natural disaster"/>
    <s v="Execution"/>
    <n v="837577863"/>
    <n v="136818378"/>
    <n v="136665470"/>
    <n v="0"/>
    <n v="136665470"/>
    <s v="Ministry of Natural Resources and Spatial Planning"/>
  </r>
  <r>
    <n v="119"/>
    <s v="Portfolio of projects nr. 2"/>
    <s v="Investments to repair damaged local  infrastructure in eastern Slovenia from the May 2023 storms and associated floods and landslides_x000a_"/>
    <s v="Providing access to essential infrastructure and services to populations affected by natural disasters"/>
    <x v="1"/>
    <x v="8"/>
    <s v="Reduced inequalities"/>
    <x v="1"/>
    <s v="municipialities"/>
    <s v="Population in Slovenia affected by a natural disaster"/>
    <s v="Execution"/>
    <n v="3414890"/>
    <n v="1365950"/>
    <n v="1365950"/>
    <n v="0"/>
    <n v="1365950"/>
    <s v="Ministry of Natural Resources and Spatial Planning"/>
  </r>
  <r>
    <n v="120"/>
    <s v="Portfolio of projects nr. 3"/>
    <s v="Investments to repair damaged local  infrastructure in eastern Slovenia from the May 2023 storms and associated floods and landslides_x000a_"/>
    <s v="Providing access to essential infrastructure and services to populations affected by natural disasters"/>
    <x v="1"/>
    <x v="8"/>
    <s v="Reduced inequalities"/>
    <x v="1"/>
    <s v="municipialities"/>
    <s v="Population in Slovenia affected by a natural disaster"/>
    <s v="Execution"/>
    <n v="15740555"/>
    <n v="5187721"/>
    <n v="5187721"/>
    <n v="0"/>
    <n v="5187721"/>
    <s v="Ministry of Natural Resources and Spatial Planning"/>
  </r>
  <r>
    <n v="121"/>
    <s v="Portfolio of projects nr. 4"/>
    <s v="Investments to repair flood-damaged local infrastructure in north and east Slovenia from the July 2023 floods _x000a_"/>
    <s v="Providing access to essential infrastructure and services to populations affected by natural disasters"/>
    <x v="1"/>
    <x v="8"/>
    <s v="Reduced inequalities"/>
    <x v="1"/>
    <s v="municipialities"/>
    <s v="Population in Slovenia affected by a natural disaster"/>
    <s v="Execution"/>
    <n v="4902147"/>
    <n v="1960848"/>
    <n v="1960848"/>
    <n v="0"/>
    <n v="1960848"/>
    <s v="Ministry of Natural Resources and Spatial Planning"/>
  </r>
  <r>
    <n v="122"/>
    <s v="Portfolio of projects nr. 5"/>
    <s v="Investments to repair flood-damaged municipal infrastructure from the August 2023 floods and associated landslides_x000a_"/>
    <s v="Providing access to essential infrastructure and services to populations affected by natural disasters"/>
    <x v="1"/>
    <x v="8"/>
    <s v="Reduced inequalities"/>
    <x v="1"/>
    <s v="municipialities"/>
    <s v="Population in Slovenia affected by a natural disaster"/>
    <s v="Execution"/>
    <n v="16980661"/>
    <n v="6749141"/>
    <n v="6749137"/>
    <n v="0"/>
    <n v="6749137"/>
    <s v="Ministry of Natural Resources and Spatial Planning"/>
  </r>
  <r>
    <n v="123"/>
    <s v="2560-23-0005"/>
    <s v="Investments to repair storm-damaged local infrastructure from the September 2022 storm and associated landslides"/>
    <s v="Providing access to essential infrastructure and services to populations affected by natural disasters"/>
    <x v="1"/>
    <x v="8"/>
    <s v="Reduced inequalities"/>
    <x v="1"/>
    <s v="municipialities"/>
    <s v="Population in Slovenia affected by a natural disaster"/>
    <s v="Execution"/>
    <n v="13925925"/>
    <n v="13925925"/>
    <n v="8405925"/>
    <n v="0"/>
    <n v="8405925"/>
    <s v="Ministry of Natural Resources and Spatial Planning"/>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680B435-7FCE-4E5F-91E6-1877D925A4C0}" name="Vrtilna tabela3" cacheId="9" applyNumberFormats="0" applyBorderFormats="0" applyFontFormats="0" applyPatternFormats="0" applyAlignmentFormats="0" applyWidthHeightFormats="1" dataCaption="Vrednosti" grandTotalCaption="Total" updatedVersion="8" minRefreshableVersion="3" useAutoFormatting="1" itemPrintTitles="1" createdVersion="8" indent="0" outline="1" outlineData="1" multipleFieldFilters="0" rowHeaderCaption="GBC">
  <location ref="A3:D11" firstHeaderRow="0" firstDataRow="1" firstDataCol="1"/>
  <pivotFields count="18">
    <pivotField showAll="0"/>
    <pivotField showAll="0"/>
    <pivotField showAll="0"/>
    <pivotField showAll="0"/>
    <pivotField axis="axisRow" showAll="0">
      <items count="3">
        <item x="0"/>
        <item x="1"/>
        <item t="default"/>
      </items>
    </pivotField>
    <pivotField axis="axisRow" showAll="0">
      <items count="6">
        <item x="1"/>
        <item x="4"/>
        <item x="3"/>
        <item x="2"/>
        <item x="0"/>
        <item t="default"/>
      </items>
    </pivotField>
    <pivotField showAll="0"/>
    <pivotField showAll="0"/>
    <pivotField showAll="0"/>
    <pivotField showAll="0"/>
    <pivotField showAll="0"/>
    <pivotField showAll="0"/>
    <pivotField numFmtId="3" showAll="0"/>
    <pivotField numFmtId="3" showAll="0"/>
    <pivotField dataField="1" numFmtId="3" showAll="0"/>
    <pivotField dataField="1" numFmtId="3" showAll="0"/>
    <pivotField dataField="1" numFmtId="3" showAll="0"/>
    <pivotField showAll="0"/>
  </pivotFields>
  <rowFields count="2">
    <field x="4"/>
    <field x="5"/>
  </rowFields>
  <rowItems count="8">
    <i>
      <x/>
    </i>
    <i r="1">
      <x/>
    </i>
    <i r="1">
      <x v="2"/>
    </i>
    <i r="1">
      <x v="3"/>
    </i>
    <i r="1">
      <x v="4"/>
    </i>
    <i>
      <x v="1"/>
    </i>
    <i r="1">
      <x v="1"/>
    </i>
    <i t="grand">
      <x/>
    </i>
  </rowItems>
  <colFields count="1">
    <field x="-2"/>
  </colFields>
  <colItems count="3">
    <i>
      <x/>
    </i>
    <i i="1">
      <x v="1"/>
    </i>
    <i i="2">
      <x v="2"/>
    </i>
  </colItems>
  <dataFields count="3">
    <dataField name=" RS financing 2022 (EUR)" fld="15" baseField="6" baseItem="2" numFmtId="3"/>
    <dataField name=" RS financing 2023 (EUR)" fld="16" baseField="0" baseItem="0"/>
    <dataField name=" Bond eligible amount (EUR)_x000a_Σ 22+23" fld="14" baseField="0" baseItem="0"/>
  </dataFields>
  <formats count="2">
    <format dxfId="193">
      <pivotArea outline="0" collapsedLevelsAreSubtotals="1" fieldPosition="0"/>
    </format>
    <format dxfId="192">
      <pivotArea outline="0" fieldPosition="0">
        <references count="1">
          <reference field="4294967294" count="1">
            <x v="0"/>
          </reference>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CDCDBD6-30D2-473D-BBBA-B77C284BD323}" name="Vrtilna tabela4" cacheId="10" applyNumberFormats="0" applyBorderFormats="0" applyFontFormats="0" applyPatternFormats="0" applyAlignmentFormats="0" applyWidthHeightFormats="1" dataCaption="Vrednosti" updatedVersion="8" minRefreshableVersion="3" useAutoFormatting="1" itemPrintTitles="1" createdVersion="8" indent="0" outline="1" outlineData="1" multipleFieldFilters="0" rowHeaderCaption="SBC">
  <location ref="A15:D28" firstHeaderRow="0" firstDataRow="1" firstDataCol="1"/>
  <pivotFields count="17">
    <pivotField showAll="0"/>
    <pivotField showAll="0"/>
    <pivotField showAll="0"/>
    <pivotField showAll="0"/>
    <pivotField axis="axisRow" showAll="0">
      <items count="4">
        <item x="2"/>
        <item x="0"/>
        <item x="1"/>
        <item t="default"/>
      </items>
    </pivotField>
    <pivotField axis="axisRow" showAll="0">
      <items count="10">
        <item x="1"/>
        <item x="0"/>
        <item x="3"/>
        <item x="2"/>
        <item x="8"/>
        <item x="5"/>
        <item x="6"/>
        <item x="7"/>
        <item x="4"/>
        <item t="default"/>
      </items>
    </pivotField>
    <pivotField showAll="0"/>
    <pivotField showAll="0"/>
    <pivotField showAll="0"/>
    <pivotField showAll="0"/>
    <pivotField showAll="0"/>
    <pivotField numFmtId="3" showAll="0"/>
    <pivotField numFmtId="3" showAll="0"/>
    <pivotField dataField="1" numFmtId="3" showAll="0"/>
    <pivotField dataField="1" numFmtId="3" showAll="0"/>
    <pivotField dataField="1" numFmtId="3" showAll="0"/>
    <pivotField showAll="0"/>
  </pivotFields>
  <rowFields count="2">
    <field x="4"/>
    <field x="5"/>
  </rowFields>
  <rowItems count="13">
    <i>
      <x/>
    </i>
    <i r="1">
      <x v="5"/>
    </i>
    <i r="1">
      <x v="6"/>
    </i>
    <i r="1">
      <x v="7"/>
    </i>
    <i>
      <x v="1"/>
    </i>
    <i r="1">
      <x/>
    </i>
    <i r="1">
      <x v="1"/>
    </i>
    <i r="1">
      <x v="2"/>
    </i>
    <i r="1">
      <x v="3"/>
    </i>
    <i>
      <x v="2"/>
    </i>
    <i r="1">
      <x v="4"/>
    </i>
    <i r="1">
      <x v="8"/>
    </i>
    <i t="grand">
      <x/>
    </i>
  </rowItems>
  <colFields count="1">
    <field x="-2"/>
  </colFields>
  <colItems count="3">
    <i>
      <x/>
    </i>
    <i i="1">
      <x v="1"/>
    </i>
    <i i="2">
      <x v="2"/>
    </i>
  </colItems>
  <dataFields count="3">
    <dataField name=" RS financing 2022 (EUR)" fld="14" baseField="0" baseItem="0"/>
    <dataField name=" RS financing 2023 (EUR)" fld="15" baseField="0" baseItem="0"/>
    <dataField name="  Bond eligible amount (EUR)_x000a_Σ 22+23" fld="13" baseField="0" baseItem="0"/>
  </dataFields>
  <formats count="1">
    <format dxfId="194">
      <pivotArea outline="0" collapsedLevelsAreSubtotals="1" fieldPosition="0"/>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60C5C90-35FC-4472-837F-64D9D94483CC}" name="Vrtilna tabela2" cacheId="9" applyNumberFormats="0" applyBorderFormats="0" applyFontFormats="0" applyPatternFormats="0" applyAlignmentFormats="0" applyWidthHeightFormats="1" dataCaption="Vrednosti" updatedVersion="8" minRefreshableVersion="3" useAutoFormatting="1" itemPrintTitles="1" createdVersion="8" indent="0" outline="1" outlineData="1" multipleFieldFilters="0">
  <location ref="A61:B64" firstHeaderRow="1" firstDataRow="1" firstDataCol="1" rowPageCount="1" colPageCount="1"/>
  <pivotFields count="18">
    <pivotField showAll="0"/>
    <pivotField showAll="0"/>
    <pivotField showAll="0"/>
    <pivotField showAll="0"/>
    <pivotField axis="axisPage" multipleItemSelectionAllowed="1" showAll="0">
      <items count="3">
        <item x="0"/>
        <item x="1"/>
        <item t="default"/>
      </items>
    </pivotField>
    <pivotField showAll="0"/>
    <pivotField showAll="0"/>
    <pivotField showAll="0"/>
    <pivotField showAll="0"/>
    <pivotField axis="axisRow" showAll="0">
      <items count="4">
        <item m="1" x="2"/>
        <item x="0"/>
        <item x="1"/>
        <item t="default"/>
      </items>
    </pivotField>
    <pivotField showAll="0"/>
    <pivotField showAll="0"/>
    <pivotField numFmtId="44" showAll="0"/>
    <pivotField numFmtId="44" showAll="0"/>
    <pivotField dataField="1" numFmtId="44" showAll="0"/>
    <pivotField numFmtId="44" showAll="0"/>
    <pivotField numFmtId="44" showAll="0"/>
    <pivotField showAll="0"/>
  </pivotFields>
  <rowFields count="1">
    <field x="9"/>
  </rowFields>
  <rowItems count="3">
    <i>
      <x v="1"/>
    </i>
    <i>
      <x v="2"/>
    </i>
    <i t="grand">
      <x/>
    </i>
  </rowItems>
  <colItems count="1">
    <i/>
  </colItems>
  <pageFields count="1">
    <pageField fld="4" hier="-1"/>
  </pageFields>
  <dataFields count="1">
    <dataField name="Vsota od Bond eligible amount (EUR)_x000a_Σ 22+23" fld="14" baseField="0" baseItem="0" numFmtId="42"/>
  </dataFields>
  <formats count="1">
    <format dxfId="187">
      <pivotArea outline="0" collapsedLevelsAreSubtotals="1" fieldPosition="0"/>
    </format>
  </formats>
  <pivotTableStyleInfo name="PivotStyleLight1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140FD8D-8F9F-4885-868C-9D7807ECC267}" name="Vrtilna tabela1" cacheId="10" applyNumberFormats="0" applyBorderFormats="0" applyFontFormats="0" applyPatternFormats="0" applyAlignmentFormats="0" applyWidthHeightFormats="1" dataCaption="Vrednosti" updatedVersion="8" minRefreshableVersion="3" useAutoFormatting="1" itemPrintTitles="1" createdVersion="8" indent="0" outline="1" outlineData="1" multipleFieldFilters="0">
  <location ref="D61:E66" firstHeaderRow="1" firstDataRow="1" firstDataCol="1" rowPageCount="1" colPageCount="1"/>
  <pivotFields count="17">
    <pivotField showAll="0"/>
    <pivotField showAll="0"/>
    <pivotField showAll="0"/>
    <pivotField showAll="0"/>
    <pivotField axis="axisPage" multipleItemSelectionAllowed="1" showAll="0">
      <items count="4">
        <item x="2"/>
        <item x="0"/>
        <item x="1"/>
        <item t="default"/>
      </items>
    </pivotField>
    <pivotField showAll="0"/>
    <pivotField showAll="0"/>
    <pivotField axis="axisRow" showAll="0">
      <items count="5">
        <item x="1"/>
        <item x="0"/>
        <item x="2"/>
        <item x="3"/>
        <item t="default"/>
      </items>
    </pivotField>
    <pivotField showAll="0"/>
    <pivotField showAll="0"/>
    <pivotField showAll="0"/>
    <pivotField numFmtId="44" showAll="0"/>
    <pivotField numFmtId="44" showAll="0"/>
    <pivotField dataField="1" numFmtId="44" showAll="0"/>
    <pivotField numFmtId="44" showAll="0"/>
    <pivotField numFmtId="44" showAll="0"/>
    <pivotField showAll="0"/>
  </pivotFields>
  <rowFields count="1">
    <field x="7"/>
  </rowFields>
  <rowItems count="5">
    <i>
      <x/>
    </i>
    <i>
      <x v="1"/>
    </i>
    <i>
      <x v="2"/>
    </i>
    <i>
      <x v="3"/>
    </i>
    <i t="grand">
      <x/>
    </i>
  </rowItems>
  <colItems count="1">
    <i/>
  </colItems>
  <pageFields count="1">
    <pageField fld="4" hier="-1"/>
  </pageFields>
  <dataFields count="1">
    <dataField name="Vsota od Bond eligible amount (EUR)_x000a_Σ 22+23" fld="13" baseField="0" baseItem="0" numFmtId="42"/>
  </dataFields>
  <formats count="1">
    <format dxfId="188">
      <pivotArea outline="0" collapsedLevelsAreSubtotals="1" fieldPosition="0"/>
    </format>
  </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2122D5B-7506-4539-9002-E16850544FB7}" name="Social" displayName="Social" ref="A1:Q124" totalsRowShown="0" headerRowDxfId="237" dataDxfId="235" headerRowBorderDxfId="236" tableBorderDxfId="234">
  <autoFilter ref="A1:Q124" xr:uid="{52122D5B-7506-4539-9002-E16850544FB7}"/>
  <tableColumns count="17">
    <tableColumn id="1" xr3:uid="{48B25DB3-C9E6-4725-88BE-9FD095E32238}" name="Project nr. " dataDxfId="233"/>
    <tableColumn id="2" xr3:uid="{2ECDC837-CCA9-487F-959F-A124231A212D}" name="NRP nr. " dataDxfId="232"/>
    <tableColumn id="17" xr3:uid="{BEF13189-4DF5-4A2D-95EE-5DFE4E07CDAF}" name="Project name " dataDxfId="231"/>
    <tableColumn id="4" xr3:uid="{9258822D-D7B5-484B-B75B-912974CC958D}" name="Description and rationale for social eligibility " dataDxfId="230"/>
    <tableColumn id="5" xr3:uid="{DDE319A0-8864-4B4A-BD14-2FF1CE05BEE8}" name=" _x000a_SBP Category" dataDxfId="229"/>
    <tableColumn id="13" xr3:uid="{F7AD7BC0-E8E4-4204-98E6-8EBC651CC6A8}" name="Sub-category" dataDxfId="228"/>
    <tableColumn id="6" xr3:uid="{797D2B9A-9CE6-45D6-8629-160617137C9C}" name="UN SDG goal" dataDxfId="227"/>
    <tableColumn id="7" xr3:uid="{AFFBACF9-7FC8-4EA5-8E4A-7E0D8FF3C457}" name="Type of expenditure" dataDxfId="226"/>
    <tableColumn id="8" xr3:uid="{2D7DA66B-6B83-4001-9D60-2252D5E578E8}" name="Beneficiary" dataDxfId="225"/>
    <tableColumn id="9" xr3:uid="{A6B3BF93-5370-4E3A-842E-559364D54E61}" name="Target Population " dataDxfId="224"/>
    <tableColumn id="10" xr3:uid="{B0709EC3-C1BF-4ABD-A052-428958A21CB5}" name="Phase of the project" dataDxfId="223"/>
    <tableColumn id="11" xr3:uid="{6282B67F-16E8-41F7-8A19-B1A693B4E22B}" name="Total project amount (EUR)" dataDxfId="222"/>
    <tableColumn id="12" xr3:uid="{AE7C790B-E845-4976-A4E0-AC56ADF7C88C}" name="Total RS financing amount (EUR)" dataDxfId="221"/>
    <tableColumn id="15" xr3:uid="{AFE5BD6D-90DB-4F05-BF66-84E3F8946668}" name="Bond eligible amount (EUR)_x000a_Σ 22+23" dataDxfId="220">
      <calculatedColumnFormula>+Social[[#This Row],[RS financing 2022 (EUR)]]+Social[[#This Row],[RS financing 2023 (EUR)]]</calculatedColumnFormula>
    </tableColumn>
    <tableColumn id="14" xr3:uid="{57F1E4D1-FC6B-43CB-BFA6-38A1E2E595F7}" name="RS financing 2022 (EUR)" dataDxfId="219"/>
    <tableColumn id="16" xr3:uid="{22C58CA9-7BE3-46DC-9B97-18667C2C8B12}" name="RS financing 2023 (EUR)" dataDxfId="218"/>
    <tableColumn id="20" xr3:uid="{05159382-EBF6-4907-978C-2B960FCC9417}" name="Responsible Ministry" dataDxfId="217"/>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9EC59E2-263B-4A84-90B1-19201513D6E0}" name="Tabela19" displayName="Tabela19" ref="A1:G10" totalsRowShown="0" headerRowDxfId="92" dataDxfId="90" headerRowBorderDxfId="91" tableBorderDxfId="89" totalsRowBorderDxfId="88">
  <autoFilter ref="A1:G10" xr:uid="{89EC59E2-263B-4A84-90B1-19201513D6E0}"/>
  <tableColumns count="7">
    <tableColumn id="1" xr3:uid="{398D1E5C-8DBC-4FE2-8940-F9D353B56523}" name="NRP. Nr. " dataDxfId="87"/>
    <tableColumn id="2" xr3:uid="{9A0C4E63-A2D6-4B08-87C8-606C2DC6D3A2}" name="Project name" dataDxfId="86"/>
    <tableColumn id="3" xr3:uid="{6D795A7B-DB31-41EB-BFDC-9A76DAE3A8C1}" name="Total project amount (EUR)" dataDxfId="85"/>
    <tableColumn id="4" xr3:uid="{DE4D878A-8E23-46B3-BFE9-6A0386CC81E2}" name="RS financing amount (EUR)" dataDxfId="84"/>
    <tableColumn id="5" xr3:uid="{CC0581AB-F5AD-4AA4-AF40-4B570247A6B3}" name="Bond eligible amount (EUR)_x000a_Σ 22+23" dataDxfId="83"/>
    <tableColumn id="6" xr3:uid="{A6BD1FF0-A3D1-4416-8C5D-9BA4581BF5E2}" name="RS financing 2022 (EUR)" dataDxfId="82"/>
    <tableColumn id="10" xr3:uid="{8A03A400-CD3C-482A-B00A-4772C020203E}" name="RS financing 2023 (EUR)" dataDxfId="81"/>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579772D-307D-4547-AECF-FA567E10052D}" name="Tabela1310" displayName="Tabela1310" ref="A1:G5" totalsRowShown="0" headerRowDxfId="80" dataDxfId="78" headerRowBorderDxfId="79" tableBorderDxfId="77" totalsRowBorderDxfId="76">
  <autoFilter ref="A1:G5" xr:uid="{4579772D-307D-4547-AECF-FA567E10052D}"/>
  <tableColumns count="7">
    <tableColumn id="1" xr3:uid="{C930B617-C267-42D3-AC68-4AD11725C007}" name="NRP. Nr. " dataDxfId="75"/>
    <tableColumn id="2" xr3:uid="{D71CE212-AA75-4E0E-8FDB-47181D3E948E}" name="Project name" dataDxfId="74"/>
    <tableColumn id="3" xr3:uid="{24F18724-75D8-4F7C-BE21-5A232DC33F06}" name="Total project amount (EUR)" dataDxfId="73"/>
    <tableColumn id="4" xr3:uid="{F496AA55-3AB0-4562-9CBC-E6C2E7A53FE9}" name="RS financing amount (EUR)" dataDxfId="72"/>
    <tableColumn id="5" xr3:uid="{996715C8-336E-4075-BB72-46273FE45608}" name="Bond eligible amount (EUR)_x000a_Σ 22+23" dataDxfId="71"/>
    <tableColumn id="6" xr3:uid="{9C2E0857-9E15-4CDA-A922-90885CAC7065}" name="RS financing 2022 (EUR)" dataDxfId="70"/>
    <tableColumn id="11" xr3:uid="{67878676-16A2-4C9E-BDF3-50EE34DCAB8C}" name="RS financing 2023 (EUR)" dataDxfId="69"/>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A02877-8790-4988-BDED-E488BC9CCFEF}" name="Tabela2" displayName="Tabela2" ref="A1:G12" totalsRowCount="1" headerRowDxfId="68" dataDxfId="66" headerRowBorderDxfId="67" tableBorderDxfId="65" headerRowCellStyle="Navadno 2">
  <autoFilter ref="A1:G11" xr:uid="{87A02877-8790-4988-BDED-E488BC9CCFEF}"/>
  <tableColumns count="7">
    <tableColumn id="1" xr3:uid="{C390AB50-B646-4B9E-B592-8A66C9216588}" name="NRP. Nr. " dataDxfId="64" totalsRowDxfId="63"/>
    <tableColumn id="2" xr3:uid="{C84F4E76-0220-486C-992D-7DB197ACE6E7}" name="Project name" dataDxfId="62" totalsRowDxfId="61"/>
    <tableColumn id="3" xr3:uid="{BBBA5364-1A86-4641-8925-8AD0E91B2A45}" name="Total project amount (EUR)" totalsRowFunction="sum" dataDxfId="60" totalsRowDxfId="59"/>
    <tableColumn id="4" xr3:uid="{AC729973-A3EC-44E1-9A60-513424363254}" name="RS financing amount (EUR)" totalsRowFunction="sum" dataDxfId="58" totalsRowDxfId="57"/>
    <tableColumn id="5" xr3:uid="{FEB9D0AD-9FD5-47F4-9668-B6FC98CA5CB0}" name="Bond eligible amount (EUR)_x000a_Σ 22+23" totalsRowFunction="sum" dataDxfId="56" totalsRowDxfId="55">
      <calculatedColumnFormula>+Tabela2[[#This Row],[RS financing 2022 (EUR)]]+Tabela2[[#This Row],[RS financing 2023 (EUR)]]</calculatedColumnFormula>
    </tableColumn>
    <tableColumn id="6" xr3:uid="{167CFC5C-B2B2-43C3-87F9-30D004ADDB58}" name="RS financing 2022 (EUR)" totalsRowFunction="sum" dataDxfId="54" totalsRowDxfId="53"/>
    <tableColumn id="7" xr3:uid="{F6050209-17A2-41A6-B888-11504A0AD3DF}" name="RS financing 2023 (EUR)" totalsRowFunction="sum" dataDxfId="52" totalsRowDxfId="51"/>
  </tableColumns>
  <tableStyleInfo name="TableStyleLight2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740E4D-713E-4E48-9C16-1FAE78B85BE6}" name="Tabela13412" displayName="Tabela13412" ref="A1:G32" totalsRowCount="1" headerRowDxfId="50" headerRowBorderDxfId="49" tableBorderDxfId="48" totalsRowBorderDxfId="47">
  <autoFilter ref="A1:G31" xr:uid="{21740E4D-713E-4E48-9C16-1FAE78B85BE6}"/>
  <tableColumns count="7">
    <tableColumn id="1" xr3:uid="{B62BCDFD-58CB-4233-90FB-596211EA6477}" name="NRP. Nr. " totalsRowDxfId="46"/>
    <tableColumn id="2" xr3:uid="{658B84C4-F7F4-458C-96FB-542CA9588192}" name="Project name" totalsRowDxfId="45"/>
    <tableColumn id="3" xr3:uid="{93492F73-5ADA-4B30-9D04-DBBBFFCFC47A}" name="Total project amount (EUR)" totalsRowFunction="custom" dataDxfId="44" totalsRowDxfId="43">
      <totalsRowFormula>SUM(Tabela13412[Total project amount (EUR)])</totalsRowFormula>
    </tableColumn>
    <tableColumn id="4" xr3:uid="{59F31454-0E88-4058-8E49-E5B4153E91D5}" name="RS financing amount (EUR)" totalsRowFunction="custom" dataDxfId="42" totalsRowDxfId="41">
      <totalsRowFormula>SUM(Tabela13412[RS financing amount (EUR)])</totalsRowFormula>
    </tableColumn>
    <tableColumn id="5" xr3:uid="{56E6D91D-5BC8-48EF-8043-3B69914C1D72}" name="Bond eligible amount (EUR)_x000a_Σ 22+23" totalsRowFunction="custom" dataDxfId="40" totalsRowDxfId="39">
      <calculatedColumnFormula>+Tabela13412[[#This Row],[RS financing 2022 (EUR)]]+Tabela13412[[#This Row],[RS financing 2023 (EUR)]]</calculatedColumnFormula>
      <totalsRowFormula>SUM(Tabela13412[Bond eligible amount (EUR)
Σ 22+23])</totalsRowFormula>
    </tableColumn>
    <tableColumn id="6" xr3:uid="{2A28DC69-80FC-4C1F-9E8C-FDD24A79D239}" name="RS financing 2022 (EUR)" totalsRowFunction="custom" dataDxfId="38" totalsRowDxfId="37">
      <totalsRowFormula>SUM(Tabela13412[RS financing 2022 (EUR)])</totalsRowFormula>
    </tableColumn>
    <tableColumn id="10" xr3:uid="{A9C6347B-CDBD-4297-9D43-062C3E476AEA}" name="RS financing 2023 (EUR)" totalsRowFunction="custom" dataDxfId="36" totalsRowDxfId="35">
      <totalsRowFormula>SUM(Tabela13412[RS financing 2023 (EUR)])</totalsRowFormula>
    </tableColumn>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7671E7B-6144-49BE-8CAB-91C19DAA2EF3}" name="Tabela134513" displayName="Tabela134513" ref="A1:G23" totalsRowCount="1" headerRowDxfId="34" totalsRowDxfId="31" headerRowBorderDxfId="33" tableBorderDxfId="32" totalsRowBorderDxfId="30">
  <autoFilter ref="A1:G22" xr:uid="{B7671E7B-6144-49BE-8CAB-91C19DAA2EF3}"/>
  <tableColumns count="7">
    <tableColumn id="1" xr3:uid="{529C3F74-CA1F-4CDE-865B-D5DDAB74819A}" name="NRP. Nr. " totalsRowDxfId="29"/>
    <tableColumn id="2" xr3:uid="{DAE8816B-3BF5-4268-9E8E-987F2F4FEB63}" name="Project name" totalsRowDxfId="28"/>
    <tableColumn id="3" xr3:uid="{FC5BF208-8B23-4778-87EF-7E19115912A2}" name="Total project amount (EUR)" totalsRowFunction="sum" dataDxfId="27" totalsRowDxfId="26"/>
    <tableColumn id="4" xr3:uid="{1F95084D-2AD4-48C7-8D81-51114E1B361A}" name="RS financing amount (EUR)" totalsRowFunction="sum" dataDxfId="25" totalsRowDxfId="24"/>
    <tableColumn id="5" xr3:uid="{BEF3A9C6-BD87-4CC4-A2BA-8F72601323C9}" name="Bond eligible amount (EUR)_x000a_Σ 22+23" totalsRowFunction="sum" dataDxfId="23" totalsRowDxfId="22">
      <calculatedColumnFormula>+Tabela134513[[#This Row],[RS financing 2022 (EUR)]]+Tabela134513[[#This Row],[RS financing 2023 (EUR]]</calculatedColumnFormula>
    </tableColumn>
    <tableColumn id="6" xr3:uid="{E36B1F7C-40F6-4A6E-ADDA-08D4FDE88902}" name="RS financing 2022 (EUR)" totalsRowFunction="sum" dataDxfId="21" totalsRowDxfId="20"/>
    <tableColumn id="10" xr3:uid="{F9D84972-5785-4A41-B00F-6F0A38172BC3}" name="RS financing 2023 (EUR" totalsRowFunction="sum" dataDxfId="19" totalsRowDxfId="18"/>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813CA41-DD8B-47C5-88E4-205BB9260419}" name="Tabela1345614" displayName="Tabela1345614" ref="A1:G98" totalsRowCount="1" headerRowDxfId="17" headerRowBorderDxfId="16" tableBorderDxfId="15" totalsRowBorderDxfId="14">
  <autoFilter ref="A1:G97" xr:uid="{9813CA41-DD8B-47C5-88E4-205BB9260419}"/>
  <sortState xmlns:xlrd2="http://schemas.microsoft.com/office/spreadsheetml/2017/richdata2" ref="A2:G97">
    <sortCondition ref="E1:E97"/>
  </sortState>
  <tableColumns count="7">
    <tableColumn id="1" xr3:uid="{C24D1530-9ADB-4DCF-97E1-7A88D50C14A1}" name="NRP. Nr. " dataDxfId="13" totalsRowDxfId="12"/>
    <tableColumn id="2" xr3:uid="{BC774C1D-ECF8-4B0A-9425-82087606DF1F}" name="Project name" dataDxfId="11" totalsRowDxfId="10"/>
    <tableColumn id="3" xr3:uid="{1E082006-1EFF-4F34-8625-E8F8AD568BB8}" name="Total project amount (EUR)" totalsRowFunction="sum" dataDxfId="9" totalsRowDxfId="8"/>
    <tableColumn id="4" xr3:uid="{A21F7C7E-02B9-4D51-BE04-DC9788BEC94E}" name="RS financing amount (EUR)" totalsRowFunction="sum" dataDxfId="7" totalsRowDxfId="6"/>
    <tableColumn id="5" xr3:uid="{2C7268F0-9CD7-46BA-A755-C9FDEA3BFB76}" name="Bond eligible amount (EUR)_x000a_Σ 22+23" totalsRowFunction="sum" dataDxfId="5" totalsRowDxfId="4">
      <calculatedColumnFormula>+Tabela1345614[[#This Row],[RS financing 2022 (EUR)]]+Tabela1345614[[#This Row],[RS financing 2023 (EUR)]]</calculatedColumnFormula>
    </tableColumn>
    <tableColumn id="6" xr3:uid="{8273740C-46D0-404C-8C6A-01E08513EAA0}" name="RS financing 2022 (EUR)" totalsRowFunction="sum" dataDxfId="3" totalsRowDxfId="2"/>
    <tableColumn id="10" xr3:uid="{6F9ADE50-AC51-40F9-A3EE-1B1228CE23E6}" name="RS financing 2023 (EUR)" totalsRowFunction="sum" dataDxfId="1" totalsRowDxfId="0"/>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64CEA7-526C-4586-9725-1753ECFECA6F}" name="Green" displayName="Green" ref="A1:R34" totalsRowShown="0" headerRowDxfId="216" dataDxfId="214" headerRowBorderDxfId="215" tableBorderDxfId="213">
  <autoFilter ref="A1:R34" xr:uid="{5164CEA7-526C-4586-9725-1753ECFECA6F}"/>
  <tableColumns count="18">
    <tableColumn id="1" xr3:uid="{4017B80F-87D4-48FD-91E6-036D4D74AC3E}" name="Project nr. " dataDxfId="212"/>
    <tableColumn id="2" xr3:uid="{6042EFC6-78A0-42E8-B2E9-AAA417F768AA}" name="NRP. Nr. " dataDxfId="211"/>
    <tableColumn id="18" xr3:uid="{2CA3A6DB-2312-464F-AC73-578D94973F27}" name="Project name " dataDxfId="210"/>
    <tableColumn id="4" xr3:uid="{413A2CB9-AA30-4BA4-B101-C16543597FA8}" name="Description and rationale for green / social expense eligibility " dataDxfId="209"/>
    <tableColumn id="5" xr3:uid="{6F27B3A0-ED18-42DD-A30C-34B9C5EA0876}" name=" GBP Category" dataDxfId="208"/>
    <tableColumn id="14" xr3:uid="{214190C2-C507-4345-83EC-08ABA7F048CF}" name="Subcategory" dataDxfId="207"/>
    <tableColumn id="6" xr3:uid="{E39ACA47-6282-4615-B917-CB6395F08954}" name="UN SDG goal" dataDxfId="206"/>
    <tableColumn id="7" xr3:uid="{7555A819-6AA1-480C-8FD4-06B64E44535B}" name="EU taxonomy goal" dataDxfId="205"/>
    <tableColumn id="8" xr3:uid="{DF389F63-E0A5-416E-AFCD-BD6D4E765BA9}" name="EU taxonomy clasification" dataDxfId="204"/>
    <tableColumn id="9" xr3:uid="{77F8A60C-115B-4B12-98C1-45B315884D41}" name="Type of expenditure" dataDxfId="203"/>
    <tableColumn id="10" xr3:uid="{E5BBE6E0-6E9D-4A23-AEB3-33C7748238FF}" name="Beneficiary" dataDxfId="202"/>
    <tableColumn id="11" xr3:uid="{319442CF-50F9-4826-A0F3-088FEA8FA6FE}" name="Phase of the project" dataDxfId="201"/>
    <tableColumn id="12" xr3:uid="{75DFA316-3DEF-4FA4-A880-81208C4597A8}" name="Total project amount (EUR)" dataDxfId="200"/>
    <tableColumn id="13" xr3:uid="{C0A8D005-E151-4C96-860A-4D054C7D313D}" name="RS financing amount (EUR)" dataDxfId="199"/>
    <tableColumn id="16" xr3:uid="{164DBB15-08FA-4DDD-9C13-79B9081536A2}" name="Bond eligible amount (EUR)_x000a_Σ 22+23" dataDxfId="198"/>
    <tableColumn id="15" xr3:uid="{897716E5-CA8A-42D6-91C5-B7A5D7CAA886}" name="RS financing 2022 (EUR)" dataDxfId="197"/>
    <tableColumn id="17" xr3:uid="{E8A57460-AF9A-497D-B2C9-585BDDF9FBA1}" name="RS financing 2023 (EUR)" dataDxfId="196"/>
    <tableColumn id="21" xr3:uid="{CAACEE4B-D381-43C1-ADEB-BF2BEA6050B4}" name="Responsible Ministry" dataDxfId="195"/>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731845-AA6E-43E3-9499-5CE176EFA78C}" name="Tabela2020" displayName="Tabela2020" ref="A32:D34" totalsRowShown="0">
  <autoFilter ref="A32:D34" xr:uid="{72731845-AA6E-43E3-9499-5CE176EFA78C}"/>
  <tableColumns count="4">
    <tableColumn id="1" xr3:uid="{88F8C3F3-2EC2-4C1F-A503-B57E55A75BB1}" name="SSB"/>
    <tableColumn id="2" xr3:uid="{CD6A65CB-EFAA-4843-9285-2B66F094F77C}" name=" RS financing Σ 2022 (EUR)" dataDxfId="191"/>
    <tableColumn id="3" xr3:uid="{29CE203E-EF7B-47F6-BEF7-3443FA65C021}" name=" RS financing Σ 2023 (EUR)" dataDxfId="190"/>
    <tableColumn id="4" xr3:uid="{AD69CB81-62D5-4384-96F0-57D52CBC14E6}" name="Bond eligible amount (EUR)_x000a_Σ 22+23" dataDxfId="18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4CF450F-C0A1-493E-B00F-131A87F1D818}" name="Tabela10" displayName="Tabela10" ref="A68:B73" totalsRowShown="0" headerRowDxfId="186">
  <autoFilter ref="A68:B73" xr:uid="{34CF450F-C0A1-493E-B00F-131A87F1D818}"/>
  <tableColumns count="2">
    <tableColumn id="1" xr3:uid="{578F94E0-FFAC-4DF7-9158-DBFAEFD2845B}" name="Type of expenditure" dataDxfId="185"/>
    <tableColumn id="2" xr3:uid="{C671218B-3747-4B8A-BE02-24D17ECDF347}" name="Allocated amount" dataDxfId="184"/>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0B0C88-9E84-48BF-BBD4-1F6E0AAF8153}" name="Tabela136" displayName="Tabela136" ref="A1:H16" totalsRowCount="1" headerRowDxfId="183" dataDxfId="182" totalsRowDxfId="181">
  <autoFilter ref="A1:H15" xr:uid="{9C76237F-DBF9-4079-BDC9-56C18BCB0FA6}"/>
  <tableColumns count="8">
    <tableColumn id="1" xr3:uid="{839660DC-91E1-470D-B005-A0FCFD2AF1B3}" name="NRP. Nr. " dataDxfId="180"/>
    <tableColumn id="2" xr3:uid="{BEC40E08-621C-4D3F-85D1-E00BDC2E7123}" name="Project name" dataDxfId="179"/>
    <tableColumn id="11" xr3:uid="{1A3C323F-68BE-4294-B801-7C0C2D2854BE}" name="Total project amount (EUR)" totalsRowFunction="sum" dataDxfId="178" totalsRowDxfId="177"/>
    <tableColumn id="12" xr3:uid="{81B96E0D-08BF-4A55-92DE-50EF5632E7E4}" name="RS financing amount (EUR)" totalsRowFunction="sum" dataDxfId="176" totalsRowDxfId="175"/>
    <tableColumn id="13" xr3:uid="{A241A901-A94B-4865-BD78-2E3F0C4F1F4C}" name="Bond eligible amount (EUR)_x000a_Σ 22+23" totalsRowFunction="sum" dataDxfId="174" totalsRowDxfId="173">
      <calculatedColumnFormula>+Tabela136[[#This Row],[RS financing 2022 (EUR)]]+Tabela136[[#This Row],[RS financing 2023 (EUR)]]</calculatedColumnFormula>
    </tableColumn>
    <tableColumn id="14" xr3:uid="{3D96823E-D940-4DC1-A7B6-0FC298A8FD97}" name="RS financing 2022 (EUR)" dataDxfId="172"/>
    <tableColumn id="16" xr3:uid="{3EECCFEE-7790-48F1-8A98-1C1FE0A1A166}" name="RS financing 2023 (EUR)" totalsRowFunction="sum" dataDxfId="171" totalsRowDxfId="170"/>
    <tableColumn id="21" xr3:uid="{FFC40CE1-79F8-4A60-9DAC-A8EEA26428A5}" name="Responsible Ministry" dataDxfId="169"/>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BDC437-8D66-4B5E-BE38-36F82C785836}" name="Tabela134" displayName="Tabela134" ref="A1:H4" totalsRowCount="1" headerRowDxfId="168" dataDxfId="167" totalsRowDxfId="166">
  <autoFilter ref="A1:H3" xr:uid="{9C76237F-DBF9-4079-BDC9-56C18BCB0FA6}"/>
  <tableColumns count="8">
    <tableColumn id="1" xr3:uid="{49FA3E90-7080-4300-868B-EED812D56CDB}" name="NRP. Nr. " dataDxfId="165" totalsRowDxfId="164"/>
    <tableColumn id="2" xr3:uid="{DDD797FB-F39A-4B71-A756-653BFD697C08}" name="Project name" dataDxfId="163" totalsRowDxfId="162"/>
    <tableColumn id="11" xr3:uid="{BAA8DCA6-E7F2-4AEB-9493-4FA105664C52}" name="Total project amount (EUR)" totalsRowFunction="custom" dataDxfId="161" totalsRowDxfId="160">
      <totalsRowFormula>+C2+C3</totalsRowFormula>
    </tableColumn>
    <tableColumn id="12" xr3:uid="{951111FE-0037-4282-83A2-DA39B7EFA20E}" name="RS financing amount (EUR)" totalsRowFunction="custom" dataDxfId="159" totalsRowDxfId="158">
      <totalsRowFormula>+D2+D3</totalsRowFormula>
    </tableColumn>
    <tableColumn id="13" xr3:uid="{9144CA37-895D-43F5-B660-6D653CFFC94B}" name="Bond eligible amount (EUR)_x000a_Σ 22+23" totalsRowFunction="custom" dataDxfId="157" totalsRowDxfId="156">
      <totalsRowFormula>+E2+E3</totalsRowFormula>
    </tableColumn>
    <tableColumn id="14" xr3:uid="{B3629FD1-88CA-452C-A82F-7DB07B9C969D}" name="RS financing 2022 (EUR)" totalsRowLabel="0" dataDxfId="155" totalsRowDxfId="154"/>
    <tableColumn id="16" xr3:uid="{DF69145A-D1FC-4FD6-86D4-62D1043B3445}" name="RS financing 2023 (EUR)" totalsRowLabel="1,365,950" dataDxfId="153" totalsRowDxfId="152"/>
    <tableColumn id="21" xr3:uid="{DFD0F310-071C-472C-B655-903D2BA447F6}" name="Responsible Ministry" dataDxfId="151" totalsRowDxfId="150"/>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84705E6-8A2E-4FFA-8F7E-71C02D43790A}" name="Tabela1347" displayName="Tabela1347" ref="A1:H8" totalsRowCount="1" headerRowDxfId="149" dataDxfId="148" totalsRowDxfId="147">
  <autoFilter ref="A1:H7" xr:uid="{9C76237F-DBF9-4079-BDC9-56C18BCB0FA6}"/>
  <tableColumns count="8">
    <tableColumn id="1" xr3:uid="{AC8D0839-5EDF-42E7-B24E-826A72C63AB6}" name="NRP. Nr. " dataDxfId="146" totalsRowDxfId="145"/>
    <tableColumn id="2" xr3:uid="{8E945DC9-3962-4473-B535-82B85B1DF8EE}" name="Project name" dataDxfId="144" totalsRowDxfId="143"/>
    <tableColumn id="11" xr3:uid="{93A77A62-FEAF-4124-A9D7-2579ACE838DF}" name="Total project amount (EUR)" totalsRowLabel="15,740,555" dataDxfId="142" totalsRowDxfId="141"/>
    <tableColumn id="12" xr3:uid="{E9605134-180F-42BA-85F3-9F608EB3B78B}" name="RS financing amount (EUR)" totalsRowLabel="5,187,721" dataDxfId="140" totalsRowDxfId="139"/>
    <tableColumn id="13" xr3:uid="{D4DBAA5F-8489-4C8F-A0D5-DF52E6D3BE1E}" name="Bond eligible amount (EUR)_x000a_Σ 22+23" totalsRowLabel="5,187,721" dataDxfId="138" totalsRowDxfId="137"/>
    <tableColumn id="14" xr3:uid="{F64D962B-3885-42A5-B915-869568C3BC1E}" name="RS financing 2022 (EUR)" totalsRowLabel="0" dataDxfId="136" totalsRowDxfId="135"/>
    <tableColumn id="16" xr3:uid="{EAC484E4-DDD3-4482-ACE0-7D524A23A865}" name="RS financing 2023 (EUR)" totalsRowLabel="5,187,721" dataDxfId="134" totalsRowDxfId="133"/>
    <tableColumn id="21" xr3:uid="{9EA48AEA-E088-4767-9597-3D8A7DDE3879}" name="Responsible Ministry" dataDxfId="132" totalsRowDxfId="131"/>
  </tableColumns>
  <tableStyleInfo name="TableStyleMedium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8C2424C-4CCB-41AC-B28F-E8A8286B53FE}" name="Tabela13478" displayName="Tabela13478" ref="A1:H6" totalsRowCount="1" headerRowDxfId="130" dataDxfId="129" totalsRowDxfId="128">
  <autoFilter ref="A1:H5" xr:uid="{9C76237F-DBF9-4079-BDC9-56C18BCB0FA6}"/>
  <tableColumns count="8">
    <tableColumn id="1" xr3:uid="{8FB34EAD-BBC4-4509-A9B2-CF08153A7753}" name="NRP. Nr. " dataDxfId="127" totalsRowDxfId="126"/>
    <tableColumn id="2" xr3:uid="{060BEFC7-2F1B-4F51-BDE6-27C480278472}" name="Project name" dataDxfId="125" totalsRowDxfId="124"/>
    <tableColumn id="11" xr3:uid="{D2637EB8-CCB2-4F76-BBCC-8C520E0E787F}" name="Total project amount (EUR)" totalsRowFunction="sum" dataDxfId="123" totalsRowDxfId="122"/>
    <tableColumn id="12" xr3:uid="{653DD48C-0C06-47E8-A989-BDD0D420F724}" name="RS financing amount (EUR)" totalsRowFunction="sum" dataDxfId="121" totalsRowDxfId="120"/>
    <tableColumn id="13" xr3:uid="{F6CC2B3E-BE51-44E3-B35D-97215AF31E98}" name="Bond eligible amount (EUR)_x000a_Σ 22+23" totalsRowFunction="sum" dataDxfId="119" totalsRowDxfId="118">
      <calculatedColumnFormula>+Tabela13478[[#This Row],[RS financing 2022 (EUR)]]+Tabela13478[[#This Row],[RS financing 2023 (EUR)]]</calculatedColumnFormula>
    </tableColumn>
    <tableColumn id="14" xr3:uid="{C77ACCA9-7F0F-4578-ACC3-1CCEC4273C95}" name="RS financing 2022 (EUR)" totalsRowFunction="sum" dataDxfId="117" totalsRowDxfId="116"/>
    <tableColumn id="16" xr3:uid="{DA3ADF89-0C2A-4B2D-B30C-6C526FAE0F32}" name="RS financing 2023 (EUR)" totalsRowFunction="sum" dataDxfId="115" totalsRowDxfId="114"/>
    <tableColumn id="21" xr3:uid="{ED34520D-9B17-464D-8801-FFD580C31DBF}" name="Responsible Ministry" dataDxfId="113" totalsRowDxfId="112"/>
  </tableColumns>
  <tableStyleInfo name="TableStyleMedium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CD02120-A524-4E8C-9CB4-4F4364523A2E}" name="Tabela134789" displayName="Tabela134789" ref="A1:H15" totalsRowCount="1" headerRowDxfId="111" dataDxfId="110" totalsRowDxfId="109">
  <autoFilter ref="A1:H14" xr:uid="{9C76237F-DBF9-4079-BDC9-56C18BCB0FA6}"/>
  <tableColumns count="8">
    <tableColumn id="1" xr3:uid="{08FF6F41-D310-4744-AF95-C0E959FF745A}" name="NRP. Nr. " dataDxfId="108" totalsRowDxfId="107"/>
    <tableColumn id="2" xr3:uid="{861F6578-BD44-42D1-9A55-08A37AFB8288}" name="Project name" dataDxfId="106" totalsRowDxfId="105"/>
    <tableColumn id="11" xr3:uid="{DA593876-192E-45EA-AB96-8ACD8619591C}" name="Total project amount (EUR)" totalsRowFunction="sum" dataDxfId="104" totalsRowDxfId="103"/>
    <tableColumn id="12" xr3:uid="{4AFFDDBF-5943-47A0-95CC-01A1A181A093}" name="RS financing amount (EUR)" totalsRowFunction="sum" dataDxfId="102" totalsRowDxfId="101"/>
    <tableColumn id="13" xr3:uid="{92D37B92-E91C-48BF-9EA1-50FE78A90C9C}" name="Bond eligible amount (EUR)_x000a_Σ 22+23" totalsRowFunction="sum" dataDxfId="100" totalsRowDxfId="99">
      <calculatedColumnFormula>+Tabela134789[[#This Row],[RS financing 2022 (EUR)]]+Tabela134789[[#This Row],[RS financing 2023 (EUR)]]</calculatedColumnFormula>
    </tableColumn>
    <tableColumn id="14" xr3:uid="{8D2EF077-A69F-477F-8F3B-FD970BE1A355}" name="RS financing 2022 (EUR)" totalsRowFunction="sum" dataDxfId="98" totalsRowDxfId="97"/>
    <tableColumn id="16" xr3:uid="{36FD0170-10ED-4FBC-8C61-D35578B88D82}" name="RS financing 2023 (EUR)" totalsRowFunction="sum" dataDxfId="96" totalsRowDxfId="95"/>
    <tableColumn id="21" xr3:uid="{D5950C08-C225-4571-9154-DF072EC3A091}" name="Responsible Ministry" dataDxfId="94" totalsRowDxfId="93"/>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3.x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4.xml"/><Relationship Id="rId1" Type="http://schemas.openxmlformats.org/officeDocument/2006/relationships/pivotTable" Target="../pivotTables/pivotTable3.xml"/><Relationship Id="rId5" Type="http://schemas.openxmlformats.org/officeDocument/2006/relationships/table" Target="../tables/table4.x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T170"/>
  <sheetViews>
    <sheetView zoomScale="80" zoomScaleNormal="80" workbookViewId="0">
      <pane xSplit="2" ySplit="1" topLeftCell="C118" activePane="bottomRight" state="frozen"/>
      <selection pane="topRight" activeCell="D1" sqref="D1"/>
      <selection pane="bottomLeft" activeCell="A4" sqref="A4"/>
      <selection pane="bottomRight" activeCell="B2" sqref="B2:B124"/>
    </sheetView>
  </sheetViews>
  <sheetFormatPr defaultColWidth="8.69921875" defaultRowHeight="54.9" customHeight="1" x14ac:dyDescent="0.25"/>
  <cols>
    <col min="1" max="1" width="11.19921875" customWidth="1"/>
    <col min="2" max="2" width="21.19921875" bestFit="1" customWidth="1"/>
    <col min="3" max="3" width="42.09765625" style="1" customWidth="1"/>
    <col min="4" max="4" width="81.59765625" style="1" customWidth="1"/>
    <col min="5" max="6" width="30.8984375" customWidth="1"/>
    <col min="7" max="7" width="23.8984375" customWidth="1"/>
    <col min="8" max="8" width="29.09765625" style="1" customWidth="1"/>
    <col min="9" max="9" width="21.59765625" style="1" customWidth="1"/>
    <col min="10" max="10" width="18.69921875" customWidth="1"/>
    <col min="11" max="11" width="18.59765625" customWidth="1"/>
    <col min="12" max="12" width="24" customWidth="1"/>
    <col min="13" max="13" width="28.3984375" customWidth="1"/>
    <col min="14" max="14" width="19.59765625" customWidth="1"/>
    <col min="15" max="15" width="21.69921875" customWidth="1"/>
    <col min="16" max="16" width="22.3984375" customWidth="1"/>
    <col min="17" max="17" width="19.19921875" customWidth="1"/>
  </cols>
  <sheetData>
    <row r="1" spans="1:19" s="18" customFormat="1" ht="64.5" customHeight="1" x14ac:dyDescent="0.25">
      <c r="A1" s="154" t="s">
        <v>0</v>
      </c>
      <c r="B1" s="155" t="s">
        <v>1</v>
      </c>
      <c r="C1" s="155" t="s">
        <v>2</v>
      </c>
      <c r="D1" s="154" t="s">
        <v>3</v>
      </c>
      <c r="E1" s="155" t="s">
        <v>4</v>
      </c>
      <c r="F1" s="155" t="s">
        <v>5</v>
      </c>
      <c r="G1" s="155" t="s">
        <v>6</v>
      </c>
      <c r="H1" s="155" t="s">
        <v>7</v>
      </c>
      <c r="I1" s="155" t="s">
        <v>8</v>
      </c>
      <c r="J1" s="156" t="s">
        <v>9</v>
      </c>
      <c r="K1" s="155" t="s">
        <v>10</v>
      </c>
      <c r="L1" s="155" t="s">
        <v>11</v>
      </c>
      <c r="M1" s="155" t="s">
        <v>12</v>
      </c>
      <c r="N1" s="155" t="s">
        <v>13</v>
      </c>
      <c r="O1" s="153" t="s">
        <v>14</v>
      </c>
      <c r="P1" s="153" t="s">
        <v>15</v>
      </c>
      <c r="Q1" s="155" t="s">
        <v>16</v>
      </c>
      <c r="S1"/>
    </row>
    <row r="2" spans="1:19" s="20" customFormat="1" ht="54.9" customHeight="1" x14ac:dyDescent="0.25">
      <c r="A2" s="160">
        <v>1</v>
      </c>
      <c r="B2" s="157" t="s">
        <v>17</v>
      </c>
      <c r="C2" s="163" t="s">
        <v>18</v>
      </c>
      <c r="D2" s="163" t="s">
        <v>19</v>
      </c>
      <c r="E2" s="158" t="s">
        <v>20</v>
      </c>
      <c r="F2" s="158" t="s">
        <v>21</v>
      </c>
      <c r="G2" s="158" t="s">
        <v>22</v>
      </c>
      <c r="H2" s="158" t="s">
        <v>23</v>
      </c>
      <c r="I2" s="158" t="s">
        <v>24</v>
      </c>
      <c r="J2" s="158" t="s">
        <v>25</v>
      </c>
      <c r="K2" s="158" t="s">
        <v>26</v>
      </c>
      <c r="L2" s="167">
        <v>68233682</v>
      </c>
      <c r="M2" s="167">
        <v>45607486</v>
      </c>
      <c r="N2" s="167">
        <f>+Social[[#This Row],[RS financing 2022 (EUR)]]+Social[[#This Row],[RS financing 2023 (EUR)]]</f>
        <v>8950730</v>
      </c>
      <c r="O2" s="167">
        <v>4280566</v>
      </c>
      <c r="P2" s="167">
        <v>4670164</v>
      </c>
      <c r="Q2" s="161" t="s">
        <v>27</v>
      </c>
      <c r="S2"/>
    </row>
    <row r="3" spans="1:19" s="20" customFormat="1" ht="54.9" customHeight="1" x14ac:dyDescent="0.25">
      <c r="A3" s="160">
        <v>2</v>
      </c>
      <c r="B3" s="157" t="s">
        <v>28</v>
      </c>
      <c r="C3" s="163" t="s">
        <v>29</v>
      </c>
      <c r="D3" s="163" t="s">
        <v>29</v>
      </c>
      <c r="E3" s="158" t="s">
        <v>20</v>
      </c>
      <c r="F3" s="158" t="s">
        <v>21</v>
      </c>
      <c r="G3" s="158" t="s">
        <v>22</v>
      </c>
      <c r="H3" s="158" t="s">
        <v>23</v>
      </c>
      <c r="I3" s="158" t="s">
        <v>30</v>
      </c>
      <c r="J3" s="158" t="s">
        <v>31</v>
      </c>
      <c r="K3" s="158" t="s">
        <v>26</v>
      </c>
      <c r="L3" s="167">
        <v>81032634</v>
      </c>
      <c r="M3" s="167">
        <v>55980318</v>
      </c>
      <c r="N3" s="167">
        <f>+Social[[#This Row],[RS financing 2022 (EUR)]]+Social[[#This Row],[RS financing 2023 (EUR)]]</f>
        <v>13051156</v>
      </c>
      <c r="O3" s="167">
        <v>5792731</v>
      </c>
      <c r="P3" s="167">
        <v>7258425</v>
      </c>
      <c r="Q3" s="161" t="s">
        <v>27</v>
      </c>
      <c r="S3"/>
    </row>
    <row r="4" spans="1:19" s="20" customFormat="1" ht="111" customHeight="1" x14ac:dyDescent="0.25">
      <c r="A4" s="160">
        <v>3</v>
      </c>
      <c r="B4" s="157" t="s">
        <v>32</v>
      </c>
      <c r="C4" s="163" t="s">
        <v>33</v>
      </c>
      <c r="D4" s="163" t="s">
        <v>34</v>
      </c>
      <c r="E4" s="158" t="s">
        <v>20</v>
      </c>
      <c r="F4" s="158" t="s">
        <v>35</v>
      </c>
      <c r="G4" s="158" t="s">
        <v>22</v>
      </c>
      <c r="H4" s="158" t="s">
        <v>23</v>
      </c>
      <c r="I4" s="158" t="s">
        <v>36</v>
      </c>
      <c r="J4" s="158" t="s">
        <v>25</v>
      </c>
      <c r="K4" s="158" t="s">
        <v>26</v>
      </c>
      <c r="L4" s="167">
        <v>3899772</v>
      </c>
      <c r="M4" s="167">
        <v>3158640</v>
      </c>
      <c r="N4" s="167">
        <f>+Social[[#This Row],[RS financing 2022 (EUR)]]+Social[[#This Row],[RS financing 2023 (EUR)]]</f>
        <v>289224</v>
      </c>
      <c r="O4" s="167">
        <v>120258</v>
      </c>
      <c r="P4" s="167">
        <v>168966</v>
      </c>
      <c r="Q4" s="161" t="s">
        <v>27</v>
      </c>
      <c r="S4"/>
    </row>
    <row r="5" spans="1:19" s="20" customFormat="1" ht="54.9" customHeight="1" x14ac:dyDescent="0.25">
      <c r="A5" s="160">
        <v>4</v>
      </c>
      <c r="B5" s="157" t="s">
        <v>37</v>
      </c>
      <c r="C5" s="163" t="s">
        <v>38</v>
      </c>
      <c r="D5" s="163" t="s">
        <v>39</v>
      </c>
      <c r="E5" s="158" t="s">
        <v>20</v>
      </c>
      <c r="F5" s="158" t="s">
        <v>21</v>
      </c>
      <c r="G5" s="158" t="s">
        <v>22</v>
      </c>
      <c r="H5" s="158" t="s">
        <v>23</v>
      </c>
      <c r="I5" s="158" t="s">
        <v>40</v>
      </c>
      <c r="J5" s="158" t="s">
        <v>25</v>
      </c>
      <c r="K5" s="158" t="s">
        <v>26</v>
      </c>
      <c r="L5" s="167">
        <v>6486262</v>
      </c>
      <c r="M5" s="167">
        <v>2711914</v>
      </c>
      <c r="N5" s="167">
        <f>+Social[[#This Row],[RS financing 2022 (EUR)]]+Social[[#This Row],[RS financing 2023 (EUR)]]</f>
        <v>1103825</v>
      </c>
      <c r="O5" s="167">
        <v>1103825</v>
      </c>
      <c r="P5" s="167">
        <v>0</v>
      </c>
      <c r="Q5" s="161" t="s">
        <v>27</v>
      </c>
      <c r="S5"/>
    </row>
    <row r="6" spans="1:19" s="20" customFormat="1" ht="87" customHeight="1" x14ac:dyDescent="0.25">
      <c r="A6" s="160">
        <v>5</v>
      </c>
      <c r="B6" s="157" t="s">
        <v>41</v>
      </c>
      <c r="C6" s="163" t="s">
        <v>42</v>
      </c>
      <c r="D6" s="163" t="s">
        <v>43</v>
      </c>
      <c r="E6" s="158" t="s">
        <v>20</v>
      </c>
      <c r="F6" s="158" t="s">
        <v>21</v>
      </c>
      <c r="G6" s="158" t="s">
        <v>22</v>
      </c>
      <c r="H6" s="158" t="s">
        <v>23</v>
      </c>
      <c r="I6" s="158" t="s">
        <v>44</v>
      </c>
      <c r="J6" s="158" t="s">
        <v>25</v>
      </c>
      <c r="K6" s="158" t="s">
        <v>45</v>
      </c>
      <c r="L6" s="167">
        <v>6589601</v>
      </c>
      <c r="M6" s="167">
        <v>4612884</v>
      </c>
      <c r="N6" s="167">
        <f>+Social[[#This Row],[RS financing 2022 (EUR)]]+Social[[#This Row],[RS financing 2023 (EUR)]]</f>
        <v>4585393</v>
      </c>
      <c r="O6" s="167">
        <v>1239267</v>
      </c>
      <c r="P6" s="167">
        <v>3346126</v>
      </c>
      <c r="Q6" s="161" t="s">
        <v>27</v>
      </c>
      <c r="S6"/>
    </row>
    <row r="7" spans="1:19" s="20" customFormat="1" ht="86.4" x14ac:dyDescent="0.25">
      <c r="A7" s="160">
        <v>6</v>
      </c>
      <c r="B7" s="157" t="s">
        <v>46</v>
      </c>
      <c r="C7" s="163" t="s">
        <v>47</v>
      </c>
      <c r="D7" s="163" t="s">
        <v>48</v>
      </c>
      <c r="E7" s="158" t="s">
        <v>20</v>
      </c>
      <c r="F7" s="158" t="s">
        <v>21</v>
      </c>
      <c r="G7" s="158" t="s">
        <v>22</v>
      </c>
      <c r="H7" s="158" t="s">
        <v>49</v>
      </c>
      <c r="I7" s="158" t="s">
        <v>50</v>
      </c>
      <c r="J7" s="158" t="s">
        <v>31</v>
      </c>
      <c r="K7" s="158" t="s">
        <v>26</v>
      </c>
      <c r="L7" s="167">
        <v>3786577</v>
      </c>
      <c r="M7" s="167">
        <v>1876694</v>
      </c>
      <c r="N7" s="167">
        <f>+Social[[#This Row],[RS financing 2022 (EUR)]]+Social[[#This Row],[RS financing 2023 (EUR)]]</f>
        <v>1875743</v>
      </c>
      <c r="O7" s="167">
        <v>975221</v>
      </c>
      <c r="P7" s="167">
        <v>900522</v>
      </c>
      <c r="Q7" s="161" t="s">
        <v>27</v>
      </c>
      <c r="S7"/>
    </row>
    <row r="8" spans="1:19" s="20" customFormat="1" ht="54.9" customHeight="1" x14ac:dyDescent="0.25">
      <c r="A8" s="160">
        <v>7</v>
      </c>
      <c r="B8" s="157" t="s">
        <v>51</v>
      </c>
      <c r="C8" s="163" t="s">
        <v>52</v>
      </c>
      <c r="D8" s="163" t="s">
        <v>53</v>
      </c>
      <c r="E8" s="158" t="s">
        <v>20</v>
      </c>
      <c r="F8" s="158" t="s">
        <v>35</v>
      </c>
      <c r="G8" s="158" t="s">
        <v>54</v>
      </c>
      <c r="H8" s="158" t="s">
        <v>55</v>
      </c>
      <c r="I8" s="158" t="s">
        <v>56</v>
      </c>
      <c r="J8" s="158" t="s">
        <v>25</v>
      </c>
      <c r="K8" s="158" t="s">
        <v>26</v>
      </c>
      <c r="L8" s="167">
        <v>2174218</v>
      </c>
      <c r="M8" s="167">
        <v>2174218</v>
      </c>
      <c r="N8" s="167">
        <f>+Social[[#This Row],[RS financing 2022 (EUR)]]+Social[[#This Row],[RS financing 2023 (EUR)]]</f>
        <v>84265</v>
      </c>
      <c r="O8" s="167">
        <v>84265</v>
      </c>
      <c r="P8" s="167">
        <v>0</v>
      </c>
      <c r="Q8" s="161" t="s">
        <v>27</v>
      </c>
      <c r="S8"/>
    </row>
    <row r="9" spans="1:19" s="20" customFormat="1" ht="66.75" customHeight="1" x14ac:dyDescent="0.25">
      <c r="A9" s="160">
        <v>8</v>
      </c>
      <c r="B9" s="157" t="s">
        <v>57</v>
      </c>
      <c r="C9" s="163" t="s">
        <v>58</v>
      </c>
      <c r="D9" s="163" t="s">
        <v>59</v>
      </c>
      <c r="E9" s="158" t="s">
        <v>20</v>
      </c>
      <c r="F9" s="158" t="s">
        <v>60</v>
      </c>
      <c r="G9" s="158" t="s">
        <v>54</v>
      </c>
      <c r="H9" s="158" t="s">
        <v>55</v>
      </c>
      <c r="I9" s="158" t="s">
        <v>30</v>
      </c>
      <c r="J9" s="158" t="s">
        <v>25</v>
      </c>
      <c r="K9" s="158" t="s">
        <v>26</v>
      </c>
      <c r="L9" s="167">
        <v>62529085</v>
      </c>
      <c r="M9" s="167">
        <v>62529085</v>
      </c>
      <c r="N9" s="167">
        <f>+Social[[#This Row],[RS financing 2022 (EUR)]]+Social[[#This Row],[RS financing 2023 (EUR)]]</f>
        <v>18052675</v>
      </c>
      <c r="O9" s="167">
        <v>18052675</v>
      </c>
      <c r="P9" s="167">
        <v>0</v>
      </c>
      <c r="Q9" s="161" t="s">
        <v>27</v>
      </c>
      <c r="S9"/>
    </row>
    <row r="10" spans="1:19" s="20" customFormat="1" ht="66.75" customHeight="1" x14ac:dyDescent="0.25">
      <c r="A10" s="160">
        <v>9</v>
      </c>
      <c r="B10" s="157" t="s">
        <v>61</v>
      </c>
      <c r="C10" s="163" t="s">
        <v>62</v>
      </c>
      <c r="D10" s="163" t="s">
        <v>63</v>
      </c>
      <c r="E10" s="158" t="s">
        <v>20</v>
      </c>
      <c r="F10" s="158" t="s">
        <v>60</v>
      </c>
      <c r="G10" s="158" t="s">
        <v>54</v>
      </c>
      <c r="H10" s="158" t="s">
        <v>55</v>
      </c>
      <c r="I10" s="158" t="s">
        <v>64</v>
      </c>
      <c r="J10" s="158" t="s">
        <v>25</v>
      </c>
      <c r="K10" s="158" t="s">
        <v>26</v>
      </c>
      <c r="L10" s="167">
        <v>4399080</v>
      </c>
      <c r="M10" s="167">
        <v>4399080</v>
      </c>
      <c r="N10" s="167">
        <f>+Social[[#This Row],[RS financing 2022 (EUR)]]+Social[[#This Row],[RS financing 2023 (EUR)]]</f>
        <v>891581</v>
      </c>
      <c r="O10" s="167">
        <v>891581</v>
      </c>
      <c r="P10" s="167">
        <v>0</v>
      </c>
      <c r="Q10" s="161" t="s">
        <v>27</v>
      </c>
      <c r="S10"/>
    </row>
    <row r="11" spans="1:19" s="20" customFormat="1" ht="110.25" customHeight="1" x14ac:dyDescent="0.25">
      <c r="A11" s="160">
        <v>10</v>
      </c>
      <c r="B11" s="157" t="s">
        <v>65</v>
      </c>
      <c r="C11" s="163" t="s">
        <v>66</v>
      </c>
      <c r="D11" s="163" t="s">
        <v>67</v>
      </c>
      <c r="E11" s="158" t="s">
        <v>20</v>
      </c>
      <c r="F11" s="158" t="s">
        <v>60</v>
      </c>
      <c r="G11" s="158" t="s">
        <v>54</v>
      </c>
      <c r="H11" s="158" t="s">
        <v>55</v>
      </c>
      <c r="I11" s="158" t="s">
        <v>68</v>
      </c>
      <c r="J11" s="158" t="s">
        <v>25</v>
      </c>
      <c r="K11" s="158" t="s">
        <v>26</v>
      </c>
      <c r="L11" s="167">
        <v>11403379</v>
      </c>
      <c r="M11" s="167">
        <v>11403379</v>
      </c>
      <c r="N11" s="167">
        <f>+Social[[#This Row],[RS financing 2022 (EUR)]]+Social[[#This Row],[RS financing 2023 (EUR)]]</f>
        <v>2322560</v>
      </c>
      <c r="O11" s="167">
        <v>2322560</v>
      </c>
      <c r="P11" s="167">
        <v>0</v>
      </c>
      <c r="Q11" s="161" t="s">
        <v>27</v>
      </c>
      <c r="S11"/>
    </row>
    <row r="12" spans="1:19" s="20" customFormat="1" ht="72" x14ac:dyDescent="0.25">
      <c r="A12" s="160">
        <v>11</v>
      </c>
      <c r="B12" s="157" t="s">
        <v>69</v>
      </c>
      <c r="C12" s="163" t="s">
        <v>70</v>
      </c>
      <c r="D12" s="163" t="s">
        <v>71</v>
      </c>
      <c r="E12" s="158" t="s">
        <v>20</v>
      </c>
      <c r="F12" s="158" t="s">
        <v>60</v>
      </c>
      <c r="G12" s="158" t="s">
        <v>54</v>
      </c>
      <c r="H12" s="158" t="s">
        <v>55</v>
      </c>
      <c r="I12" s="158" t="s">
        <v>72</v>
      </c>
      <c r="J12" s="158" t="s">
        <v>25</v>
      </c>
      <c r="K12" s="158" t="s">
        <v>26</v>
      </c>
      <c r="L12" s="167">
        <v>432010</v>
      </c>
      <c r="M12" s="167">
        <v>432010</v>
      </c>
      <c r="N12" s="167">
        <f>+Social[[#This Row],[RS financing 2022 (EUR)]]+Social[[#This Row],[RS financing 2023 (EUR)]]</f>
        <v>99169</v>
      </c>
      <c r="O12" s="167">
        <v>99169</v>
      </c>
      <c r="P12" s="167">
        <v>0</v>
      </c>
      <c r="Q12" s="161" t="s">
        <v>27</v>
      </c>
      <c r="S12"/>
    </row>
    <row r="13" spans="1:19" s="20" customFormat="1" ht="54.75" customHeight="1" x14ac:dyDescent="0.25">
      <c r="A13" s="160">
        <v>12</v>
      </c>
      <c r="B13" s="157" t="s">
        <v>73</v>
      </c>
      <c r="C13" s="163" t="s">
        <v>74</v>
      </c>
      <c r="D13" s="163" t="s">
        <v>75</v>
      </c>
      <c r="E13" s="158" t="s">
        <v>20</v>
      </c>
      <c r="F13" s="158" t="s">
        <v>60</v>
      </c>
      <c r="G13" s="158" t="s">
        <v>54</v>
      </c>
      <c r="H13" s="158" t="s">
        <v>55</v>
      </c>
      <c r="I13" s="158" t="s">
        <v>68</v>
      </c>
      <c r="J13" s="158" t="s">
        <v>25</v>
      </c>
      <c r="K13" s="158" t="s">
        <v>26</v>
      </c>
      <c r="L13" s="167">
        <v>129987162</v>
      </c>
      <c r="M13" s="167">
        <v>129987162</v>
      </c>
      <c r="N13" s="167">
        <f>+Social[[#This Row],[RS financing 2022 (EUR)]]+Social[[#This Row],[RS financing 2023 (EUR)]]</f>
        <v>39051552</v>
      </c>
      <c r="O13" s="167">
        <v>39051552</v>
      </c>
      <c r="P13" s="167">
        <v>0</v>
      </c>
      <c r="Q13" s="161" t="s">
        <v>27</v>
      </c>
      <c r="S13"/>
    </row>
    <row r="14" spans="1:19" s="20" customFormat="1" ht="123.75" customHeight="1" x14ac:dyDescent="0.25">
      <c r="A14" s="160">
        <v>13</v>
      </c>
      <c r="B14" s="157" t="s">
        <v>76</v>
      </c>
      <c r="C14" s="163" t="s">
        <v>77</v>
      </c>
      <c r="D14" s="163" t="s">
        <v>78</v>
      </c>
      <c r="E14" s="158" t="s">
        <v>20</v>
      </c>
      <c r="F14" s="158" t="s">
        <v>35</v>
      </c>
      <c r="G14" s="158" t="s">
        <v>22</v>
      </c>
      <c r="H14" s="158" t="s">
        <v>23</v>
      </c>
      <c r="I14" s="158" t="s">
        <v>79</v>
      </c>
      <c r="J14" s="158" t="s">
        <v>25</v>
      </c>
      <c r="K14" s="158" t="s">
        <v>26</v>
      </c>
      <c r="L14" s="167">
        <v>6982181</v>
      </c>
      <c r="M14" s="167">
        <v>411211</v>
      </c>
      <c r="N14" s="167">
        <f>+Social[[#This Row],[RS financing 2022 (EUR)]]+Social[[#This Row],[RS financing 2023 (EUR)]]</f>
        <v>411211</v>
      </c>
      <c r="O14" s="167">
        <v>107124</v>
      </c>
      <c r="P14" s="167">
        <v>304087</v>
      </c>
      <c r="Q14" s="161" t="s">
        <v>27</v>
      </c>
      <c r="S14"/>
    </row>
    <row r="15" spans="1:19" s="20" customFormat="1" ht="54.9" customHeight="1" x14ac:dyDescent="0.25">
      <c r="A15" s="160">
        <v>14</v>
      </c>
      <c r="B15" s="157" t="s">
        <v>80</v>
      </c>
      <c r="C15" s="163" t="s">
        <v>81</v>
      </c>
      <c r="D15" s="163" t="s">
        <v>82</v>
      </c>
      <c r="E15" s="158" t="s">
        <v>20</v>
      </c>
      <c r="F15" s="158" t="s">
        <v>21</v>
      </c>
      <c r="G15" s="158" t="s">
        <v>22</v>
      </c>
      <c r="H15" s="158" t="s">
        <v>23</v>
      </c>
      <c r="I15" s="158" t="s">
        <v>83</v>
      </c>
      <c r="J15" s="158" t="s">
        <v>25</v>
      </c>
      <c r="K15" s="158" t="s">
        <v>26</v>
      </c>
      <c r="L15" s="167">
        <v>786804</v>
      </c>
      <c r="M15" s="167">
        <v>558960</v>
      </c>
      <c r="N15" s="167">
        <f>+Social[[#This Row],[RS financing 2022 (EUR)]]+Social[[#This Row],[RS financing 2023 (EUR)]]</f>
        <v>74899</v>
      </c>
      <c r="O15" s="167">
        <v>74899</v>
      </c>
      <c r="P15" s="167">
        <v>0</v>
      </c>
      <c r="Q15" s="161" t="s">
        <v>27</v>
      </c>
      <c r="S15"/>
    </row>
    <row r="16" spans="1:19" s="20" customFormat="1" ht="54.9" customHeight="1" x14ac:dyDescent="0.25">
      <c r="A16" s="160">
        <v>15</v>
      </c>
      <c r="B16" s="157" t="s">
        <v>84</v>
      </c>
      <c r="C16" s="163" t="s">
        <v>85</v>
      </c>
      <c r="D16" s="163" t="s">
        <v>86</v>
      </c>
      <c r="E16" s="158" t="s">
        <v>20</v>
      </c>
      <c r="F16" s="158" t="s">
        <v>87</v>
      </c>
      <c r="G16" s="158" t="s">
        <v>54</v>
      </c>
      <c r="H16" s="158" t="s">
        <v>55</v>
      </c>
      <c r="I16" s="158" t="s">
        <v>88</v>
      </c>
      <c r="J16" s="158" t="s">
        <v>25</v>
      </c>
      <c r="K16" s="158" t="s">
        <v>26</v>
      </c>
      <c r="L16" s="167">
        <v>386230222</v>
      </c>
      <c r="M16" s="167">
        <v>386230222</v>
      </c>
      <c r="N16" s="167">
        <f>+Social[[#This Row],[RS financing 2022 (EUR)]]+Social[[#This Row],[RS financing 2023 (EUR)]]</f>
        <v>86061257</v>
      </c>
      <c r="O16" s="167">
        <v>86061257</v>
      </c>
      <c r="P16" s="167">
        <v>0</v>
      </c>
      <c r="Q16" s="161" t="s">
        <v>27</v>
      </c>
      <c r="S16"/>
    </row>
    <row r="17" spans="1:19" s="20" customFormat="1" ht="145.5" customHeight="1" x14ac:dyDescent="0.25">
      <c r="A17" s="160">
        <v>16</v>
      </c>
      <c r="B17" s="157" t="s">
        <v>89</v>
      </c>
      <c r="C17" s="163" t="s">
        <v>90</v>
      </c>
      <c r="D17" s="163" t="s">
        <v>91</v>
      </c>
      <c r="E17" s="158" t="s">
        <v>20</v>
      </c>
      <c r="F17" s="158" t="s">
        <v>35</v>
      </c>
      <c r="G17" s="158" t="s">
        <v>54</v>
      </c>
      <c r="H17" s="158" t="s">
        <v>55</v>
      </c>
      <c r="I17" s="158" t="s">
        <v>92</v>
      </c>
      <c r="J17" s="158" t="s">
        <v>93</v>
      </c>
      <c r="K17" s="158" t="s">
        <v>26</v>
      </c>
      <c r="L17" s="167">
        <v>446649</v>
      </c>
      <c r="M17" s="167">
        <v>88739</v>
      </c>
      <c r="N17" s="167">
        <f>+Social[[#This Row],[RS financing 2022 (EUR)]]+Social[[#This Row],[RS financing 2023 (EUR)]]</f>
        <v>22047</v>
      </c>
      <c r="O17" s="167">
        <v>19518</v>
      </c>
      <c r="P17" s="167">
        <v>2529</v>
      </c>
      <c r="Q17" s="161" t="s">
        <v>27</v>
      </c>
      <c r="S17"/>
    </row>
    <row r="18" spans="1:19" s="20" customFormat="1" ht="144" x14ac:dyDescent="0.25">
      <c r="A18" s="160">
        <v>17</v>
      </c>
      <c r="B18" s="157" t="s">
        <v>94</v>
      </c>
      <c r="C18" s="163" t="s">
        <v>95</v>
      </c>
      <c r="D18" s="163" t="s">
        <v>91</v>
      </c>
      <c r="E18" s="158" t="s">
        <v>20</v>
      </c>
      <c r="F18" s="158" t="s">
        <v>35</v>
      </c>
      <c r="G18" s="158" t="s">
        <v>54</v>
      </c>
      <c r="H18" s="158" t="s">
        <v>55</v>
      </c>
      <c r="I18" s="158" t="s">
        <v>96</v>
      </c>
      <c r="J18" s="158" t="s">
        <v>93</v>
      </c>
      <c r="K18" s="158" t="s">
        <v>26</v>
      </c>
      <c r="L18" s="167">
        <v>96342</v>
      </c>
      <c r="M18" s="167">
        <v>19269</v>
      </c>
      <c r="N18" s="167">
        <f>+Social[[#This Row],[RS financing 2022 (EUR)]]+Social[[#This Row],[RS financing 2023 (EUR)]]</f>
        <v>4913</v>
      </c>
      <c r="O18" s="167">
        <v>4913</v>
      </c>
      <c r="P18" s="167">
        <v>0</v>
      </c>
      <c r="Q18" s="161" t="s">
        <v>27</v>
      </c>
      <c r="S18"/>
    </row>
    <row r="19" spans="1:19" s="20" customFormat="1" ht="139.5" customHeight="1" x14ac:dyDescent="0.25">
      <c r="A19" s="160">
        <v>18</v>
      </c>
      <c r="B19" s="157" t="s">
        <v>97</v>
      </c>
      <c r="C19" s="163" t="s">
        <v>98</v>
      </c>
      <c r="D19" s="163" t="s">
        <v>91</v>
      </c>
      <c r="E19" s="158" t="s">
        <v>20</v>
      </c>
      <c r="F19" s="158" t="s">
        <v>35</v>
      </c>
      <c r="G19" s="158" t="s">
        <v>54</v>
      </c>
      <c r="H19" s="158" t="s">
        <v>55</v>
      </c>
      <c r="I19" s="158" t="s">
        <v>99</v>
      </c>
      <c r="J19" s="158" t="s">
        <v>93</v>
      </c>
      <c r="K19" s="158" t="s">
        <v>26</v>
      </c>
      <c r="L19" s="167">
        <v>149090</v>
      </c>
      <c r="M19" s="167">
        <v>29818</v>
      </c>
      <c r="N19" s="167">
        <f>+Social[[#This Row],[RS financing 2022 (EUR)]]+Social[[#This Row],[RS financing 2023 (EUR)]]</f>
        <v>6792</v>
      </c>
      <c r="O19" s="167">
        <v>6792</v>
      </c>
      <c r="P19" s="167">
        <v>0</v>
      </c>
      <c r="Q19" s="161" t="s">
        <v>27</v>
      </c>
      <c r="S19"/>
    </row>
    <row r="20" spans="1:19" s="20" customFormat="1" ht="138.75" customHeight="1" x14ac:dyDescent="0.25">
      <c r="A20" s="160">
        <v>19</v>
      </c>
      <c r="B20" s="157" t="s">
        <v>100</v>
      </c>
      <c r="C20" s="163" t="s">
        <v>101</v>
      </c>
      <c r="D20" s="163" t="s">
        <v>91</v>
      </c>
      <c r="E20" s="158" t="s">
        <v>20</v>
      </c>
      <c r="F20" s="158" t="s">
        <v>35</v>
      </c>
      <c r="G20" s="158" t="s">
        <v>54</v>
      </c>
      <c r="H20" s="158" t="s">
        <v>55</v>
      </c>
      <c r="I20" s="158" t="s">
        <v>102</v>
      </c>
      <c r="J20" s="158" t="s">
        <v>93</v>
      </c>
      <c r="K20" s="158" t="s">
        <v>26</v>
      </c>
      <c r="L20" s="167">
        <v>141142</v>
      </c>
      <c r="M20" s="167">
        <v>28228</v>
      </c>
      <c r="N20" s="167">
        <f>+Social[[#This Row],[RS financing 2022 (EUR)]]+Social[[#This Row],[RS financing 2023 (EUR)]]</f>
        <v>5323</v>
      </c>
      <c r="O20" s="167">
        <v>5323</v>
      </c>
      <c r="P20" s="167">
        <v>0</v>
      </c>
      <c r="Q20" s="161" t="s">
        <v>27</v>
      </c>
      <c r="S20"/>
    </row>
    <row r="21" spans="1:19" s="20" customFormat="1" ht="144" x14ac:dyDescent="0.25">
      <c r="A21" s="160">
        <v>20</v>
      </c>
      <c r="B21" s="157" t="s">
        <v>103</v>
      </c>
      <c r="C21" s="163" t="s">
        <v>104</v>
      </c>
      <c r="D21" s="163" t="s">
        <v>91</v>
      </c>
      <c r="E21" s="158" t="s">
        <v>20</v>
      </c>
      <c r="F21" s="158" t="s">
        <v>35</v>
      </c>
      <c r="G21" s="158" t="s">
        <v>54</v>
      </c>
      <c r="H21" s="158" t="s">
        <v>55</v>
      </c>
      <c r="I21" s="158" t="s">
        <v>105</v>
      </c>
      <c r="J21" s="158" t="s">
        <v>93</v>
      </c>
      <c r="K21" s="158" t="s">
        <v>26</v>
      </c>
      <c r="L21" s="167">
        <v>135482</v>
      </c>
      <c r="M21" s="167">
        <v>27096</v>
      </c>
      <c r="N21" s="167">
        <f>+Social[[#This Row],[RS financing 2022 (EUR)]]+Social[[#This Row],[RS financing 2023 (EUR)]]</f>
        <v>5612</v>
      </c>
      <c r="O21" s="167">
        <v>5612</v>
      </c>
      <c r="P21" s="167">
        <v>0</v>
      </c>
      <c r="Q21" s="161" t="s">
        <v>27</v>
      </c>
      <c r="S21"/>
    </row>
    <row r="22" spans="1:19" s="20" customFormat="1" ht="135.75" customHeight="1" x14ac:dyDescent="0.25">
      <c r="A22" s="160">
        <v>21</v>
      </c>
      <c r="B22" s="157" t="s">
        <v>106</v>
      </c>
      <c r="C22" s="163" t="s">
        <v>107</v>
      </c>
      <c r="D22" s="163" t="s">
        <v>91</v>
      </c>
      <c r="E22" s="158" t="s">
        <v>20</v>
      </c>
      <c r="F22" s="158" t="s">
        <v>35</v>
      </c>
      <c r="G22" s="158" t="s">
        <v>54</v>
      </c>
      <c r="H22" s="158" t="s">
        <v>55</v>
      </c>
      <c r="I22" s="158" t="s">
        <v>108</v>
      </c>
      <c r="J22" s="158" t="s">
        <v>93</v>
      </c>
      <c r="K22" s="158" t="s">
        <v>26</v>
      </c>
      <c r="L22" s="167">
        <v>145417</v>
      </c>
      <c r="M22" s="167">
        <v>29083</v>
      </c>
      <c r="N22" s="167">
        <f>+Social[[#This Row],[RS financing 2022 (EUR)]]+Social[[#This Row],[RS financing 2023 (EUR)]]</f>
        <v>4829</v>
      </c>
      <c r="O22" s="167">
        <v>4829</v>
      </c>
      <c r="P22" s="167">
        <v>0</v>
      </c>
      <c r="Q22" s="161" t="s">
        <v>27</v>
      </c>
      <c r="S22"/>
    </row>
    <row r="23" spans="1:19" s="20" customFormat="1" ht="146.25" customHeight="1" x14ac:dyDescent="0.25">
      <c r="A23" s="160">
        <v>22</v>
      </c>
      <c r="B23" s="157" t="s">
        <v>109</v>
      </c>
      <c r="C23" s="163" t="s">
        <v>110</v>
      </c>
      <c r="D23" s="163" t="s">
        <v>91</v>
      </c>
      <c r="E23" s="158" t="s">
        <v>20</v>
      </c>
      <c r="F23" s="158" t="s">
        <v>35</v>
      </c>
      <c r="G23" s="158" t="s">
        <v>54</v>
      </c>
      <c r="H23" s="158" t="s">
        <v>55</v>
      </c>
      <c r="I23" s="158" t="s">
        <v>111</v>
      </c>
      <c r="J23" s="158" t="s">
        <v>93</v>
      </c>
      <c r="K23" s="158" t="s">
        <v>26</v>
      </c>
      <c r="L23" s="167">
        <v>132230</v>
      </c>
      <c r="M23" s="167">
        <v>26446</v>
      </c>
      <c r="N23" s="167">
        <f>+Social[[#This Row],[RS financing 2022 (EUR)]]+Social[[#This Row],[RS financing 2023 (EUR)]]</f>
        <v>7996</v>
      </c>
      <c r="O23" s="167">
        <v>7996</v>
      </c>
      <c r="P23" s="167">
        <v>0</v>
      </c>
      <c r="Q23" s="161" t="s">
        <v>27</v>
      </c>
      <c r="S23"/>
    </row>
    <row r="24" spans="1:19" s="20" customFormat="1" ht="144" x14ac:dyDescent="0.25">
      <c r="A24" s="160">
        <v>23</v>
      </c>
      <c r="B24" s="157" t="s">
        <v>112</v>
      </c>
      <c r="C24" s="163" t="s">
        <v>113</v>
      </c>
      <c r="D24" s="163" t="s">
        <v>91</v>
      </c>
      <c r="E24" s="158" t="s">
        <v>20</v>
      </c>
      <c r="F24" s="158" t="s">
        <v>35</v>
      </c>
      <c r="G24" s="158" t="s">
        <v>54</v>
      </c>
      <c r="H24" s="158" t="s">
        <v>55</v>
      </c>
      <c r="I24" s="158" t="s">
        <v>114</v>
      </c>
      <c r="J24" s="158" t="s">
        <v>93</v>
      </c>
      <c r="K24" s="158" t="s">
        <v>26</v>
      </c>
      <c r="L24" s="167">
        <v>157206</v>
      </c>
      <c r="M24" s="167">
        <v>30836</v>
      </c>
      <c r="N24" s="167">
        <f>+Social[[#This Row],[RS financing 2022 (EUR)]]+Social[[#This Row],[RS financing 2023 (EUR)]]</f>
        <v>8640</v>
      </c>
      <c r="O24" s="167">
        <v>6021</v>
      </c>
      <c r="P24" s="167">
        <v>2619</v>
      </c>
      <c r="Q24" s="161" t="s">
        <v>27</v>
      </c>
      <c r="S24"/>
    </row>
    <row r="25" spans="1:19" s="20" customFormat="1" ht="137.25" customHeight="1" x14ac:dyDescent="0.25">
      <c r="A25" s="160">
        <v>24</v>
      </c>
      <c r="B25" s="157" t="s">
        <v>115</v>
      </c>
      <c r="C25" s="163" t="s">
        <v>116</v>
      </c>
      <c r="D25" s="163" t="s">
        <v>91</v>
      </c>
      <c r="E25" s="158" t="s">
        <v>20</v>
      </c>
      <c r="F25" s="158" t="s">
        <v>35</v>
      </c>
      <c r="G25" s="158" t="s">
        <v>54</v>
      </c>
      <c r="H25" s="158" t="s">
        <v>55</v>
      </c>
      <c r="I25" s="158" t="s">
        <v>117</v>
      </c>
      <c r="J25" s="158" t="s">
        <v>93</v>
      </c>
      <c r="K25" s="158" t="s">
        <v>26</v>
      </c>
      <c r="L25" s="167">
        <v>424865</v>
      </c>
      <c r="M25" s="167">
        <v>84830</v>
      </c>
      <c r="N25" s="167">
        <f>+Social[[#This Row],[RS financing 2022 (EUR)]]+Social[[#This Row],[RS financing 2023 (EUR)]]</f>
        <v>23742</v>
      </c>
      <c r="O25" s="167">
        <v>13275</v>
      </c>
      <c r="P25" s="167">
        <v>10467</v>
      </c>
      <c r="Q25" s="161" t="s">
        <v>27</v>
      </c>
      <c r="S25"/>
    </row>
    <row r="26" spans="1:19" s="20" customFormat="1" ht="142.5" customHeight="1" x14ac:dyDescent="0.25">
      <c r="A26" s="160">
        <v>25</v>
      </c>
      <c r="B26" s="157" t="s">
        <v>118</v>
      </c>
      <c r="C26" s="163" t="s">
        <v>116</v>
      </c>
      <c r="D26" s="163" t="s">
        <v>91</v>
      </c>
      <c r="E26" s="158" t="s">
        <v>20</v>
      </c>
      <c r="F26" s="158" t="s">
        <v>35</v>
      </c>
      <c r="G26" s="158" t="s">
        <v>54</v>
      </c>
      <c r="H26" s="158" t="s">
        <v>55</v>
      </c>
      <c r="I26" s="158" t="s">
        <v>119</v>
      </c>
      <c r="J26" s="158" t="s">
        <v>93</v>
      </c>
      <c r="K26" s="158" t="s">
        <v>26</v>
      </c>
      <c r="L26" s="167">
        <v>424865</v>
      </c>
      <c r="M26" s="167">
        <v>83000</v>
      </c>
      <c r="N26" s="167">
        <f>+Social[[#This Row],[RS financing 2022 (EUR)]]+Social[[#This Row],[RS financing 2023 (EUR)]]</f>
        <v>19591</v>
      </c>
      <c r="O26" s="167">
        <v>14691</v>
      </c>
      <c r="P26" s="167">
        <v>4900</v>
      </c>
      <c r="Q26" s="161" t="s">
        <v>27</v>
      </c>
      <c r="S26"/>
    </row>
    <row r="27" spans="1:19" s="20" customFormat="1" ht="105" customHeight="1" x14ac:dyDescent="0.25">
      <c r="A27" s="160">
        <v>26</v>
      </c>
      <c r="B27" s="157" t="s">
        <v>120</v>
      </c>
      <c r="C27" s="163" t="s">
        <v>121</v>
      </c>
      <c r="D27" s="163" t="s">
        <v>122</v>
      </c>
      <c r="E27" s="158" t="s">
        <v>20</v>
      </c>
      <c r="F27" s="158" t="s">
        <v>60</v>
      </c>
      <c r="G27" s="158" t="s">
        <v>54</v>
      </c>
      <c r="H27" s="158" t="s">
        <v>55</v>
      </c>
      <c r="I27" s="158" t="s">
        <v>123</v>
      </c>
      <c r="J27" s="158" t="s">
        <v>25</v>
      </c>
      <c r="K27" s="158" t="s">
        <v>26</v>
      </c>
      <c r="L27" s="167">
        <v>28411422</v>
      </c>
      <c r="M27" s="167">
        <v>22718094</v>
      </c>
      <c r="N27" s="167">
        <f>+Social[[#This Row],[RS financing 2022 (EUR)]]+Social[[#This Row],[RS financing 2023 (EUR)]]</f>
        <v>6084901</v>
      </c>
      <c r="O27" s="167">
        <v>2669630</v>
      </c>
      <c r="P27" s="167">
        <v>3415271</v>
      </c>
      <c r="Q27" s="161" t="s">
        <v>27</v>
      </c>
      <c r="S27"/>
    </row>
    <row r="28" spans="1:19" s="20" customFormat="1" ht="75.75" customHeight="1" x14ac:dyDescent="0.25">
      <c r="A28" s="160">
        <v>27</v>
      </c>
      <c r="B28" s="157" t="s">
        <v>124</v>
      </c>
      <c r="C28" s="163" t="s">
        <v>125</v>
      </c>
      <c r="D28" s="163" t="s">
        <v>126</v>
      </c>
      <c r="E28" s="158" t="s">
        <v>20</v>
      </c>
      <c r="F28" s="158" t="s">
        <v>60</v>
      </c>
      <c r="G28" s="158" t="s">
        <v>54</v>
      </c>
      <c r="H28" s="158" t="s">
        <v>55</v>
      </c>
      <c r="I28" s="158" t="s">
        <v>123</v>
      </c>
      <c r="J28" s="158" t="s">
        <v>25</v>
      </c>
      <c r="K28" s="158" t="s">
        <v>26</v>
      </c>
      <c r="L28" s="167">
        <v>6601603</v>
      </c>
      <c r="M28" s="167">
        <v>5289603</v>
      </c>
      <c r="N28" s="167">
        <f>+Social[[#This Row],[RS financing 2022 (EUR)]]+Social[[#This Row],[RS financing 2023 (EUR)]]</f>
        <v>1471335</v>
      </c>
      <c r="O28" s="167">
        <v>556051</v>
      </c>
      <c r="P28" s="167">
        <v>915284</v>
      </c>
      <c r="Q28" s="161" t="s">
        <v>27</v>
      </c>
      <c r="S28"/>
    </row>
    <row r="29" spans="1:19" s="20" customFormat="1" ht="54.9" customHeight="1" x14ac:dyDescent="0.25">
      <c r="A29" s="160">
        <v>28</v>
      </c>
      <c r="B29" s="157" t="s">
        <v>127</v>
      </c>
      <c r="C29" s="163" t="s">
        <v>128</v>
      </c>
      <c r="D29" s="163" t="s">
        <v>129</v>
      </c>
      <c r="E29" s="158" t="s">
        <v>20</v>
      </c>
      <c r="F29" s="158" t="s">
        <v>21</v>
      </c>
      <c r="G29" s="158" t="s">
        <v>22</v>
      </c>
      <c r="H29" s="158" t="s">
        <v>23</v>
      </c>
      <c r="I29" s="158" t="s">
        <v>130</v>
      </c>
      <c r="J29" s="158" t="s">
        <v>25</v>
      </c>
      <c r="K29" s="158" t="s">
        <v>26</v>
      </c>
      <c r="L29" s="167">
        <v>801464</v>
      </c>
      <c r="M29" s="167">
        <v>737046</v>
      </c>
      <c r="N29" s="167">
        <f>+Social[[#This Row],[RS financing 2022 (EUR)]]+Social[[#This Row],[RS financing 2023 (EUR)]]</f>
        <v>2735</v>
      </c>
      <c r="O29" s="167">
        <v>2735</v>
      </c>
      <c r="P29" s="167">
        <v>0</v>
      </c>
      <c r="Q29" s="161" t="s">
        <v>27</v>
      </c>
      <c r="S29"/>
    </row>
    <row r="30" spans="1:19" s="20" customFormat="1" ht="28.8" x14ac:dyDescent="0.25">
      <c r="A30" s="160">
        <v>29</v>
      </c>
      <c r="B30" s="157" t="s">
        <v>131</v>
      </c>
      <c r="C30" s="163" t="s">
        <v>132</v>
      </c>
      <c r="D30" s="163" t="s">
        <v>133</v>
      </c>
      <c r="E30" s="158" t="s">
        <v>20</v>
      </c>
      <c r="F30" s="158" t="s">
        <v>21</v>
      </c>
      <c r="G30" s="158" t="s">
        <v>22</v>
      </c>
      <c r="H30" s="158" t="s">
        <v>23</v>
      </c>
      <c r="I30" s="158" t="s">
        <v>134</v>
      </c>
      <c r="J30" s="158" t="s">
        <v>25</v>
      </c>
      <c r="K30" s="158" t="s">
        <v>26</v>
      </c>
      <c r="L30" s="167">
        <v>1232916</v>
      </c>
      <c r="M30" s="167">
        <v>1001849</v>
      </c>
      <c r="N30" s="167">
        <f>+Social[[#This Row],[RS financing 2022 (EUR)]]+Social[[#This Row],[RS financing 2023 (EUR)]]</f>
        <v>720868</v>
      </c>
      <c r="O30" s="167">
        <v>459723</v>
      </c>
      <c r="P30" s="167">
        <v>261145</v>
      </c>
      <c r="Q30" s="161" t="s">
        <v>27</v>
      </c>
      <c r="S30"/>
    </row>
    <row r="31" spans="1:19" s="20" customFormat="1" ht="60.75" customHeight="1" x14ac:dyDescent="0.25">
      <c r="A31" s="160">
        <v>30</v>
      </c>
      <c r="B31" s="157" t="s">
        <v>135</v>
      </c>
      <c r="C31" s="163" t="s">
        <v>136</v>
      </c>
      <c r="D31" s="163" t="s">
        <v>137</v>
      </c>
      <c r="E31" s="158" t="s">
        <v>20</v>
      </c>
      <c r="F31" s="158" t="s">
        <v>21</v>
      </c>
      <c r="G31" s="158" t="s">
        <v>22</v>
      </c>
      <c r="H31" s="158" t="s">
        <v>23</v>
      </c>
      <c r="I31" s="158" t="s">
        <v>138</v>
      </c>
      <c r="J31" s="158" t="s">
        <v>25</v>
      </c>
      <c r="K31" s="158" t="s">
        <v>26</v>
      </c>
      <c r="L31" s="167">
        <v>1020219</v>
      </c>
      <c r="M31" s="167">
        <v>868091</v>
      </c>
      <c r="N31" s="167">
        <f>+Social[[#This Row],[RS financing 2022 (EUR)]]+Social[[#This Row],[RS financing 2023 (EUR)]]</f>
        <v>705497</v>
      </c>
      <c r="O31" s="167">
        <v>705497</v>
      </c>
      <c r="P31" s="167">
        <v>0</v>
      </c>
      <c r="Q31" s="161" t="s">
        <v>27</v>
      </c>
      <c r="S31"/>
    </row>
    <row r="32" spans="1:19" s="20" customFormat="1" ht="57.6" x14ac:dyDescent="0.25">
      <c r="A32" s="160">
        <v>31</v>
      </c>
      <c r="B32" s="157" t="s">
        <v>139</v>
      </c>
      <c r="C32" s="170" t="s">
        <v>140</v>
      </c>
      <c r="D32" s="163" t="s">
        <v>141</v>
      </c>
      <c r="E32" s="158" t="s">
        <v>142</v>
      </c>
      <c r="F32" s="158" t="s">
        <v>143</v>
      </c>
      <c r="G32" s="158" t="s">
        <v>144</v>
      </c>
      <c r="H32" s="158" t="s">
        <v>23</v>
      </c>
      <c r="I32" s="158" t="s">
        <v>145</v>
      </c>
      <c r="J32" s="158" t="s">
        <v>146</v>
      </c>
      <c r="K32" s="158" t="s">
        <v>26</v>
      </c>
      <c r="L32" s="167">
        <v>1465926</v>
      </c>
      <c r="M32" s="167">
        <v>610000</v>
      </c>
      <c r="N32" s="167">
        <f>+Social[[#This Row],[RS financing 2022 (EUR)]]+Social[[#This Row],[RS financing 2023 (EUR)]]</f>
        <v>110000</v>
      </c>
      <c r="O32" s="167">
        <v>110000</v>
      </c>
      <c r="P32" s="167">
        <v>0</v>
      </c>
      <c r="Q32" s="161" t="s">
        <v>147</v>
      </c>
      <c r="S32"/>
    </row>
    <row r="33" spans="1:19" s="20" customFormat="1" ht="54.9" customHeight="1" x14ac:dyDescent="0.25">
      <c r="A33" s="160">
        <v>32</v>
      </c>
      <c r="B33" s="157" t="s">
        <v>148</v>
      </c>
      <c r="C33" s="163" t="s">
        <v>149</v>
      </c>
      <c r="D33" s="163" t="s">
        <v>150</v>
      </c>
      <c r="E33" s="158" t="s">
        <v>151</v>
      </c>
      <c r="F33" s="158" t="s">
        <v>152</v>
      </c>
      <c r="G33" s="158" t="s">
        <v>144</v>
      </c>
      <c r="H33" s="158" t="s">
        <v>55</v>
      </c>
      <c r="I33" s="158" t="s">
        <v>153</v>
      </c>
      <c r="J33" s="158" t="s">
        <v>154</v>
      </c>
      <c r="K33" s="158" t="s">
        <v>155</v>
      </c>
      <c r="L33" s="167">
        <v>440278945</v>
      </c>
      <c r="M33" s="167">
        <v>354163347</v>
      </c>
      <c r="N33" s="167">
        <f>+Social[[#This Row],[RS financing 2022 (EUR)]]+Social[[#This Row],[RS financing 2023 (EUR)]]</f>
        <v>93528059</v>
      </c>
      <c r="O33" s="167">
        <v>43225495</v>
      </c>
      <c r="P33" s="167">
        <v>50302564</v>
      </c>
      <c r="Q33" s="161" t="s">
        <v>156</v>
      </c>
      <c r="S33"/>
    </row>
    <row r="34" spans="1:19" s="20" customFormat="1" ht="80.099999999999994" customHeight="1" x14ac:dyDescent="0.25">
      <c r="A34" s="160">
        <v>33</v>
      </c>
      <c r="B34" s="157" t="s">
        <v>157</v>
      </c>
      <c r="C34" s="163" t="s">
        <v>158</v>
      </c>
      <c r="D34" s="163" t="s">
        <v>159</v>
      </c>
      <c r="E34" s="158" t="s">
        <v>151</v>
      </c>
      <c r="F34" s="158" t="s">
        <v>160</v>
      </c>
      <c r="G34" s="158" t="s">
        <v>144</v>
      </c>
      <c r="H34" s="158" t="s">
        <v>161</v>
      </c>
      <c r="I34" s="158" t="s">
        <v>162</v>
      </c>
      <c r="J34" s="158" t="s">
        <v>163</v>
      </c>
      <c r="K34" s="158" t="s">
        <v>155</v>
      </c>
      <c r="L34" s="167">
        <v>532324401</v>
      </c>
      <c r="M34" s="167">
        <v>434302404</v>
      </c>
      <c r="N34" s="167">
        <f>+Social[[#This Row],[RS financing 2022 (EUR)]]+Social[[#This Row],[RS financing 2023 (EUR)]]</f>
        <v>78092447</v>
      </c>
      <c r="O34" s="167">
        <v>35086444</v>
      </c>
      <c r="P34" s="167">
        <v>43006003</v>
      </c>
      <c r="Q34" s="161" t="s">
        <v>156</v>
      </c>
      <c r="S34"/>
    </row>
    <row r="35" spans="1:19" s="20" customFormat="1" ht="68.099999999999994" customHeight="1" x14ac:dyDescent="0.25">
      <c r="A35" s="160">
        <v>34</v>
      </c>
      <c r="B35" s="157" t="s">
        <v>164</v>
      </c>
      <c r="C35" s="163" t="s">
        <v>165</v>
      </c>
      <c r="D35" s="163" t="s">
        <v>166</v>
      </c>
      <c r="E35" s="158" t="s">
        <v>151</v>
      </c>
      <c r="F35" s="158" t="s">
        <v>167</v>
      </c>
      <c r="G35" s="158" t="s">
        <v>144</v>
      </c>
      <c r="H35" s="158" t="s">
        <v>161</v>
      </c>
      <c r="I35" s="161" t="s">
        <v>162</v>
      </c>
      <c r="J35" s="158" t="s">
        <v>163</v>
      </c>
      <c r="K35" s="158" t="s">
        <v>155</v>
      </c>
      <c r="L35" s="167">
        <v>168645233</v>
      </c>
      <c r="M35" s="167">
        <v>142708010</v>
      </c>
      <c r="N35" s="167">
        <f>+Social[[#This Row],[RS financing 2022 (EUR)]]+Social[[#This Row],[RS financing 2023 (EUR)]]</f>
        <v>17481666</v>
      </c>
      <c r="O35" s="167">
        <v>8080385</v>
      </c>
      <c r="P35" s="167">
        <v>9401281</v>
      </c>
      <c r="Q35" s="161" t="s">
        <v>156</v>
      </c>
      <c r="S35"/>
    </row>
    <row r="36" spans="1:19" s="20" customFormat="1" ht="69.75" customHeight="1" x14ac:dyDescent="0.25">
      <c r="A36" s="160">
        <v>35</v>
      </c>
      <c r="B36" s="157" t="s">
        <v>168</v>
      </c>
      <c r="C36" s="163" t="s">
        <v>169</v>
      </c>
      <c r="D36" s="163" t="s">
        <v>170</v>
      </c>
      <c r="E36" s="158" t="s">
        <v>20</v>
      </c>
      <c r="F36" s="158" t="s">
        <v>21</v>
      </c>
      <c r="G36" s="158" t="s">
        <v>22</v>
      </c>
      <c r="H36" s="158" t="s">
        <v>23</v>
      </c>
      <c r="I36" s="158" t="s">
        <v>171</v>
      </c>
      <c r="J36" s="158" t="s">
        <v>25</v>
      </c>
      <c r="K36" s="158" t="s">
        <v>26</v>
      </c>
      <c r="L36" s="167">
        <v>3014697</v>
      </c>
      <c r="M36" s="167">
        <v>2775149</v>
      </c>
      <c r="N36" s="167">
        <f>+Social[[#This Row],[RS financing 2022 (EUR)]]+Social[[#This Row],[RS financing 2023 (EUR)]]</f>
        <v>2747923</v>
      </c>
      <c r="O36" s="167">
        <v>1947950</v>
      </c>
      <c r="P36" s="167">
        <v>799973</v>
      </c>
      <c r="Q36" s="161" t="s">
        <v>27</v>
      </c>
      <c r="S36"/>
    </row>
    <row r="37" spans="1:19" s="20" customFormat="1" ht="54.75" customHeight="1" x14ac:dyDescent="0.25">
      <c r="A37" s="160">
        <v>36</v>
      </c>
      <c r="B37" s="157" t="s">
        <v>172</v>
      </c>
      <c r="C37" s="163" t="s">
        <v>173</v>
      </c>
      <c r="D37" s="163" t="s">
        <v>174</v>
      </c>
      <c r="E37" s="158" t="s">
        <v>20</v>
      </c>
      <c r="F37" s="158" t="s">
        <v>35</v>
      </c>
      <c r="G37" s="158" t="s">
        <v>54</v>
      </c>
      <c r="H37" s="158" t="s">
        <v>55</v>
      </c>
      <c r="I37" s="158" t="s">
        <v>175</v>
      </c>
      <c r="J37" s="158" t="s">
        <v>25</v>
      </c>
      <c r="K37" s="158" t="s">
        <v>26</v>
      </c>
      <c r="L37" s="167">
        <v>204986</v>
      </c>
      <c r="M37" s="167">
        <v>205873</v>
      </c>
      <c r="N37" s="167">
        <f>+Social[[#This Row],[RS financing 2022 (EUR)]]+Social[[#This Row],[RS financing 2023 (EUR)]]</f>
        <v>155690</v>
      </c>
      <c r="O37" s="167">
        <v>153903</v>
      </c>
      <c r="P37" s="167">
        <v>1787</v>
      </c>
      <c r="Q37" s="161" t="s">
        <v>27</v>
      </c>
      <c r="S37"/>
    </row>
    <row r="38" spans="1:19" s="20" customFormat="1" ht="69" customHeight="1" x14ac:dyDescent="0.25">
      <c r="A38" s="160">
        <v>37</v>
      </c>
      <c r="B38" s="157" t="s">
        <v>176</v>
      </c>
      <c r="C38" s="163" t="s">
        <v>177</v>
      </c>
      <c r="D38" s="163" t="s">
        <v>178</v>
      </c>
      <c r="E38" s="158" t="s">
        <v>20</v>
      </c>
      <c r="F38" s="158" t="s">
        <v>21</v>
      </c>
      <c r="G38" s="158" t="s">
        <v>22</v>
      </c>
      <c r="H38" s="158" t="s">
        <v>23</v>
      </c>
      <c r="I38" s="158" t="s">
        <v>179</v>
      </c>
      <c r="J38" s="158" t="s">
        <v>25</v>
      </c>
      <c r="K38" s="158" t="s">
        <v>26</v>
      </c>
      <c r="L38" s="167">
        <v>3165970</v>
      </c>
      <c r="M38" s="167">
        <v>2885292</v>
      </c>
      <c r="N38" s="167">
        <f>+Social[[#This Row],[RS financing 2022 (EUR)]]+Social[[#This Row],[RS financing 2023 (EUR)]]</f>
        <v>1277407</v>
      </c>
      <c r="O38" s="167">
        <v>1277407</v>
      </c>
      <c r="P38" s="167">
        <v>0</v>
      </c>
      <c r="Q38" s="161" t="s">
        <v>27</v>
      </c>
      <c r="S38"/>
    </row>
    <row r="39" spans="1:19" s="20" customFormat="1" ht="201.6" x14ac:dyDescent="0.25">
      <c r="A39" s="160">
        <v>38</v>
      </c>
      <c r="B39" s="157" t="s">
        <v>180</v>
      </c>
      <c r="C39" s="163" t="s">
        <v>181</v>
      </c>
      <c r="D39" s="163" t="s">
        <v>182</v>
      </c>
      <c r="E39" s="158" t="s">
        <v>20</v>
      </c>
      <c r="F39" s="158" t="s">
        <v>35</v>
      </c>
      <c r="G39" s="158" t="s">
        <v>54</v>
      </c>
      <c r="H39" s="158" t="s">
        <v>55</v>
      </c>
      <c r="I39" s="158" t="s">
        <v>183</v>
      </c>
      <c r="J39" s="158" t="s">
        <v>184</v>
      </c>
      <c r="K39" s="158" t="s">
        <v>26</v>
      </c>
      <c r="L39" s="167">
        <v>2254974</v>
      </c>
      <c r="M39" s="167">
        <v>452772</v>
      </c>
      <c r="N39" s="167">
        <f>+Social[[#This Row],[RS financing 2022 (EUR)]]+Social[[#This Row],[RS financing 2023 (EUR)]]</f>
        <v>159131</v>
      </c>
      <c r="O39" s="167">
        <v>156214</v>
      </c>
      <c r="P39" s="167">
        <v>2917</v>
      </c>
      <c r="Q39" s="161" t="s">
        <v>27</v>
      </c>
      <c r="S39"/>
    </row>
    <row r="40" spans="1:19" s="20" customFormat="1" ht="201.6" x14ac:dyDescent="0.25">
      <c r="A40" s="160">
        <v>39</v>
      </c>
      <c r="B40" s="157" t="s">
        <v>185</v>
      </c>
      <c r="C40" s="163" t="s">
        <v>186</v>
      </c>
      <c r="D40" s="163" t="s">
        <v>182</v>
      </c>
      <c r="E40" s="158" t="s">
        <v>20</v>
      </c>
      <c r="F40" s="158" t="s">
        <v>35</v>
      </c>
      <c r="G40" s="158" t="s">
        <v>54</v>
      </c>
      <c r="H40" s="158" t="s">
        <v>55</v>
      </c>
      <c r="I40" s="158" t="s">
        <v>187</v>
      </c>
      <c r="J40" s="158" t="s">
        <v>184</v>
      </c>
      <c r="K40" s="158" t="s">
        <v>26</v>
      </c>
      <c r="L40" s="167">
        <v>2324540</v>
      </c>
      <c r="M40" s="167">
        <v>458346</v>
      </c>
      <c r="N40" s="167">
        <f>+Social[[#This Row],[RS financing 2022 (EUR)]]+Social[[#This Row],[RS financing 2023 (EUR)]]</f>
        <v>110725</v>
      </c>
      <c r="O40" s="167">
        <v>110725</v>
      </c>
      <c r="P40" s="167">
        <v>0</v>
      </c>
      <c r="Q40" s="161" t="s">
        <v>27</v>
      </c>
      <c r="S40"/>
    </row>
    <row r="41" spans="1:19" s="20" customFormat="1" ht="201.6" x14ac:dyDescent="0.25">
      <c r="A41" s="160">
        <v>40</v>
      </c>
      <c r="B41" s="157" t="s">
        <v>188</v>
      </c>
      <c r="C41" s="163" t="s">
        <v>189</v>
      </c>
      <c r="D41" s="163" t="s">
        <v>182</v>
      </c>
      <c r="E41" s="158" t="s">
        <v>20</v>
      </c>
      <c r="F41" s="158" t="s">
        <v>35</v>
      </c>
      <c r="G41" s="158" t="s">
        <v>54</v>
      </c>
      <c r="H41" s="158" t="s">
        <v>55</v>
      </c>
      <c r="I41" s="158" t="s">
        <v>190</v>
      </c>
      <c r="J41" s="158" t="s">
        <v>184</v>
      </c>
      <c r="K41" s="158" t="s">
        <v>26</v>
      </c>
      <c r="L41" s="167">
        <v>2305543</v>
      </c>
      <c r="M41" s="167">
        <v>461109</v>
      </c>
      <c r="N41" s="167">
        <f>+Social[[#This Row],[RS financing 2022 (EUR)]]+Social[[#This Row],[RS financing 2023 (EUR)]]</f>
        <v>113772</v>
      </c>
      <c r="O41" s="167">
        <v>113772</v>
      </c>
      <c r="P41" s="167">
        <v>0</v>
      </c>
      <c r="Q41" s="161" t="s">
        <v>27</v>
      </c>
      <c r="S41"/>
    </row>
    <row r="42" spans="1:19" s="20" customFormat="1" ht="80.099999999999994" customHeight="1" x14ac:dyDescent="0.25">
      <c r="A42" s="160">
        <v>41</v>
      </c>
      <c r="B42" s="157" t="s">
        <v>191</v>
      </c>
      <c r="C42" s="163" t="s">
        <v>192</v>
      </c>
      <c r="D42" s="163" t="s">
        <v>193</v>
      </c>
      <c r="E42" s="158" t="s">
        <v>20</v>
      </c>
      <c r="F42" s="158" t="s">
        <v>21</v>
      </c>
      <c r="G42" s="158" t="s">
        <v>22</v>
      </c>
      <c r="H42" s="158" t="s">
        <v>23</v>
      </c>
      <c r="I42" s="158" t="s">
        <v>194</v>
      </c>
      <c r="J42" s="158" t="s">
        <v>25</v>
      </c>
      <c r="K42" s="158" t="s">
        <v>26</v>
      </c>
      <c r="L42" s="167">
        <v>461825</v>
      </c>
      <c r="M42" s="167">
        <v>461825</v>
      </c>
      <c r="N42" s="167">
        <f>+Social[[#This Row],[RS financing 2022 (EUR)]]+Social[[#This Row],[RS financing 2023 (EUR)]]</f>
        <v>177014</v>
      </c>
      <c r="O42" s="167">
        <v>58818</v>
      </c>
      <c r="P42" s="167">
        <v>118196</v>
      </c>
      <c r="Q42" s="161" t="s">
        <v>27</v>
      </c>
      <c r="S42"/>
    </row>
    <row r="43" spans="1:19" s="20" customFormat="1" ht="88.5" customHeight="1" x14ac:dyDescent="0.25">
      <c r="A43" s="160">
        <v>42</v>
      </c>
      <c r="B43" s="157" t="s">
        <v>195</v>
      </c>
      <c r="C43" s="163" t="s">
        <v>196</v>
      </c>
      <c r="D43" s="163" t="s">
        <v>197</v>
      </c>
      <c r="E43" s="158" t="s">
        <v>20</v>
      </c>
      <c r="F43" s="158" t="s">
        <v>35</v>
      </c>
      <c r="G43" s="158" t="s">
        <v>54</v>
      </c>
      <c r="H43" s="158" t="s">
        <v>55</v>
      </c>
      <c r="I43" s="158" t="s">
        <v>198</v>
      </c>
      <c r="J43" s="158" t="s">
        <v>25</v>
      </c>
      <c r="K43" s="158" t="s">
        <v>26</v>
      </c>
      <c r="L43" s="167">
        <v>19526772</v>
      </c>
      <c r="M43" s="167">
        <v>13278155</v>
      </c>
      <c r="N43" s="167">
        <f>+Social[[#This Row],[RS financing 2022 (EUR)]]+Social[[#This Row],[RS financing 2023 (EUR)]]</f>
        <v>1713631</v>
      </c>
      <c r="O43" s="167">
        <v>872837</v>
      </c>
      <c r="P43" s="167">
        <v>840794</v>
      </c>
      <c r="Q43" s="161" t="s">
        <v>27</v>
      </c>
      <c r="S43"/>
    </row>
    <row r="44" spans="1:19" s="20" customFormat="1" ht="89.25" customHeight="1" x14ac:dyDescent="0.25">
      <c r="A44" s="160">
        <v>43</v>
      </c>
      <c r="B44" s="157" t="s">
        <v>199</v>
      </c>
      <c r="C44" s="163" t="s">
        <v>200</v>
      </c>
      <c r="D44" s="163" t="s">
        <v>201</v>
      </c>
      <c r="E44" s="158" t="s">
        <v>20</v>
      </c>
      <c r="F44" s="158" t="s">
        <v>35</v>
      </c>
      <c r="G44" s="158" t="s">
        <v>54</v>
      </c>
      <c r="H44" s="158" t="s">
        <v>55</v>
      </c>
      <c r="I44" s="158" t="s">
        <v>202</v>
      </c>
      <c r="J44" s="158" t="s">
        <v>184</v>
      </c>
      <c r="K44" s="158" t="s">
        <v>26</v>
      </c>
      <c r="L44" s="167">
        <v>2171099</v>
      </c>
      <c r="M44" s="167">
        <v>434796</v>
      </c>
      <c r="N44" s="167">
        <f>+Social[[#This Row],[RS financing 2022 (EUR)]]+Social[[#This Row],[RS financing 2023 (EUR)]]</f>
        <v>203846</v>
      </c>
      <c r="O44" s="167">
        <v>203846</v>
      </c>
      <c r="P44" s="167">
        <v>0</v>
      </c>
      <c r="Q44" s="161" t="s">
        <v>27</v>
      </c>
      <c r="S44"/>
    </row>
    <row r="45" spans="1:19" s="20" customFormat="1" ht="100.8" x14ac:dyDescent="0.25">
      <c r="A45" s="160">
        <v>44</v>
      </c>
      <c r="B45" s="157" t="s">
        <v>203</v>
      </c>
      <c r="C45" s="163" t="s">
        <v>204</v>
      </c>
      <c r="D45" s="163" t="s">
        <v>201</v>
      </c>
      <c r="E45" s="158" t="s">
        <v>20</v>
      </c>
      <c r="F45" s="158" t="s">
        <v>35</v>
      </c>
      <c r="G45" s="158" t="s">
        <v>54</v>
      </c>
      <c r="H45" s="158" t="s">
        <v>55</v>
      </c>
      <c r="I45" s="158" t="s">
        <v>205</v>
      </c>
      <c r="J45" s="158" t="s">
        <v>184</v>
      </c>
      <c r="K45" s="158" t="s">
        <v>26</v>
      </c>
      <c r="L45" s="167">
        <v>2486208</v>
      </c>
      <c r="M45" s="167">
        <v>498508</v>
      </c>
      <c r="N45" s="167">
        <f>+Social[[#This Row],[RS financing 2022 (EUR)]]+Social[[#This Row],[RS financing 2023 (EUR)]]</f>
        <v>209847</v>
      </c>
      <c r="O45" s="167">
        <v>209847</v>
      </c>
      <c r="P45" s="167">
        <v>0</v>
      </c>
      <c r="Q45" s="161" t="s">
        <v>27</v>
      </c>
      <c r="S45"/>
    </row>
    <row r="46" spans="1:19" s="20" customFormat="1" ht="135.75" customHeight="1" x14ac:dyDescent="0.25">
      <c r="A46" s="160">
        <v>45</v>
      </c>
      <c r="B46" s="157" t="s">
        <v>206</v>
      </c>
      <c r="C46" s="163" t="s">
        <v>207</v>
      </c>
      <c r="D46" s="163" t="s">
        <v>208</v>
      </c>
      <c r="E46" s="158" t="s">
        <v>20</v>
      </c>
      <c r="F46" s="158" t="s">
        <v>35</v>
      </c>
      <c r="G46" s="158" t="s">
        <v>54</v>
      </c>
      <c r="H46" s="158" t="s">
        <v>55</v>
      </c>
      <c r="I46" s="158" t="s">
        <v>68</v>
      </c>
      <c r="J46" s="158" t="s">
        <v>31</v>
      </c>
      <c r="K46" s="158" t="s">
        <v>26</v>
      </c>
      <c r="L46" s="167">
        <v>636601</v>
      </c>
      <c r="M46" s="167">
        <v>618891</v>
      </c>
      <c r="N46" s="167">
        <f>+Social[[#This Row],[RS financing 2022 (EUR)]]+Social[[#This Row],[RS financing 2023 (EUR)]]</f>
        <v>591441</v>
      </c>
      <c r="O46" s="167">
        <v>529151</v>
      </c>
      <c r="P46" s="167">
        <v>62290</v>
      </c>
      <c r="Q46" s="161" t="s">
        <v>27</v>
      </c>
      <c r="S46"/>
    </row>
    <row r="47" spans="1:19" s="20" customFormat="1" ht="128.25" customHeight="1" x14ac:dyDescent="0.25">
      <c r="A47" s="160">
        <v>46</v>
      </c>
      <c r="B47" s="157" t="s">
        <v>209</v>
      </c>
      <c r="C47" s="163" t="s">
        <v>210</v>
      </c>
      <c r="D47" s="163" t="s">
        <v>211</v>
      </c>
      <c r="E47" s="158" t="s">
        <v>20</v>
      </c>
      <c r="F47" s="158" t="s">
        <v>35</v>
      </c>
      <c r="G47" s="158" t="s">
        <v>54</v>
      </c>
      <c r="H47" s="158" t="s">
        <v>49</v>
      </c>
      <c r="I47" s="158" t="s">
        <v>175</v>
      </c>
      <c r="J47" s="158" t="s">
        <v>31</v>
      </c>
      <c r="K47" s="158" t="s">
        <v>26</v>
      </c>
      <c r="L47" s="167">
        <v>265243622</v>
      </c>
      <c r="M47" s="167">
        <v>265243622</v>
      </c>
      <c r="N47" s="167">
        <f>+Social[[#This Row],[RS financing 2022 (EUR)]]+Social[[#This Row],[RS financing 2023 (EUR)]]</f>
        <v>49673</v>
      </c>
      <c r="O47" s="167">
        <v>49673</v>
      </c>
      <c r="P47" s="167">
        <v>0</v>
      </c>
      <c r="Q47" s="161" t="s">
        <v>27</v>
      </c>
      <c r="S47"/>
    </row>
    <row r="48" spans="1:19" s="20" customFormat="1" ht="111" customHeight="1" x14ac:dyDescent="0.25">
      <c r="A48" s="160">
        <v>47</v>
      </c>
      <c r="B48" s="157" t="s">
        <v>212</v>
      </c>
      <c r="C48" s="163" t="s">
        <v>213</v>
      </c>
      <c r="D48" s="163" t="s">
        <v>214</v>
      </c>
      <c r="E48" s="158" t="s">
        <v>20</v>
      </c>
      <c r="F48" s="158" t="s">
        <v>35</v>
      </c>
      <c r="G48" s="158" t="s">
        <v>22</v>
      </c>
      <c r="H48" s="158" t="s">
        <v>23</v>
      </c>
      <c r="I48" s="158" t="s">
        <v>36</v>
      </c>
      <c r="J48" s="158" t="s">
        <v>25</v>
      </c>
      <c r="K48" s="158" t="s">
        <v>26</v>
      </c>
      <c r="L48" s="167">
        <v>1220755</v>
      </c>
      <c r="M48" s="167">
        <v>618264</v>
      </c>
      <c r="N48" s="167">
        <f>+Social[[#This Row],[RS financing 2022 (EUR)]]+Social[[#This Row],[RS financing 2023 (EUR)]]</f>
        <v>587041</v>
      </c>
      <c r="O48" s="167">
        <v>587041</v>
      </c>
      <c r="P48" s="167">
        <v>0</v>
      </c>
      <c r="Q48" s="161" t="s">
        <v>27</v>
      </c>
      <c r="S48"/>
    </row>
    <row r="49" spans="1:19" s="20" customFormat="1" ht="115.2" customHeight="1" x14ac:dyDescent="0.25">
      <c r="A49" s="160">
        <v>48</v>
      </c>
      <c r="B49" s="157" t="s">
        <v>215</v>
      </c>
      <c r="C49" s="163" t="s">
        <v>216</v>
      </c>
      <c r="D49" s="163" t="s">
        <v>217</v>
      </c>
      <c r="E49" s="158" t="s">
        <v>20</v>
      </c>
      <c r="F49" s="158" t="s">
        <v>35</v>
      </c>
      <c r="G49" s="158" t="s">
        <v>22</v>
      </c>
      <c r="H49" s="158" t="s">
        <v>23</v>
      </c>
      <c r="I49" s="158" t="s">
        <v>218</v>
      </c>
      <c r="J49" s="158" t="s">
        <v>31</v>
      </c>
      <c r="K49" s="158" t="s">
        <v>26</v>
      </c>
      <c r="L49" s="167">
        <v>21125</v>
      </c>
      <c r="M49" s="167">
        <v>21125</v>
      </c>
      <c r="N49" s="167">
        <f>+Social[[#This Row],[RS financing 2022 (EUR)]]+Social[[#This Row],[RS financing 2023 (EUR)]]</f>
        <v>21125</v>
      </c>
      <c r="O49" s="167">
        <v>21125</v>
      </c>
      <c r="P49" s="167">
        <v>0</v>
      </c>
      <c r="Q49" s="161" t="s">
        <v>27</v>
      </c>
      <c r="S49"/>
    </row>
    <row r="50" spans="1:19" s="20" customFormat="1" ht="80.099999999999994" customHeight="1" x14ac:dyDescent="0.25">
      <c r="A50" s="160">
        <v>49</v>
      </c>
      <c r="B50" s="157" t="s">
        <v>219</v>
      </c>
      <c r="C50" s="163" t="s">
        <v>220</v>
      </c>
      <c r="D50" s="163" t="s">
        <v>221</v>
      </c>
      <c r="E50" s="158" t="s">
        <v>20</v>
      </c>
      <c r="F50" s="158" t="s">
        <v>21</v>
      </c>
      <c r="G50" s="158" t="s">
        <v>22</v>
      </c>
      <c r="H50" s="158" t="s">
        <v>23</v>
      </c>
      <c r="I50" s="158" t="s">
        <v>222</v>
      </c>
      <c r="J50" s="158" t="s">
        <v>31</v>
      </c>
      <c r="K50" s="158" t="s">
        <v>26</v>
      </c>
      <c r="L50" s="167">
        <v>17311691</v>
      </c>
      <c r="M50" s="167">
        <v>2004807</v>
      </c>
      <c r="N50" s="167">
        <f>+Social[[#This Row],[RS financing 2022 (EUR)]]+Social[[#This Row],[RS financing 2023 (EUR)]]</f>
        <v>4807</v>
      </c>
      <c r="O50" s="167">
        <v>4807</v>
      </c>
      <c r="P50" s="167">
        <v>0</v>
      </c>
      <c r="Q50" s="161" t="s">
        <v>27</v>
      </c>
      <c r="S50"/>
    </row>
    <row r="51" spans="1:19" s="20" customFormat="1" ht="189" customHeight="1" x14ac:dyDescent="0.25">
      <c r="A51" s="160">
        <v>50</v>
      </c>
      <c r="B51" s="157" t="s">
        <v>223</v>
      </c>
      <c r="C51" s="163" t="s">
        <v>224</v>
      </c>
      <c r="D51" s="163" t="s">
        <v>225</v>
      </c>
      <c r="E51" s="158" t="s">
        <v>20</v>
      </c>
      <c r="F51" s="158" t="s">
        <v>21</v>
      </c>
      <c r="G51" s="158" t="s">
        <v>22</v>
      </c>
      <c r="H51" s="158" t="s">
        <v>23</v>
      </c>
      <c r="I51" s="158" t="s">
        <v>36</v>
      </c>
      <c r="J51" s="158" t="s">
        <v>31</v>
      </c>
      <c r="K51" s="158" t="s">
        <v>26</v>
      </c>
      <c r="L51" s="167">
        <v>5010648</v>
      </c>
      <c r="M51" s="167">
        <v>3239734</v>
      </c>
      <c r="N51" s="167">
        <f>+Social[[#This Row],[RS financing 2022 (EUR)]]+Social[[#This Row],[RS financing 2023 (EUR)]]</f>
        <v>3239734</v>
      </c>
      <c r="O51" s="167">
        <v>3128344</v>
      </c>
      <c r="P51" s="167">
        <v>111390</v>
      </c>
      <c r="Q51" s="161" t="s">
        <v>27</v>
      </c>
      <c r="S51"/>
    </row>
    <row r="52" spans="1:19" s="20" customFormat="1" ht="111.75" customHeight="1" x14ac:dyDescent="0.25">
      <c r="A52" s="160">
        <v>51</v>
      </c>
      <c r="B52" s="157" t="s">
        <v>226</v>
      </c>
      <c r="C52" s="163" t="s">
        <v>227</v>
      </c>
      <c r="D52" s="163" t="s">
        <v>228</v>
      </c>
      <c r="E52" s="158" t="s">
        <v>20</v>
      </c>
      <c r="F52" s="158" t="s">
        <v>21</v>
      </c>
      <c r="G52" s="158" t="s">
        <v>22</v>
      </c>
      <c r="H52" s="158" t="s">
        <v>49</v>
      </c>
      <c r="I52" s="158" t="s">
        <v>222</v>
      </c>
      <c r="J52" s="158" t="s">
        <v>31</v>
      </c>
      <c r="K52" s="158" t="s">
        <v>26</v>
      </c>
      <c r="L52" s="167">
        <v>2037613</v>
      </c>
      <c r="M52" s="167">
        <v>37613</v>
      </c>
      <c r="N52" s="167">
        <f>+Social[[#This Row],[RS financing 2022 (EUR)]]+Social[[#This Row],[RS financing 2023 (EUR)]]</f>
        <v>37613</v>
      </c>
      <c r="O52" s="167">
        <v>37613</v>
      </c>
      <c r="P52" s="167">
        <v>0</v>
      </c>
      <c r="Q52" s="161" t="s">
        <v>27</v>
      </c>
      <c r="S52"/>
    </row>
    <row r="53" spans="1:19" s="20" customFormat="1" ht="114.75" customHeight="1" x14ac:dyDescent="0.25">
      <c r="A53" s="160">
        <v>52</v>
      </c>
      <c r="B53" s="157" t="s">
        <v>229</v>
      </c>
      <c r="C53" s="163" t="s">
        <v>230</v>
      </c>
      <c r="D53" s="163" t="s">
        <v>231</v>
      </c>
      <c r="E53" s="158" t="s">
        <v>20</v>
      </c>
      <c r="F53" s="158" t="s">
        <v>21</v>
      </c>
      <c r="G53" s="158" t="s">
        <v>22</v>
      </c>
      <c r="H53" s="158" t="s">
        <v>23</v>
      </c>
      <c r="I53" s="158" t="s">
        <v>171</v>
      </c>
      <c r="J53" s="158" t="s">
        <v>31</v>
      </c>
      <c r="K53" s="158" t="s">
        <v>45</v>
      </c>
      <c r="L53" s="167">
        <v>11149637</v>
      </c>
      <c r="M53" s="167">
        <v>3217539</v>
      </c>
      <c r="N53" s="167">
        <f>+Social[[#This Row],[RS financing 2022 (EUR)]]+Social[[#This Row],[RS financing 2023 (EUR)]]</f>
        <v>1192538</v>
      </c>
      <c r="O53" s="167">
        <v>2342</v>
      </c>
      <c r="P53" s="167">
        <v>1190196</v>
      </c>
      <c r="Q53" s="161" t="s">
        <v>27</v>
      </c>
      <c r="S53"/>
    </row>
    <row r="54" spans="1:19" s="20" customFormat="1" ht="119.25" customHeight="1" x14ac:dyDescent="0.25">
      <c r="A54" s="160">
        <v>53</v>
      </c>
      <c r="B54" s="157" t="s">
        <v>232</v>
      </c>
      <c r="C54" s="163" t="s">
        <v>233</v>
      </c>
      <c r="D54" s="163" t="s">
        <v>234</v>
      </c>
      <c r="E54" s="158" t="s">
        <v>20</v>
      </c>
      <c r="F54" s="158" t="s">
        <v>21</v>
      </c>
      <c r="G54" s="158" t="s">
        <v>22</v>
      </c>
      <c r="H54" s="158" t="s">
        <v>23</v>
      </c>
      <c r="I54" s="158" t="s">
        <v>235</v>
      </c>
      <c r="J54" s="158" t="s">
        <v>31</v>
      </c>
      <c r="K54" s="158" t="s">
        <v>26</v>
      </c>
      <c r="L54" s="167">
        <v>12480078</v>
      </c>
      <c r="M54" s="167">
        <v>743360</v>
      </c>
      <c r="N54" s="167">
        <f>+Social[[#This Row],[RS financing 2022 (EUR)]]+Social[[#This Row],[RS financing 2023 (EUR)]]</f>
        <v>743360</v>
      </c>
      <c r="O54" s="167">
        <v>0</v>
      </c>
      <c r="P54" s="167">
        <v>743360</v>
      </c>
      <c r="Q54" s="161" t="s">
        <v>27</v>
      </c>
      <c r="S54"/>
    </row>
    <row r="55" spans="1:19" s="20" customFormat="1" ht="104.25" customHeight="1" x14ac:dyDescent="0.25">
      <c r="A55" s="160">
        <v>54</v>
      </c>
      <c r="B55" s="157" t="s">
        <v>236</v>
      </c>
      <c r="C55" s="163" t="s">
        <v>237</v>
      </c>
      <c r="D55" s="163" t="s">
        <v>238</v>
      </c>
      <c r="E55" s="158" t="s">
        <v>20</v>
      </c>
      <c r="F55" s="158" t="s">
        <v>21</v>
      </c>
      <c r="G55" s="158" t="s">
        <v>22</v>
      </c>
      <c r="H55" s="158" t="s">
        <v>23</v>
      </c>
      <c r="I55" s="158" t="s">
        <v>239</v>
      </c>
      <c r="J55" s="158" t="s">
        <v>31</v>
      </c>
      <c r="K55" s="158" t="s">
        <v>45</v>
      </c>
      <c r="L55" s="167">
        <v>1184914</v>
      </c>
      <c r="M55" s="167">
        <v>177791</v>
      </c>
      <c r="N55" s="167">
        <f>+Social[[#This Row],[RS financing 2022 (EUR)]]+Social[[#This Row],[RS financing 2023 (EUR)]]</f>
        <v>177791</v>
      </c>
      <c r="O55" s="167">
        <v>177791</v>
      </c>
      <c r="P55" s="167">
        <v>0</v>
      </c>
      <c r="Q55" s="161" t="s">
        <v>27</v>
      </c>
      <c r="S55"/>
    </row>
    <row r="56" spans="1:19" s="20" customFormat="1" ht="100.5" customHeight="1" x14ac:dyDescent="0.25">
      <c r="A56" s="160">
        <v>55</v>
      </c>
      <c r="B56" s="157" t="s">
        <v>240</v>
      </c>
      <c r="C56" s="163" t="s">
        <v>241</v>
      </c>
      <c r="D56" s="163" t="s">
        <v>242</v>
      </c>
      <c r="E56" s="158" t="s">
        <v>20</v>
      </c>
      <c r="F56" s="158" t="s">
        <v>35</v>
      </c>
      <c r="G56" s="158" t="s">
        <v>22</v>
      </c>
      <c r="H56" s="158" t="s">
        <v>23</v>
      </c>
      <c r="I56" s="158" t="s">
        <v>243</v>
      </c>
      <c r="J56" s="158" t="s">
        <v>31</v>
      </c>
      <c r="K56" s="158" t="s">
        <v>45</v>
      </c>
      <c r="L56" s="167">
        <v>2513600</v>
      </c>
      <c r="M56" s="167">
        <v>104034</v>
      </c>
      <c r="N56" s="167">
        <f>+Social[[#This Row],[RS financing 2022 (EUR)]]+Social[[#This Row],[RS financing 2023 (EUR)]]</f>
        <v>2834</v>
      </c>
      <c r="O56" s="167">
        <v>0</v>
      </c>
      <c r="P56" s="167">
        <v>2834</v>
      </c>
      <c r="Q56" s="161" t="s">
        <v>27</v>
      </c>
      <c r="S56"/>
    </row>
    <row r="57" spans="1:19" s="20" customFormat="1" ht="135.75" customHeight="1" x14ac:dyDescent="0.25">
      <c r="A57" s="160">
        <v>56</v>
      </c>
      <c r="B57" s="157" t="s">
        <v>244</v>
      </c>
      <c r="C57" s="163" t="s">
        <v>245</v>
      </c>
      <c r="D57" s="163" t="s">
        <v>246</v>
      </c>
      <c r="E57" s="158" t="s">
        <v>20</v>
      </c>
      <c r="F57" s="158" t="s">
        <v>21</v>
      </c>
      <c r="G57" s="158" t="s">
        <v>22</v>
      </c>
      <c r="H57" s="158" t="s">
        <v>23</v>
      </c>
      <c r="I57" s="158" t="s">
        <v>218</v>
      </c>
      <c r="J57" s="158" t="s">
        <v>31</v>
      </c>
      <c r="K57" s="158" t="s">
        <v>45</v>
      </c>
      <c r="L57" s="167">
        <v>42402150</v>
      </c>
      <c r="M57" s="167">
        <v>906996</v>
      </c>
      <c r="N57" s="167">
        <f>+Social[[#This Row],[RS financing 2022 (EUR)]]+Social[[#This Row],[RS financing 2023 (EUR)]]</f>
        <v>66996</v>
      </c>
      <c r="O57" s="167">
        <v>0</v>
      </c>
      <c r="P57" s="167">
        <v>66996</v>
      </c>
      <c r="Q57" s="161" t="s">
        <v>27</v>
      </c>
      <c r="S57"/>
    </row>
    <row r="58" spans="1:19" s="20" customFormat="1" ht="135" customHeight="1" x14ac:dyDescent="0.25">
      <c r="A58" s="160">
        <v>57</v>
      </c>
      <c r="B58" s="157" t="s">
        <v>247</v>
      </c>
      <c r="C58" s="163" t="s">
        <v>248</v>
      </c>
      <c r="D58" s="163" t="s">
        <v>249</v>
      </c>
      <c r="E58" s="158" t="s">
        <v>20</v>
      </c>
      <c r="F58" s="158" t="s">
        <v>21</v>
      </c>
      <c r="G58" s="158" t="s">
        <v>22</v>
      </c>
      <c r="H58" s="158" t="s">
        <v>49</v>
      </c>
      <c r="I58" s="158" t="s">
        <v>222</v>
      </c>
      <c r="J58" s="158" t="s">
        <v>31</v>
      </c>
      <c r="K58" s="158" t="s">
        <v>45</v>
      </c>
      <c r="L58" s="167">
        <v>65635716</v>
      </c>
      <c r="M58" s="167">
        <v>23496073</v>
      </c>
      <c r="N58" s="167">
        <f>+Social[[#This Row],[RS financing 2022 (EUR)]]+Social[[#This Row],[RS financing 2023 (EUR)]]</f>
        <v>1356057</v>
      </c>
      <c r="O58" s="167">
        <v>16278</v>
      </c>
      <c r="P58" s="167">
        <v>1339779</v>
      </c>
      <c r="Q58" s="161" t="s">
        <v>27</v>
      </c>
      <c r="S58"/>
    </row>
    <row r="59" spans="1:19" s="20" customFormat="1" ht="154.5" customHeight="1" x14ac:dyDescent="0.25">
      <c r="A59" s="160">
        <v>58</v>
      </c>
      <c r="B59" s="157" t="s">
        <v>250</v>
      </c>
      <c r="C59" s="163" t="s">
        <v>251</v>
      </c>
      <c r="D59" s="163" t="s">
        <v>252</v>
      </c>
      <c r="E59" s="158" t="s">
        <v>20</v>
      </c>
      <c r="F59" s="158" t="s">
        <v>21</v>
      </c>
      <c r="G59" s="158" t="s">
        <v>22</v>
      </c>
      <c r="H59" s="158" t="s">
        <v>23</v>
      </c>
      <c r="I59" s="158" t="s">
        <v>36</v>
      </c>
      <c r="J59" s="158" t="s">
        <v>31</v>
      </c>
      <c r="K59" s="158" t="s">
        <v>253</v>
      </c>
      <c r="L59" s="167">
        <v>58685720</v>
      </c>
      <c r="M59" s="167">
        <v>18863416</v>
      </c>
      <c r="N59" s="167">
        <f>+Social[[#This Row],[RS financing 2022 (EUR)]]+Social[[#This Row],[RS financing 2023 (EUR)]]</f>
        <v>932841</v>
      </c>
      <c r="O59" s="167">
        <v>0</v>
      </c>
      <c r="P59" s="167">
        <v>932841</v>
      </c>
      <c r="Q59" s="161" t="s">
        <v>27</v>
      </c>
      <c r="S59"/>
    </row>
    <row r="60" spans="1:19" s="20" customFormat="1" ht="171" customHeight="1" x14ac:dyDescent="0.25">
      <c r="A60" s="160">
        <v>59</v>
      </c>
      <c r="B60" s="157" t="s">
        <v>254</v>
      </c>
      <c r="C60" s="163" t="s">
        <v>255</v>
      </c>
      <c r="D60" s="163" t="s">
        <v>256</v>
      </c>
      <c r="E60" s="158" t="s">
        <v>20</v>
      </c>
      <c r="F60" s="158" t="s">
        <v>21</v>
      </c>
      <c r="G60" s="158" t="s">
        <v>22</v>
      </c>
      <c r="H60" s="158" t="s">
        <v>23</v>
      </c>
      <c r="I60" s="158" t="s">
        <v>36</v>
      </c>
      <c r="J60" s="158" t="s">
        <v>31</v>
      </c>
      <c r="K60" s="158" t="s">
        <v>45</v>
      </c>
      <c r="L60" s="167">
        <v>150847134</v>
      </c>
      <c r="M60" s="167">
        <v>30922840</v>
      </c>
      <c r="N60" s="167">
        <f>+Social[[#This Row],[RS financing 2022 (EUR)]]+Social[[#This Row],[RS financing 2023 (EUR)]]</f>
        <v>3193774</v>
      </c>
      <c r="O60" s="167">
        <v>0</v>
      </c>
      <c r="P60" s="167">
        <v>3193774</v>
      </c>
      <c r="Q60" s="161" t="s">
        <v>27</v>
      </c>
      <c r="S60"/>
    </row>
    <row r="61" spans="1:19" s="20" customFormat="1" ht="179.25" customHeight="1" x14ac:dyDescent="0.25">
      <c r="A61" s="160">
        <v>60</v>
      </c>
      <c r="B61" s="157" t="s">
        <v>257</v>
      </c>
      <c r="C61" s="163" t="s">
        <v>258</v>
      </c>
      <c r="D61" s="163" t="s">
        <v>259</v>
      </c>
      <c r="E61" s="158" t="s">
        <v>20</v>
      </c>
      <c r="F61" s="158" t="s">
        <v>35</v>
      </c>
      <c r="G61" s="158" t="s">
        <v>22</v>
      </c>
      <c r="H61" s="158" t="s">
        <v>23</v>
      </c>
      <c r="I61" s="158" t="s">
        <v>222</v>
      </c>
      <c r="J61" s="158" t="s">
        <v>31</v>
      </c>
      <c r="K61" s="158" t="s">
        <v>45</v>
      </c>
      <c r="L61" s="167">
        <v>54673001</v>
      </c>
      <c r="M61" s="167">
        <v>11918025</v>
      </c>
      <c r="N61" s="167">
        <f>+Social[[#This Row],[RS financing 2022 (EUR)]]+Social[[#This Row],[RS financing 2023 (EUR)]]</f>
        <v>730977</v>
      </c>
      <c r="O61" s="167">
        <v>0</v>
      </c>
      <c r="P61" s="167">
        <v>730977</v>
      </c>
      <c r="Q61" s="161" t="s">
        <v>27</v>
      </c>
      <c r="S61"/>
    </row>
    <row r="62" spans="1:19" s="20" customFormat="1" ht="78.75" customHeight="1" x14ac:dyDescent="0.25">
      <c r="A62" s="160">
        <v>61</v>
      </c>
      <c r="B62" s="157" t="s">
        <v>260</v>
      </c>
      <c r="C62" s="163" t="s">
        <v>261</v>
      </c>
      <c r="D62" s="163" t="s">
        <v>262</v>
      </c>
      <c r="E62" s="158" t="s">
        <v>20</v>
      </c>
      <c r="F62" s="158" t="s">
        <v>35</v>
      </c>
      <c r="G62" s="158" t="s">
        <v>22</v>
      </c>
      <c r="H62" s="158" t="s">
        <v>23</v>
      </c>
      <c r="I62" s="158" t="s">
        <v>263</v>
      </c>
      <c r="J62" s="158" t="s">
        <v>31</v>
      </c>
      <c r="K62" s="158" t="s">
        <v>26</v>
      </c>
      <c r="L62" s="167">
        <v>1424899</v>
      </c>
      <c r="M62" s="167">
        <v>638602</v>
      </c>
      <c r="N62" s="167">
        <f>+Social[[#This Row],[RS financing 2022 (EUR)]]+Social[[#This Row],[RS financing 2023 (EUR)]]</f>
        <v>638602</v>
      </c>
      <c r="O62" s="167">
        <v>348886</v>
      </c>
      <c r="P62" s="167">
        <v>289716</v>
      </c>
      <c r="Q62" s="161" t="s">
        <v>27</v>
      </c>
      <c r="S62"/>
    </row>
    <row r="63" spans="1:19" s="20" customFormat="1" ht="80.099999999999994" customHeight="1" x14ac:dyDescent="0.25">
      <c r="A63" s="160">
        <v>62</v>
      </c>
      <c r="B63" s="157" t="s">
        <v>264</v>
      </c>
      <c r="C63" s="163" t="s">
        <v>265</v>
      </c>
      <c r="D63" s="163" t="s">
        <v>266</v>
      </c>
      <c r="E63" s="158" t="s">
        <v>20</v>
      </c>
      <c r="F63" s="158" t="s">
        <v>21</v>
      </c>
      <c r="G63" s="158" t="s">
        <v>22</v>
      </c>
      <c r="H63" s="158" t="s">
        <v>23</v>
      </c>
      <c r="I63" s="158" t="s">
        <v>267</v>
      </c>
      <c r="J63" s="158" t="s">
        <v>31</v>
      </c>
      <c r="K63" s="158" t="s">
        <v>26</v>
      </c>
      <c r="L63" s="167">
        <v>3824590</v>
      </c>
      <c r="M63" s="167">
        <v>1870422</v>
      </c>
      <c r="N63" s="167">
        <f>+Social[[#This Row],[RS financing 2022 (EUR)]]+Social[[#This Row],[RS financing 2023 (EUR)]]</f>
        <v>1309296</v>
      </c>
      <c r="O63" s="167">
        <v>0</v>
      </c>
      <c r="P63" s="167">
        <v>1309296</v>
      </c>
      <c r="Q63" s="161" t="s">
        <v>27</v>
      </c>
      <c r="S63"/>
    </row>
    <row r="64" spans="1:19" s="20" customFormat="1" ht="80.099999999999994" customHeight="1" x14ac:dyDescent="0.25">
      <c r="A64" s="160">
        <v>63</v>
      </c>
      <c r="B64" s="157" t="s">
        <v>268</v>
      </c>
      <c r="C64" s="163" t="s">
        <v>269</v>
      </c>
      <c r="D64" s="163" t="s">
        <v>270</v>
      </c>
      <c r="E64" s="158" t="s">
        <v>20</v>
      </c>
      <c r="F64" s="158" t="s">
        <v>21</v>
      </c>
      <c r="G64" s="158" t="s">
        <v>22</v>
      </c>
      <c r="H64" s="158" t="s">
        <v>23</v>
      </c>
      <c r="I64" s="158" t="s">
        <v>271</v>
      </c>
      <c r="J64" s="158" t="s">
        <v>31</v>
      </c>
      <c r="K64" s="158" t="s">
        <v>26</v>
      </c>
      <c r="L64" s="167">
        <v>344032</v>
      </c>
      <c r="M64" s="167">
        <v>190710</v>
      </c>
      <c r="N64" s="167">
        <f>+Social[[#This Row],[RS financing 2022 (EUR)]]+Social[[#This Row],[RS financing 2023 (EUR)]]</f>
        <v>190710</v>
      </c>
      <c r="O64" s="167">
        <v>0</v>
      </c>
      <c r="P64" s="167">
        <v>190710</v>
      </c>
      <c r="Q64" s="161" t="s">
        <v>27</v>
      </c>
      <c r="S64"/>
    </row>
    <row r="65" spans="1:19" s="20" customFormat="1" ht="80.099999999999994" customHeight="1" x14ac:dyDescent="0.25">
      <c r="A65" s="160">
        <v>64</v>
      </c>
      <c r="B65" s="157" t="s">
        <v>272</v>
      </c>
      <c r="C65" s="163" t="s">
        <v>273</v>
      </c>
      <c r="D65" s="163" t="s">
        <v>274</v>
      </c>
      <c r="E65" s="158" t="s">
        <v>20</v>
      </c>
      <c r="F65" s="158" t="s">
        <v>21</v>
      </c>
      <c r="G65" s="158" t="s">
        <v>22</v>
      </c>
      <c r="H65" s="158" t="s">
        <v>23</v>
      </c>
      <c r="I65" s="158" t="s">
        <v>275</v>
      </c>
      <c r="J65" s="158" t="s">
        <v>31</v>
      </c>
      <c r="K65" s="158" t="s">
        <v>26</v>
      </c>
      <c r="L65" s="167">
        <v>3244226</v>
      </c>
      <c r="M65" s="167">
        <v>1070320</v>
      </c>
      <c r="N65" s="167">
        <f>+Social[[#This Row],[RS financing 2022 (EUR)]]+Social[[#This Row],[RS financing 2023 (EUR)]]</f>
        <v>1070320</v>
      </c>
      <c r="O65" s="167">
        <v>1070320</v>
      </c>
      <c r="P65" s="167">
        <v>0</v>
      </c>
      <c r="Q65" s="161" t="s">
        <v>27</v>
      </c>
      <c r="S65"/>
    </row>
    <row r="66" spans="1:19" s="20" customFormat="1" ht="80.099999999999994" customHeight="1" x14ac:dyDescent="0.25">
      <c r="A66" s="160">
        <v>65</v>
      </c>
      <c r="B66" s="157" t="s">
        <v>276</v>
      </c>
      <c r="C66" s="163" t="s">
        <v>277</v>
      </c>
      <c r="D66" s="163" t="s">
        <v>278</v>
      </c>
      <c r="E66" s="158" t="s">
        <v>20</v>
      </c>
      <c r="F66" s="158" t="s">
        <v>21</v>
      </c>
      <c r="G66" s="158" t="s">
        <v>22</v>
      </c>
      <c r="H66" s="158" t="s">
        <v>23</v>
      </c>
      <c r="I66" s="158" t="s">
        <v>279</v>
      </c>
      <c r="J66" s="158" t="s">
        <v>31</v>
      </c>
      <c r="K66" s="158" t="s">
        <v>26</v>
      </c>
      <c r="L66" s="167">
        <v>2252718</v>
      </c>
      <c r="M66" s="167">
        <v>541600</v>
      </c>
      <c r="N66" s="167">
        <f>+Social[[#This Row],[RS financing 2022 (EUR)]]+Social[[#This Row],[RS financing 2023 (EUR)]]</f>
        <v>541600</v>
      </c>
      <c r="O66" s="167">
        <v>0</v>
      </c>
      <c r="P66" s="167">
        <v>541600</v>
      </c>
      <c r="Q66" s="161" t="s">
        <v>27</v>
      </c>
      <c r="S66"/>
    </row>
    <row r="67" spans="1:19" s="20" customFormat="1" ht="80.099999999999994" customHeight="1" x14ac:dyDescent="0.25">
      <c r="A67" s="160">
        <v>66</v>
      </c>
      <c r="B67" s="157" t="s">
        <v>280</v>
      </c>
      <c r="C67" s="163" t="s">
        <v>281</v>
      </c>
      <c r="D67" s="163" t="s">
        <v>282</v>
      </c>
      <c r="E67" s="158" t="s">
        <v>20</v>
      </c>
      <c r="F67" s="158" t="s">
        <v>21</v>
      </c>
      <c r="G67" s="158" t="s">
        <v>22</v>
      </c>
      <c r="H67" s="158" t="s">
        <v>23</v>
      </c>
      <c r="I67" s="158" t="s">
        <v>279</v>
      </c>
      <c r="J67" s="158" t="s">
        <v>31</v>
      </c>
      <c r="K67" s="158" t="s">
        <v>26</v>
      </c>
      <c r="L67" s="167">
        <v>619439</v>
      </c>
      <c r="M67" s="167">
        <v>321440</v>
      </c>
      <c r="N67" s="167">
        <f>+Social[[#This Row],[RS financing 2022 (EUR)]]+Social[[#This Row],[RS financing 2023 (EUR)]]</f>
        <v>321440</v>
      </c>
      <c r="O67" s="167">
        <v>12328</v>
      </c>
      <c r="P67" s="167">
        <v>309112</v>
      </c>
      <c r="Q67" s="161" t="s">
        <v>27</v>
      </c>
      <c r="S67"/>
    </row>
    <row r="68" spans="1:19" s="20" customFormat="1" ht="80.099999999999994" customHeight="1" x14ac:dyDescent="0.25">
      <c r="A68" s="160">
        <v>67</v>
      </c>
      <c r="B68" s="157" t="s">
        <v>283</v>
      </c>
      <c r="C68" s="163" t="s">
        <v>284</v>
      </c>
      <c r="D68" s="163" t="s">
        <v>285</v>
      </c>
      <c r="E68" s="158" t="s">
        <v>20</v>
      </c>
      <c r="F68" s="158" t="s">
        <v>21</v>
      </c>
      <c r="G68" s="158" t="s">
        <v>22</v>
      </c>
      <c r="H68" s="158" t="s">
        <v>23</v>
      </c>
      <c r="I68" s="158" t="s">
        <v>286</v>
      </c>
      <c r="J68" s="158" t="s">
        <v>31</v>
      </c>
      <c r="K68" s="158" t="s">
        <v>26</v>
      </c>
      <c r="L68" s="167">
        <v>374575</v>
      </c>
      <c r="M68" s="167">
        <v>236592</v>
      </c>
      <c r="N68" s="167">
        <f>+Social[[#This Row],[RS financing 2022 (EUR)]]+Social[[#This Row],[RS financing 2023 (EUR)]]</f>
        <v>236592</v>
      </c>
      <c r="O68" s="167">
        <v>113855</v>
      </c>
      <c r="P68" s="167">
        <v>122737</v>
      </c>
      <c r="Q68" s="161" t="s">
        <v>27</v>
      </c>
      <c r="S68"/>
    </row>
    <row r="69" spans="1:19" s="20" customFormat="1" ht="80.099999999999994" customHeight="1" x14ac:dyDescent="0.25">
      <c r="A69" s="160">
        <v>68</v>
      </c>
      <c r="B69" s="157" t="s">
        <v>287</v>
      </c>
      <c r="C69" s="163" t="s">
        <v>288</v>
      </c>
      <c r="D69" s="163" t="s">
        <v>289</v>
      </c>
      <c r="E69" s="158" t="s">
        <v>20</v>
      </c>
      <c r="F69" s="158" t="s">
        <v>21</v>
      </c>
      <c r="G69" s="158" t="s">
        <v>22</v>
      </c>
      <c r="H69" s="158" t="s">
        <v>23</v>
      </c>
      <c r="I69" s="158" t="s">
        <v>271</v>
      </c>
      <c r="J69" s="158" t="s">
        <v>31</v>
      </c>
      <c r="K69" s="158" t="s">
        <v>26</v>
      </c>
      <c r="L69" s="167">
        <v>83246</v>
      </c>
      <c r="M69" s="167">
        <v>44541</v>
      </c>
      <c r="N69" s="167">
        <f>+Social[[#This Row],[RS financing 2022 (EUR)]]+Social[[#This Row],[RS financing 2023 (EUR)]]</f>
        <v>44541</v>
      </c>
      <c r="O69" s="167">
        <v>0</v>
      </c>
      <c r="P69" s="167">
        <v>44541</v>
      </c>
      <c r="Q69" s="161" t="s">
        <v>27</v>
      </c>
      <c r="S69"/>
    </row>
    <row r="70" spans="1:19" s="20" customFormat="1" ht="80.099999999999994" customHeight="1" x14ac:dyDescent="0.25">
      <c r="A70" s="160">
        <v>69</v>
      </c>
      <c r="B70" s="157" t="s">
        <v>290</v>
      </c>
      <c r="C70" s="163" t="s">
        <v>291</v>
      </c>
      <c r="D70" s="163" t="s">
        <v>292</v>
      </c>
      <c r="E70" s="158" t="s">
        <v>20</v>
      </c>
      <c r="F70" s="158" t="s">
        <v>21</v>
      </c>
      <c r="G70" s="158" t="s">
        <v>22</v>
      </c>
      <c r="H70" s="158" t="s">
        <v>23</v>
      </c>
      <c r="I70" s="158" t="s">
        <v>293</v>
      </c>
      <c r="J70" s="158" t="s">
        <v>31</v>
      </c>
      <c r="K70" s="158" t="s">
        <v>26</v>
      </c>
      <c r="L70" s="167">
        <v>96820</v>
      </c>
      <c r="M70" s="167">
        <v>96820</v>
      </c>
      <c r="N70" s="167">
        <f>+Social[[#This Row],[RS financing 2022 (EUR)]]+Social[[#This Row],[RS financing 2023 (EUR)]]</f>
        <v>96820</v>
      </c>
      <c r="O70" s="167">
        <v>96820</v>
      </c>
      <c r="P70" s="167">
        <v>0</v>
      </c>
      <c r="Q70" s="161" t="s">
        <v>27</v>
      </c>
      <c r="S70"/>
    </row>
    <row r="71" spans="1:19" s="20" customFormat="1" ht="80.099999999999994" customHeight="1" x14ac:dyDescent="0.25">
      <c r="A71" s="160">
        <v>70</v>
      </c>
      <c r="B71" s="157" t="s">
        <v>294</v>
      </c>
      <c r="C71" s="163" t="s">
        <v>295</v>
      </c>
      <c r="D71" s="163" t="s">
        <v>296</v>
      </c>
      <c r="E71" s="158" t="s">
        <v>20</v>
      </c>
      <c r="F71" s="158" t="s">
        <v>21</v>
      </c>
      <c r="G71" s="158" t="s">
        <v>22</v>
      </c>
      <c r="H71" s="158" t="s">
        <v>23</v>
      </c>
      <c r="I71" s="158" t="s">
        <v>297</v>
      </c>
      <c r="J71" s="158" t="s">
        <v>31</v>
      </c>
      <c r="K71" s="158" t="s">
        <v>26</v>
      </c>
      <c r="L71" s="167">
        <v>1036778</v>
      </c>
      <c r="M71" s="167">
        <v>400960</v>
      </c>
      <c r="N71" s="167">
        <f>+Social[[#This Row],[RS financing 2022 (EUR)]]+Social[[#This Row],[RS financing 2023 (EUR)]]</f>
        <v>400960</v>
      </c>
      <c r="O71" s="167">
        <v>150080</v>
      </c>
      <c r="P71" s="167">
        <v>250880</v>
      </c>
      <c r="Q71" s="161" t="s">
        <v>27</v>
      </c>
      <c r="S71"/>
    </row>
    <row r="72" spans="1:19" s="20" customFormat="1" ht="80.099999999999994" customHeight="1" x14ac:dyDescent="0.25">
      <c r="A72" s="160">
        <v>71</v>
      </c>
      <c r="B72" s="157" t="s">
        <v>298</v>
      </c>
      <c r="C72" s="163" t="s">
        <v>299</v>
      </c>
      <c r="D72" s="163" t="s">
        <v>300</v>
      </c>
      <c r="E72" s="158" t="s">
        <v>20</v>
      </c>
      <c r="F72" s="158" t="s">
        <v>21</v>
      </c>
      <c r="G72" s="158" t="s">
        <v>22</v>
      </c>
      <c r="H72" s="158" t="s">
        <v>23</v>
      </c>
      <c r="I72" s="158" t="s">
        <v>301</v>
      </c>
      <c r="J72" s="158" t="s">
        <v>31</v>
      </c>
      <c r="K72" s="158" t="s">
        <v>26</v>
      </c>
      <c r="L72" s="167">
        <v>867100</v>
      </c>
      <c r="M72" s="167">
        <v>239040</v>
      </c>
      <c r="N72" s="167">
        <f>+Social[[#This Row],[RS financing 2022 (EUR)]]+Social[[#This Row],[RS financing 2023 (EUR)]]</f>
        <v>239040</v>
      </c>
      <c r="O72" s="167">
        <v>0</v>
      </c>
      <c r="P72" s="167">
        <v>239040</v>
      </c>
      <c r="Q72" s="161" t="s">
        <v>27</v>
      </c>
      <c r="S72"/>
    </row>
    <row r="73" spans="1:19" s="20" customFormat="1" ht="77.400000000000006" customHeight="1" x14ac:dyDescent="0.25">
      <c r="A73" s="160">
        <v>72</v>
      </c>
      <c r="B73" s="157" t="s">
        <v>302</v>
      </c>
      <c r="C73" s="163" t="s">
        <v>303</v>
      </c>
      <c r="D73" s="163" t="s">
        <v>304</v>
      </c>
      <c r="E73" s="158" t="s">
        <v>20</v>
      </c>
      <c r="F73" s="158" t="s">
        <v>21</v>
      </c>
      <c r="G73" s="158" t="s">
        <v>22</v>
      </c>
      <c r="H73" s="158" t="s">
        <v>23</v>
      </c>
      <c r="I73" s="158" t="s">
        <v>305</v>
      </c>
      <c r="J73" s="158" t="s">
        <v>31</v>
      </c>
      <c r="K73" s="158" t="s">
        <v>26</v>
      </c>
      <c r="L73" s="167">
        <v>87888</v>
      </c>
      <c r="M73" s="167">
        <v>87888</v>
      </c>
      <c r="N73" s="167">
        <f>+Social[[#This Row],[RS financing 2022 (EUR)]]+Social[[#This Row],[RS financing 2023 (EUR)]]</f>
        <v>87888</v>
      </c>
      <c r="O73" s="167">
        <v>87888</v>
      </c>
      <c r="P73" s="167">
        <v>0</v>
      </c>
      <c r="Q73" s="161" t="s">
        <v>27</v>
      </c>
      <c r="S73"/>
    </row>
    <row r="74" spans="1:19" s="20" customFormat="1" ht="78" customHeight="1" x14ac:dyDescent="0.25">
      <c r="A74" s="160">
        <v>73</v>
      </c>
      <c r="B74" s="157" t="s">
        <v>306</v>
      </c>
      <c r="C74" s="163" t="s">
        <v>307</v>
      </c>
      <c r="D74" s="163" t="s">
        <v>308</v>
      </c>
      <c r="E74" s="158" t="s">
        <v>20</v>
      </c>
      <c r="F74" s="158" t="s">
        <v>21</v>
      </c>
      <c r="G74" s="158" t="s">
        <v>22</v>
      </c>
      <c r="H74" s="158" t="s">
        <v>23</v>
      </c>
      <c r="I74" s="158" t="s">
        <v>309</v>
      </c>
      <c r="J74" s="158" t="s">
        <v>31</v>
      </c>
      <c r="K74" s="158" t="s">
        <v>26</v>
      </c>
      <c r="L74" s="167">
        <v>1173909</v>
      </c>
      <c r="M74" s="167">
        <v>317760</v>
      </c>
      <c r="N74" s="167">
        <f>+Social[[#This Row],[RS financing 2022 (EUR)]]+Social[[#This Row],[RS financing 2023 (EUR)]]</f>
        <v>317760</v>
      </c>
      <c r="O74" s="167">
        <v>41806</v>
      </c>
      <c r="P74" s="167">
        <v>275954</v>
      </c>
      <c r="Q74" s="161" t="s">
        <v>27</v>
      </c>
      <c r="S74"/>
    </row>
    <row r="75" spans="1:19" s="20" customFormat="1" ht="52.2" customHeight="1" x14ac:dyDescent="0.25">
      <c r="A75" s="160">
        <v>74</v>
      </c>
      <c r="B75" s="157" t="s">
        <v>310</v>
      </c>
      <c r="C75" s="163" t="s">
        <v>311</v>
      </c>
      <c r="D75" s="163" t="s">
        <v>312</v>
      </c>
      <c r="E75" s="158" t="s">
        <v>20</v>
      </c>
      <c r="F75" s="158" t="s">
        <v>21</v>
      </c>
      <c r="G75" s="158" t="s">
        <v>22</v>
      </c>
      <c r="H75" s="158" t="s">
        <v>23</v>
      </c>
      <c r="I75" s="158" t="s">
        <v>313</v>
      </c>
      <c r="J75" s="158" t="s">
        <v>31</v>
      </c>
      <c r="K75" s="158" t="s">
        <v>26</v>
      </c>
      <c r="L75" s="167">
        <v>474357</v>
      </c>
      <c r="M75" s="167">
        <v>122177</v>
      </c>
      <c r="N75" s="167">
        <f>+Social[[#This Row],[RS financing 2022 (EUR)]]+Social[[#This Row],[RS financing 2023 (EUR)]]</f>
        <v>122177</v>
      </c>
      <c r="O75" s="167">
        <v>54705</v>
      </c>
      <c r="P75" s="167">
        <v>67472</v>
      </c>
      <c r="Q75" s="161" t="s">
        <v>27</v>
      </c>
      <c r="S75"/>
    </row>
    <row r="76" spans="1:19" s="20" customFormat="1" ht="80.099999999999994" customHeight="1" x14ac:dyDescent="0.25">
      <c r="A76" s="160">
        <v>75</v>
      </c>
      <c r="B76" s="157" t="s">
        <v>314</v>
      </c>
      <c r="C76" s="163" t="s">
        <v>315</v>
      </c>
      <c r="D76" s="163" t="s">
        <v>316</v>
      </c>
      <c r="E76" s="158" t="s">
        <v>20</v>
      </c>
      <c r="F76" s="158" t="s">
        <v>21</v>
      </c>
      <c r="G76" s="158" t="s">
        <v>22</v>
      </c>
      <c r="H76" s="158" t="s">
        <v>23</v>
      </c>
      <c r="I76" s="158" t="s">
        <v>317</v>
      </c>
      <c r="J76" s="158" t="s">
        <v>31</v>
      </c>
      <c r="K76" s="158" t="s">
        <v>26</v>
      </c>
      <c r="L76" s="167">
        <v>213144</v>
      </c>
      <c r="M76" s="167">
        <v>213144</v>
      </c>
      <c r="N76" s="167">
        <f>+Social[[#This Row],[RS financing 2022 (EUR)]]+Social[[#This Row],[RS financing 2023 (EUR)]]</f>
        <v>213144</v>
      </c>
      <c r="O76" s="167">
        <v>213144</v>
      </c>
      <c r="P76" s="167">
        <v>0</v>
      </c>
      <c r="Q76" s="161" t="s">
        <v>27</v>
      </c>
      <c r="S76"/>
    </row>
    <row r="77" spans="1:19" s="20" customFormat="1" ht="80.099999999999994" customHeight="1" x14ac:dyDescent="0.25">
      <c r="A77" s="160">
        <v>76</v>
      </c>
      <c r="B77" s="157" t="s">
        <v>318</v>
      </c>
      <c r="C77" s="163" t="s">
        <v>319</v>
      </c>
      <c r="D77" s="163" t="s">
        <v>320</v>
      </c>
      <c r="E77" s="158" t="s">
        <v>20</v>
      </c>
      <c r="F77" s="158" t="s">
        <v>21</v>
      </c>
      <c r="G77" s="158" t="s">
        <v>22</v>
      </c>
      <c r="H77" s="158" t="s">
        <v>23</v>
      </c>
      <c r="I77" s="158" t="s">
        <v>321</v>
      </c>
      <c r="J77" s="158" t="s">
        <v>31</v>
      </c>
      <c r="K77" s="158" t="s">
        <v>26</v>
      </c>
      <c r="L77" s="167">
        <v>1474941</v>
      </c>
      <c r="M77" s="167">
        <v>702382</v>
      </c>
      <c r="N77" s="167">
        <f>+Social[[#This Row],[RS financing 2022 (EUR)]]+Social[[#This Row],[RS financing 2023 (EUR)]]</f>
        <v>702382</v>
      </c>
      <c r="O77" s="167">
        <v>0</v>
      </c>
      <c r="P77" s="167">
        <v>702382</v>
      </c>
      <c r="Q77" s="161" t="s">
        <v>27</v>
      </c>
      <c r="S77"/>
    </row>
    <row r="78" spans="1:19" s="20" customFormat="1" ht="80.099999999999994" customHeight="1" x14ac:dyDescent="0.25">
      <c r="A78" s="160">
        <v>77</v>
      </c>
      <c r="B78" s="157" t="s">
        <v>322</v>
      </c>
      <c r="C78" s="163" t="s">
        <v>323</v>
      </c>
      <c r="D78" s="163" t="s">
        <v>324</v>
      </c>
      <c r="E78" s="158" t="s">
        <v>20</v>
      </c>
      <c r="F78" s="158" t="s">
        <v>21</v>
      </c>
      <c r="G78" s="158" t="s">
        <v>22</v>
      </c>
      <c r="H78" s="158" t="s">
        <v>23</v>
      </c>
      <c r="I78" s="158" t="s">
        <v>325</v>
      </c>
      <c r="J78" s="158" t="s">
        <v>31</v>
      </c>
      <c r="K78" s="158" t="s">
        <v>26</v>
      </c>
      <c r="L78" s="167">
        <v>275117</v>
      </c>
      <c r="M78" s="167">
        <v>349945</v>
      </c>
      <c r="N78" s="167">
        <f>+Social[[#This Row],[RS financing 2022 (EUR)]]+Social[[#This Row],[RS financing 2023 (EUR)]]</f>
        <v>349945</v>
      </c>
      <c r="O78" s="167">
        <v>79687</v>
      </c>
      <c r="P78" s="167">
        <v>270258</v>
      </c>
      <c r="Q78" s="161" t="s">
        <v>27</v>
      </c>
      <c r="S78"/>
    </row>
    <row r="79" spans="1:19" s="20" customFormat="1" ht="80.099999999999994" customHeight="1" x14ac:dyDescent="0.25">
      <c r="A79" s="160">
        <v>78</v>
      </c>
      <c r="B79" s="157" t="s">
        <v>326</v>
      </c>
      <c r="C79" s="163" t="s">
        <v>327</v>
      </c>
      <c r="D79" s="163" t="s">
        <v>328</v>
      </c>
      <c r="E79" s="158" t="s">
        <v>20</v>
      </c>
      <c r="F79" s="158" t="s">
        <v>21</v>
      </c>
      <c r="G79" s="158" t="s">
        <v>22</v>
      </c>
      <c r="H79" s="158" t="s">
        <v>23</v>
      </c>
      <c r="I79" s="158" t="s">
        <v>329</v>
      </c>
      <c r="J79" s="158" t="s">
        <v>31</v>
      </c>
      <c r="K79" s="158" t="s">
        <v>26</v>
      </c>
      <c r="L79" s="167">
        <v>6659602</v>
      </c>
      <c r="M79" s="167">
        <v>853389</v>
      </c>
      <c r="N79" s="167">
        <f>+Social[[#This Row],[RS financing 2022 (EUR)]]+Social[[#This Row],[RS financing 2023 (EUR)]]</f>
        <v>350000</v>
      </c>
      <c r="O79" s="167">
        <v>0</v>
      </c>
      <c r="P79" s="167">
        <v>350000</v>
      </c>
      <c r="Q79" s="161" t="s">
        <v>27</v>
      </c>
      <c r="S79"/>
    </row>
    <row r="80" spans="1:19" s="20" customFormat="1" ht="80.099999999999994" customHeight="1" x14ac:dyDescent="0.25">
      <c r="A80" s="160">
        <v>79</v>
      </c>
      <c r="B80" s="157" t="s">
        <v>330</v>
      </c>
      <c r="C80" s="163" t="s">
        <v>331</v>
      </c>
      <c r="D80" s="163" t="s">
        <v>332</v>
      </c>
      <c r="E80" s="158" t="s">
        <v>20</v>
      </c>
      <c r="F80" s="158" t="s">
        <v>21</v>
      </c>
      <c r="G80" s="158" t="s">
        <v>22</v>
      </c>
      <c r="H80" s="158" t="s">
        <v>23</v>
      </c>
      <c r="I80" s="158" t="s">
        <v>333</v>
      </c>
      <c r="J80" s="158" t="s">
        <v>31</v>
      </c>
      <c r="K80" s="158" t="s">
        <v>26</v>
      </c>
      <c r="L80" s="167">
        <v>569705</v>
      </c>
      <c r="M80" s="167">
        <v>330701</v>
      </c>
      <c r="N80" s="167">
        <f>+Social[[#This Row],[RS financing 2022 (EUR)]]+Social[[#This Row],[RS financing 2023 (EUR)]]</f>
        <v>147431</v>
      </c>
      <c r="O80" s="167">
        <v>0</v>
      </c>
      <c r="P80" s="167">
        <v>147431</v>
      </c>
      <c r="Q80" s="161" t="s">
        <v>27</v>
      </c>
      <c r="S80"/>
    </row>
    <row r="81" spans="1:19" s="20" customFormat="1" ht="80.099999999999994" customHeight="1" x14ac:dyDescent="0.25">
      <c r="A81" s="160">
        <v>80</v>
      </c>
      <c r="B81" s="157" t="s">
        <v>334</v>
      </c>
      <c r="C81" s="163" t="s">
        <v>335</v>
      </c>
      <c r="D81" s="163" t="s">
        <v>336</v>
      </c>
      <c r="E81" s="158" t="s">
        <v>20</v>
      </c>
      <c r="F81" s="158" t="s">
        <v>21</v>
      </c>
      <c r="G81" s="158" t="s">
        <v>22</v>
      </c>
      <c r="H81" s="158" t="s">
        <v>23</v>
      </c>
      <c r="I81" s="158" t="s">
        <v>337</v>
      </c>
      <c r="J81" s="158" t="s">
        <v>31</v>
      </c>
      <c r="K81" s="158" t="s">
        <v>26</v>
      </c>
      <c r="L81" s="167">
        <v>442532</v>
      </c>
      <c r="M81" s="167">
        <v>146716</v>
      </c>
      <c r="N81" s="167">
        <f>+Social[[#This Row],[RS financing 2022 (EUR)]]+Social[[#This Row],[RS financing 2023 (EUR)]]</f>
        <v>146716</v>
      </c>
      <c r="O81" s="167">
        <v>0</v>
      </c>
      <c r="P81" s="167">
        <v>146716</v>
      </c>
      <c r="Q81" s="161" t="s">
        <v>27</v>
      </c>
      <c r="S81"/>
    </row>
    <row r="82" spans="1:19" s="20" customFormat="1" ht="80.099999999999994" customHeight="1" x14ac:dyDescent="0.25">
      <c r="A82" s="160">
        <v>81</v>
      </c>
      <c r="B82" s="157" t="s">
        <v>338</v>
      </c>
      <c r="C82" s="163" t="s">
        <v>339</v>
      </c>
      <c r="D82" s="163" t="s">
        <v>340</v>
      </c>
      <c r="E82" s="158" t="s">
        <v>20</v>
      </c>
      <c r="F82" s="158" t="s">
        <v>21</v>
      </c>
      <c r="G82" s="158" t="s">
        <v>22</v>
      </c>
      <c r="H82" s="158" t="s">
        <v>23</v>
      </c>
      <c r="I82" s="158" t="s">
        <v>341</v>
      </c>
      <c r="J82" s="158" t="s">
        <v>31</v>
      </c>
      <c r="K82" s="158" t="s">
        <v>26</v>
      </c>
      <c r="L82" s="167">
        <v>9516742</v>
      </c>
      <c r="M82" s="167">
        <v>2928643</v>
      </c>
      <c r="N82" s="167">
        <f>+Social[[#This Row],[RS financing 2022 (EUR)]]+Social[[#This Row],[RS financing 2023 (EUR)]]</f>
        <v>2698650</v>
      </c>
      <c r="O82" s="167">
        <v>0</v>
      </c>
      <c r="P82" s="167">
        <v>2698650</v>
      </c>
      <c r="Q82" s="161" t="s">
        <v>27</v>
      </c>
      <c r="S82"/>
    </row>
    <row r="83" spans="1:19" s="20" customFormat="1" ht="80.099999999999994" customHeight="1" x14ac:dyDescent="0.25">
      <c r="A83" s="160">
        <v>82</v>
      </c>
      <c r="B83" s="157" t="s">
        <v>342</v>
      </c>
      <c r="C83" s="163" t="s">
        <v>343</v>
      </c>
      <c r="D83" s="163" t="s">
        <v>344</v>
      </c>
      <c r="E83" s="158" t="s">
        <v>20</v>
      </c>
      <c r="F83" s="158" t="s">
        <v>21</v>
      </c>
      <c r="G83" s="158" t="s">
        <v>22</v>
      </c>
      <c r="H83" s="158" t="s">
        <v>23</v>
      </c>
      <c r="I83" s="158" t="s">
        <v>345</v>
      </c>
      <c r="J83" s="158" t="s">
        <v>31</v>
      </c>
      <c r="K83" s="158" t="s">
        <v>26</v>
      </c>
      <c r="L83" s="167">
        <v>368951</v>
      </c>
      <c r="M83" s="167">
        <v>219209</v>
      </c>
      <c r="N83" s="167">
        <f>+Social[[#This Row],[RS financing 2022 (EUR)]]+Social[[#This Row],[RS financing 2023 (EUR)]]</f>
        <v>219209</v>
      </c>
      <c r="O83" s="167">
        <v>112500</v>
      </c>
      <c r="P83" s="167">
        <v>106709</v>
      </c>
      <c r="Q83" s="161" t="s">
        <v>27</v>
      </c>
      <c r="S83"/>
    </row>
    <row r="84" spans="1:19" s="20" customFormat="1" ht="80.099999999999994" customHeight="1" x14ac:dyDescent="0.25">
      <c r="A84" s="160">
        <v>83</v>
      </c>
      <c r="B84" s="157" t="s">
        <v>346</v>
      </c>
      <c r="C84" s="163" t="s">
        <v>347</v>
      </c>
      <c r="D84" s="163" t="s">
        <v>348</v>
      </c>
      <c r="E84" s="158" t="s">
        <v>20</v>
      </c>
      <c r="F84" s="158" t="s">
        <v>21</v>
      </c>
      <c r="G84" s="158" t="s">
        <v>22</v>
      </c>
      <c r="H84" s="158" t="s">
        <v>23</v>
      </c>
      <c r="I84" s="158" t="s">
        <v>349</v>
      </c>
      <c r="J84" s="158" t="s">
        <v>31</v>
      </c>
      <c r="K84" s="158" t="s">
        <v>26</v>
      </c>
      <c r="L84" s="167">
        <v>1582212</v>
      </c>
      <c r="M84" s="167">
        <v>895936</v>
      </c>
      <c r="N84" s="167">
        <f>+Social[[#This Row],[RS financing 2022 (EUR)]]+Social[[#This Row],[RS financing 2023 (EUR)]]</f>
        <v>895936</v>
      </c>
      <c r="O84" s="167">
        <v>0</v>
      </c>
      <c r="P84" s="167">
        <v>895936</v>
      </c>
      <c r="Q84" s="161" t="s">
        <v>27</v>
      </c>
      <c r="S84"/>
    </row>
    <row r="85" spans="1:19" s="20" customFormat="1" ht="80.099999999999994" customHeight="1" x14ac:dyDescent="0.25">
      <c r="A85" s="160">
        <v>84</v>
      </c>
      <c r="B85" s="157" t="s">
        <v>350</v>
      </c>
      <c r="C85" s="163" t="s">
        <v>351</v>
      </c>
      <c r="D85" s="163" t="s">
        <v>352</v>
      </c>
      <c r="E85" s="158" t="s">
        <v>20</v>
      </c>
      <c r="F85" s="158" t="s">
        <v>21</v>
      </c>
      <c r="G85" s="158" t="s">
        <v>22</v>
      </c>
      <c r="H85" s="158" t="s">
        <v>23</v>
      </c>
      <c r="I85" s="158" t="s">
        <v>353</v>
      </c>
      <c r="J85" s="158" t="s">
        <v>31</v>
      </c>
      <c r="K85" s="158" t="s">
        <v>26</v>
      </c>
      <c r="L85" s="167">
        <v>994892</v>
      </c>
      <c r="M85" s="167">
        <v>593448</v>
      </c>
      <c r="N85" s="167">
        <f>+Social[[#This Row],[RS financing 2022 (EUR)]]+Social[[#This Row],[RS financing 2023 (EUR)]]</f>
        <v>593449</v>
      </c>
      <c r="O85" s="167">
        <v>7794</v>
      </c>
      <c r="P85" s="167">
        <v>585655</v>
      </c>
      <c r="Q85" s="161" t="s">
        <v>27</v>
      </c>
      <c r="S85"/>
    </row>
    <row r="86" spans="1:19" s="20" customFormat="1" ht="80.099999999999994" customHeight="1" x14ac:dyDescent="0.25">
      <c r="A86" s="160">
        <v>85</v>
      </c>
      <c r="B86" s="157" t="s">
        <v>354</v>
      </c>
      <c r="C86" s="163" t="s">
        <v>355</v>
      </c>
      <c r="D86" s="163" t="s">
        <v>356</v>
      </c>
      <c r="E86" s="158" t="s">
        <v>20</v>
      </c>
      <c r="F86" s="158" t="s">
        <v>21</v>
      </c>
      <c r="G86" s="158" t="s">
        <v>22</v>
      </c>
      <c r="H86" s="158" t="s">
        <v>23</v>
      </c>
      <c r="I86" s="158" t="s">
        <v>357</v>
      </c>
      <c r="J86" s="158" t="s">
        <v>31</v>
      </c>
      <c r="K86" s="158" t="s">
        <v>26</v>
      </c>
      <c r="L86" s="167">
        <v>5926600</v>
      </c>
      <c r="M86" s="167">
        <v>949192</v>
      </c>
      <c r="N86" s="167">
        <f>+Social[[#This Row],[RS financing 2022 (EUR)]]+Social[[#This Row],[RS financing 2023 (EUR)]]</f>
        <v>949192</v>
      </c>
      <c r="O86" s="167">
        <v>0</v>
      </c>
      <c r="P86" s="167">
        <v>949192</v>
      </c>
      <c r="Q86" s="161" t="s">
        <v>27</v>
      </c>
      <c r="S86"/>
    </row>
    <row r="87" spans="1:19" s="20" customFormat="1" ht="80.099999999999994" customHeight="1" x14ac:dyDescent="0.25">
      <c r="A87" s="160">
        <v>86</v>
      </c>
      <c r="B87" s="157" t="s">
        <v>358</v>
      </c>
      <c r="C87" s="163" t="s">
        <v>359</v>
      </c>
      <c r="D87" s="163" t="s">
        <v>360</v>
      </c>
      <c r="E87" s="158" t="s">
        <v>20</v>
      </c>
      <c r="F87" s="158" t="s">
        <v>21</v>
      </c>
      <c r="G87" s="158" t="s">
        <v>22</v>
      </c>
      <c r="H87" s="158" t="s">
        <v>23</v>
      </c>
      <c r="I87" s="158" t="s">
        <v>361</v>
      </c>
      <c r="J87" s="158" t="s">
        <v>31</v>
      </c>
      <c r="K87" s="158" t="s">
        <v>26</v>
      </c>
      <c r="L87" s="167">
        <v>5745033</v>
      </c>
      <c r="M87" s="167">
        <v>2004875</v>
      </c>
      <c r="N87" s="167">
        <f>+Social[[#This Row],[RS financing 2022 (EUR)]]+Social[[#This Row],[RS financing 2023 (EUR)]]</f>
        <v>2004875</v>
      </c>
      <c r="O87" s="167">
        <v>0</v>
      </c>
      <c r="P87" s="167">
        <v>2004875</v>
      </c>
      <c r="Q87" s="161" t="s">
        <v>27</v>
      </c>
      <c r="S87"/>
    </row>
    <row r="88" spans="1:19" s="20" customFormat="1" ht="80.099999999999994" customHeight="1" x14ac:dyDescent="0.25">
      <c r="A88" s="160">
        <v>87</v>
      </c>
      <c r="B88" s="157" t="s">
        <v>362</v>
      </c>
      <c r="C88" s="163" t="s">
        <v>363</v>
      </c>
      <c r="D88" s="163" t="s">
        <v>364</v>
      </c>
      <c r="E88" s="158" t="s">
        <v>20</v>
      </c>
      <c r="F88" s="158" t="s">
        <v>21</v>
      </c>
      <c r="G88" s="158" t="s">
        <v>22</v>
      </c>
      <c r="H88" s="158" t="s">
        <v>23</v>
      </c>
      <c r="I88" s="158" t="s">
        <v>365</v>
      </c>
      <c r="J88" s="158" t="s">
        <v>31</v>
      </c>
      <c r="K88" s="158" t="s">
        <v>26</v>
      </c>
      <c r="L88" s="167">
        <v>187795</v>
      </c>
      <c r="M88" s="167">
        <v>111550</v>
      </c>
      <c r="N88" s="167">
        <f>+Social[[#This Row],[RS financing 2022 (EUR)]]+Social[[#This Row],[RS financing 2023 (EUR)]]</f>
        <v>111550</v>
      </c>
      <c r="O88" s="167">
        <v>111550</v>
      </c>
      <c r="P88" s="167">
        <v>0</v>
      </c>
      <c r="Q88" s="161" t="s">
        <v>27</v>
      </c>
      <c r="S88"/>
    </row>
    <row r="89" spans="1:19" s="20" customFormat="1" ht="80.099999999999994" customHeight="1" x14ac:dyDescent="0.25">
      <c r="A89" s="160">
        <v>88</v>
      </c>
      <c r="B89" s="157" t="s">
        <v>366</v>
      </c>
      <c r="C89" s="163" t="s">
        <v>367</v>
      </c>
      <c r="D89" s="163" t="s">
        <v>368</v>
      </c>
      <c r="E89" s="158" t="s">
        <v>20</v>
      </c>
      <c r="F89" s="158" t="s">
        <v>21</v>
      </c>
      <c r="G89" s="158" t="s">
        <v>22</v>
      </c>
      <c r="H89" s="158" t="s">
        <v>23</v>
      </c>
      <c r="I89" s="158" t="s">
        <v>369</v>
      </c>
      <c r="J89" s="158" t="s">
        <v>31</v>
      </c>
      <c r="K89" s="158" t="s">
        <v>26</v>
      </c>
      <c r="L89" s="167">
        <v>1671969</v>
      </c>
      <c r="M89" s="167">
        <v>648390</v>
      </c>
      <c r="N89" s="167">
        <f>+Social[[#This Row],[RS financing 2022 (EUR)]]+Social[[#This Row],[RS financing 2023 (EUR)]]</f>
        <v>648390</v>
      </c>
      <c r="O89" s="167">
        <v>0</v>
      </c>
      <c r="P89" s="167">
        <v>648390</v>
      </c>
      <c r="Q89" s="161" t="s">
        <v>27</v>
      </c>
      <c r="S89"/>
    </row>
    <row r="90" spans="1:19" s="20" customFormat="1" ht="80.099999999999994" customHeight="1" x14ac:dyDescent="0.25">
      <c r="A90" s="160">
        <v>89</v>
      </c>
      <c r="B90" s="157" t="s">
        <v>370</v>
      </c>
      <c r="C90" s="163" t="s">
        <v>371</v>
      </c>
      <c r="D90" s="163" t="s">
        <v>372</v>
      </c>
      <c r="E90" s="158" t="s">
        <v>20</v>
      </c>
      <c r="F90" s="158" t="s">
        <v>21</v>
      </c>
      <c r="G90" s="158" t="s">
        <v>22</v>
      </c>
      <c r="H90" s="158" t="s">
        <v>23</v>
      </c>
      <c r="I90" s="158" t="s">
        <v>373</v>
      </c>
      <c r="J90" s="158" t="s">
        <v>31</v>
      </c>
      <c r="K90" s="158" t="s">
        <v>26</v>
      </c>
      <c r="L90" s="167">
        <v>2072565</v>
      </c>
      <c r="M90" s="167">
        <v>364762</v>
      </c>
      <c r="N90" s="167">
        <f>+Social[[#This Row],[RS financing 2022 (EUR)]]+Social[[#This Row],[RS financing 2023 (EUR)]]</f>
        <v>364762</v>
      </c>
      <c r="O90" s="167">
        <v>0</v>
      </c>
      <c r="P90" s="167">
        <v>364762</v>
      </c>
      <c r="Q90" s="161" t="s">
        <v>27</v>
      </c>
      <c r="S90"/>
    </row>
    <row r="91" spans="1:19" s="20" customFormat="1" ht="80.099999999999994" customHeight="1" x14ac:dyDescent="0.25">
      <c r="A91" s="160">
        <v>90</v>
      </c>
      <c r="B91" s="157" t="s">
        <v>374</v>
      </c>
      <c r="C91" s="163" t="s">
        <v>375</v>
      </c>
      <c r="D91" s="163" t="s">
        <v>376</v>
      </c>
      <c r="E91" s="158" t="s">
        <v>20</v>
      </c>
      <c r="F91" s="158" t="s">
        <v>21</v>
      </c>
      <c r="G91" s="158" t="s">
        <v>22</v>
      </c>
      <c r="H91" s="158" t="s">
        <v>23</v>
      </c>
      <c r="I91" s="158" t="s">
        <v>377</v>
      </c>
      <c r="J91" s="158" t="s">
        <v>31</v>
      </c>
      <c r="K91" s="158" t="s">
        <v>26</v>
      </c>
      <c r="L91" s="167">
        <v>1226574</v>
      </c>
      <c r="M91" s="167">
        <v>680960</v>
      </c>
      <c r="N91" s="167">
        <f>+Social[[#This Row],[RS financing 2022 (EUR)]]+Social[[#This Row],[RS financing 2023 (EUR)]]</f>
        <v>365646</v>
      </c>
      <c r="O91" s="167">
        <v>0</v>
      </c>
      <c r="P91" s="167">
        <v>365646</v>
      </c>
      <c r="Q91" s="161" t="s">
        <v>27</v>
      </c>
      <c r="S91"/>
    </row>
    <row r="92" spans="1:19" s="20" customFormat="1" ht="80.099999999999994" customHeight="1" x14ac:dyDescent="0.25">
      <c r="A92" s="160">
        <v>91</v>
      </c>
      <c r="B92" s="157" t="s">
        <v>378</v>
      </c>
      <c r="C92" s="163" t="s">
        <v>379</v>
      </c>
      <c r="D92" s="163" t="s">
        <v>380</v>
      </c>
      <c r="E92" s="158" t="s">
        <v>20</v>
      </c>
      <c r="F92" s="158" t="s">
        <v>21</v>
      </c>
      <c r="G92" s="158" t="s">
        <v>22</v>
      </c>
      <c r="H92" s="158" t="s">
        <v>23</v>
      </c>
      <c r="I92" s="158" t="s">
        <v>36</v>
      </c>
      <c r="J92" s="158" t="s">
        <v>25</v>
      </c>
      <c r="K92" s="158" t="s">
        <v>26</v>
      </c>
      <c r="L92" s="167">
        <v>114262039</v>
      </c>
      <c r="M92" s="167">
        <v>70315008</v>
      </c>
      <c r="N92" s="167">
        <f>+Social[[#This Row],[RS financing 2022 (EUR)]]+Social[[#This Row],[RS financing 2023 (EUR)]]</f>
        <v>5377468</v>
      </c>
      <c r="O92" s="167">
        <v>4608699</v>
      </c>
      <c r="P92" s="167">
        <v>768769</v>
      </c>
      <c r="Q92" s="161" t="s">
        <v>27</v>
      </c>
      <c r="S92"/>
    </row>
    <row r="93" spans="1:19" s="20" customFormat="1" ht="80.099999999999994" customHeight="1" x14ac:dyDescent="0.25">
      <c r="A93" s="160">
        <v>92</v>
      </c>
      <c r="B93" s="157" t="s">
        <v>381</v>
      </c>
      <c r="C93" s="163" t="s">
        <v>382</v>
      </c>
      <c r="D93" s="163" t="s">
        <v>383</v>
      </c>
      <c r="E93" s="158" t="s">
        <v>20</v>
      </c>
      <c r="F93" s="158" t="s">
        <v>21</v>
      </c>
      <c r="G93" s="158" t="s">
        <v>22</v>
      </c>
      <c r="H93" s="158" t="s">
        <v>23</v>
      </c>
      <c r="I93" s="158" t="s">
        <v>384</v>
      </c>
      <c r="J93" s="158" t="s">
        <v>25</v>
      </c>
      <c r="K93" s="158" t="s">
        <v>26</v>
      </c>
      <c r="L93" s="167">
        <v>98788088</v>
      </c>
      <c r="M93" s="167">
        <v>46646593</v>
      </c>
      <c r="N93" s="167">
        <f>+Social[[#This Row],[RS financing 2022 (EUR)]]+Social[[#This Row],[RS financing 2023 (EUR)]]</f>
        <v>442972</v>
      </c>
      <c r="O93" s="167">
        <v>10858</v>
      </c>
      <c r="P93" s="167">
        <v>432114</v>
      </c>
      <c r="Q93" s="161" t="s">
        <v>27</v>
      </c>
      <c r="S93"/>
    </row>
    <row r="94" spans="1:19" s="20" customFormat="1" ht="102.6" customHeight="1" x14ac:dyDescent="0.25">
      <c r="A94" s="160">
        <v>93</v>
      </c>
      <c r="B94" s="157" t="s">
        <v>385</v>
      </c>
      <c r="C94" s="163" t="s">
        <v>386</v>
      </c>
      <c r="D94" s="163" t="s">
        <v>387</v>
      </c>
      <c r="E94" s="158" t="s">
        <v>20</v>
      </c>
      <c r="F94" s="158" t="s">
        <v>21</v>
      </c>
      <c r="G94" s="158" t="s">
        <v>22</v>
      </c>
      <c r="H94" s="158" t="s">
        <v>23</v>
      </c>
      <c r="I94" s="158" t="s">
        <v>130</v>
      </c>
      <c r="J94" s="158" t="s">
        <v>25</v>
      </c>
      <c r="K94" s="158" t="s">
        <v>26</v>
      </c>
      <c r="L94" s="167">
        <v>116504517</v>
      </c>
      <c r="M94" s="167">
        <v>37007937</v>
      </c>
      <c r="N94" s="167">
        <f>+Social[[#This Row],[RS financing 2022 (EUR)]]+Social[[#This Row],[RS financing 2023 (EUR)]]</f>
        <v>13394618</v>
      </c>
      <c r="O94" s="167">
        <v>10048866</v>
      </c>
      <c r="P94" s="167">
        <v>3345752</v>
      </c>
      <c r="Q94" s="161" t="s">
        <v>27</v>
      </c>
      <c r="S94"/>
    </row>
    <row r="95" spans="1:19" s="20" customFormat="1" ht="69" customHeight="1" x14ac:dyDescent="0.25">
      <c r="A95" s="160">
        <v>94</v>
      </c>
      <c r="B95" s="157" t="s">
        <v>388</v>
      </c>
      <c r="C95" s="163" t="s">
        <v>389</v>
      </c>
      <c r="D95" s="163" t="s">
        <v>390</v>
      </c>
      <c r="E95" s="158" t="s">
        <v>20</v>
      </c>
      <c r="F95" s="158" t="s">
        <v>35</v>
      </c>
      <c r="G95" s="158" t="s">
        <v>22</v>
      </c>
      <c r="H95" s="158" t="s">
        <v>23</v>
      </c>
      <c r="I95" s="158" t="s">
        <v>194</v>
      </c>
      <c r="J95" s="158" t="s">
        <v>25</v>
      </c>
      <c r="K95" s="158" t="s">
        <v>26</v>
      </c>
      <c r="L95" s="167">
        <v>1352639</v>
      </c>
      <c r="M95" s="167">
        <v>949166</v>
      </c>
      <c r="N95" s="167">
        <f>+Social[[#This Row],[RS financing 2022 (EUR)]]+Social[[#This Row],[RS financing 2023 (EUR)]]</f>
        <v>186430</v>
      </c>
      <c r="O95" s="167">
        <v>186430</v>
      </c>
      <c r="P95" s="167">
        <v>0</v>
      </c>
      <c r="Q95" s="161" t="s">
        <v>27</v>
      </c>
      <c r="S95"/>
    </row>
    <row r="96" spans="1:19" s="20" customFormat="1" ht="53.1" customHeight="1" x14ac:dyDescent="0.25">
      <c r="A96" s="160">
        <v>95</v>
      </c>
      <c r="B96" s="157" t="s">
        <v>391</v>
      </c>
      <c r="C96" s="163" t="s">
        <v>392</v>
      </c>
      <c r="D96" s="163" t="s">
        <v>393</v>
      </c>
      <c r="E96" s="158" t="s">
        <v>20</v>
      </c>
      <c r="F96" s="158" t="s">
        <v>21</v>
      </c>
      <c r="G96" s="158" t="s">
        <v>22</v>
      </c>
      <c r="H96" s="158" t="s">
        <v>23</v>
      </c>
      <c r="I96" s="158" t="s">
        <v>222</v>
      </c>
      <c r="J96" s="158" t="s">
        <v>25</v>
      </c>
      <c r="K96" s="158" t="s">
        <v>26</v>
      </c>
      <c r="L96" s="167">
        <v>10338101</v>
      </c>
      <c r="M96" s="167">
        <v>9494842</v>
      </c>
      <c r="N96" s="167">
        <f>+Social[[#This Row],[RS financing 2022 (EUR)]]+Social[[#This Row],[RS financing 2023 (EUR)]]</f>
        <v>2787208</v>
      </c>
      <c r="O96" s="167">
        <v>2787208</v>
      </c>
      <c r="P96" s="167">
        <v>0</v>
      </c>
      <c r="Q96" s="161" t="s">
        <v>27</v>
      </c>
      <c r="S96"/>
    </row>
    <row r="97" spans="1:19" s="20" customFormat="1" ht="51.6" customHeight="1" x14ac:dyDescent="0.25">
      <c r="A97" s="160">
        <v>96</v>
      </c>
      <c r="B97" s="157" t="s">
        <v>394</v>
      </c>
      <c r="C97" s="163" t="s">
        <v>395</v>
      </c>
      <c r="D97" s="163" t="s">
        <v>396</v>
      </c>
      <c r="E97" s="158" t="s">
        <v>151</v>
      </c>
      <c r="F97" s="158" t="s">
        <v>152</v>
      </c>
      <c r="G97" s="158" t="s">
        <v>144</v>
      </c>
      <c r="H97" s="158" t="s">
        <v>397</v>
      </c>
      <c r="I97" s="158" t="s">
        <v>398</v>
      </c>
      <c r="J97" s="158" t="s">
        <v>31</v>
      </c>
      <c r="K97" s="158" t="s">
        <v>26</v>
      </c>
      <c r="L97" s="167">
        <v>243324362</v>
      </c>
      <c r="M97" s="167">
        <v>81846335</v>
      </c>
      <c r="N97" s="167">
        <f>+Social[[#This Row],[RS financing 2022 (EUR)]]+Social[[#This Row],[RS financing 2023 (EUR)]]</f>
        <v>64808145</v>
      </c>
      <c r="O97" s="167">
        <v>48950106</v>
      </c>
      <c r="P97" s="167">
        <v>15858039</v>
      </c>
      <c r="Q97" s="161" t="s">
        <v>399</v>
      </c>
      <c r="S97"/>
    </row>
    <row r="98" spans="1:19" s="20" customFormat="1" ht="99.75" customHeight="1" x14ac:dyDescent="0.25">
      <c r="A98" s="160">
        <v>97</v>
      </c>
      <c r="B98" s="157" t="s">
        <v>400</v>
      </c>
      <c r="C98" s="163" t="s">
        <v>401</v>
      </c>
      <c r="D98" s="163" t="s">
        <v>402</v>
      </c>
      <c r="E98" s="158" t="s">
        <v>142</v>
      </c>
      <c r="F98" s="158" t="s">
        <v>143</v>
      </c>
      <c r="G98" s="158" t="s">
        <v>144</v>
      </c>
      <c r="H98" s="158" t="s">
        <v>23</v>
      </c>
      <c r="I98" s="158" t="s">
        <v>403</v>
      </c>
      <c r="J98" s="158" t="s">
        <v>404</v>
      </c>
      <c r="K98" s="158" t="s">
        <v>26</v>
      </c>
      <c r="L98" s="167">
        <v>5715358</v>
      </c>
      <c r="M98" s="167">
        <v>4776377</v>
      </c>
      <c r="N98" s="167">
        <f>+Social[[#This Row],[RS financing 2022 (EUR)]]+Social[[#This Row],[RS financing 2023 (EUR)]]</f>
        <v>2772477</v>
      </c>
      <c r="O98" s="167">
        <v>300088</v>
      </c>
      <c r="P98" s="167">
        <v>2472389</v>
      </c>
      <c r="Q98" s="161" t="s">
        <v>405</v>
      </c>
      <c r="S98"/>
    </row>
    <row r="99" spans="1:19" s="20" customFormat="1" ht="105.75" customHeight="1" x14ac:dyDescent="0.25">
      <c r="A99" s="160">
        <v>98</v>
      </c>
      <c r="B99" s="157" t="s">
        <v>406</v>
      </c>
      <c r="C99" s="163" t="s">
        <v>407</v>
      </c>
      <c r="D99" s="163" t="s">
        <v>408</v>
      </c>
      <c r="E99" s="158" t="s">
        <v>142</v>
      </c>
      <c r="F99" s="158" t="s">
        <v>143</v>
      </c>
      <c r="G99" s="158" t="s">
        <v>144</v>
      </c>
      <c r="H99" s="158" t="s">
        <v>23</v>
      </c>
      <c r="I99" s="158" t="s">
        <v>403</v>
      </c>
      <c r="J99" s="158" t="s">
        <v>404</v>
      </c>
      <c r="K99" s="158" t="s">
        <v>26</v>
      </c>
      <c r="L99" s="167">
        <v>190731</v>
      </c>
      <c r="M99" s="167">
        <v>188748</v>
      </c>
      <c r="N99" s="167">
        <f>+Social[[#This Row],[RS financing 2022 (EUR)]]+Social[[#This Row],[RS financing 2023 (EUR)]]</f>
        <v>188748</v>
      </c>
      <c r="O99" s="167">
        <v>28458</v>
      </c>
      <c r="P99" s="167">
        <v>160290</v>
      </c>
      <c r="Q99" s="161" t="s">
        <v>405</v>
      </c>
      <c r="S99"/>
    </row>
    <row r="100" spans="1:19" s="20" customFormat="1" ht="101.25" customHeight="1" x14ac:dyDescent="0.25">
      <c r="A100" s="160">
        <v>99</v>
      </c>
      <c r="B100" s="157" t="s">
        <v>409</v>
      </c>
      <c r="C100" s="163" t="s">
        <v>410</v>
      </c>
      <c r="D100" s="163" t="s">
        <v>411</v>
      </c>
      <c r="E100" s="158" t="s">
        <v>142</v>
      </c>
      <c r="F100" s="158" t="s">
        <v>143</v>
      </c>
      <c r="G100" s="158" t="s">
        <v>144</v>
      </c>
      <c r="H100" s="158" t="s">
        <v>23</v>
      </c>
      <c r="I100" s="158" t="s">
        <v>412</v>
      </c>
      <c r="J100" s="158" t="s">
        <v>404</v>
      </c>
      <c r="K100" s="158" t="s">
        <v>26</v>
      </c>
      <c r="L100" s="167">
        <v>4223602</v>
      </c>
      <c r="M100" s="167">
        <v>152878</v>
      </c>
      <c r="N100" s="167">
        <f>+Social[[#This Row],[RS financing 2022 (EUR)]]+Social[[#This Row],[RS financing 2023 (EUR)]]</f>
        <v>152878</v>
      </c>
      <c r="O100" s="167">
        <v>149311</v>
      </c>
      <c r="P100" s="167">
        <v>3567</v>
      </c>
      <c r="Q100" s="161" t="s">
        <v>405</v>
      </c>
      <c r="S100"/>
    </row>
    <row r="101" spans="1:19" s="20" customFormat="1" ht="124.5" customHeight="1" x14ac:dyDescent="0.25">
      <c r="A101" s="160">
        <v>100</v>
      </c>
      <c r="B101" s="157" t="s">
        <v>413</v>
      </c>
      <c r="C101" s="163" t="s">
        <v>414</v>
      </c>
      <c r="D101" s="163" t="s">
        <v>415</v>
      </c>
      <c r="E101" s="158" t="s">
        <v>142</v>
      </c>
      <c r="F101" s="158" t="s">
        <v>143</v>
      </c>
      <c r="G101" s="158" t="s">
        <v>144</v>
      </c>
      <c r="H101" s="158" t="s">
        <v>23</v>
      </c>
      <c r="I101" s="158" t="s">
        <v>416</v>
      </c>
      <c r="J101" s="158" t="s">
        <v>404</v>
      </c>
      <c r="K101" s="158" t="s">
        <v>26</v>
      </c>
      <c r="L101" s="167">
        <v>397232</v>
      </c>
      <c r="M101" s="167">
        <v>397232</v>
      </c>
      <c r="N101" s="167">
        <f>+Social[[#This Row],[RS financing 2022 (EUR)]]+Social[[#This Row],[RS financing 2023 (EUR)]]</f>
        <v>397232</v>
      </c>
      <c r="O101" s="167">
        <v>69092</v>
      </c>
      <c r="P101" s="167">
        <v>328140</v>
      </c>
      <c r="Q101" s="161" t="s">
        <v>405</v>
      </c>
      <c r="S101"/>
    </row>
    <row r="102" spans="1:19" s="20" customFormat="1" ht="115.95" customHeight="1" x14ac:dyDescent="0.25">
      <c r="A102" s="160">
        <v>101</v>
      </c>
      <c r="B102" s="157" t="s">
        <v>417</v>
      </c>
      <c r="C102" s="163" t="s">
        <v>418</v>
      </c>
      <c r="D102" s="163" t="s">
        <v>419</v>
      </c>
      <c r="E102" s="158" t="s">
        <v>142</v>
      </c>
      <c r="F102" s="158" t="s">
        <v>143</v>
      </c>
      <c r="G102" s="158" t="s">
        <v>144</v>
      </c>
      <c r="H102" s="158" t="s">
        <v>23</v>
      </c>
      <c r="I102" s="158" t="s">
        <v>420</v>
      </c>
      <c r="J102" s="158" t="s">
        <v>404</v>
      </c>
      <c r="K102" s="158" t="s">
        <v>26</v>
      </c>
      <c r="L102" s="167">
        <v>2750380</v>
      </c>
      <c r="M102" s="167">
        <v>2705661</v>
      </c>
      <c r="N102" s="167">
        <f>+Social[[#This Row],[RS financing 2022 (EUR)]]+Social[[#This Row],[RS financing 2023 (EUR)]]</f>
        <v>2705661</v>
      </c>
      <c r="O102" s="167">
        <v>1123395</v>
      </c>
      <c r="P102" s="167">
        <v>1582266</v>
      </c>
      <c r="Q102" s="161" t="s">
        <v>405</v>
      </c>
      <c r="S102"/>
    </row>
    <row r="103" spans="1:19" s="20" customFormat="1" ht="100.5" customHeight="1" x14ac:dyDescent="0.25">
      <c r="A103" s="160">
        <v>102</v>
      </c>
      <c r="B103" s="157" t="s">
        <v>421</v>
      </c>
      <c r="C103" s="163" t="s">
        <v>422</v>
      </c>
      <c r="D103" s="163" t="s">
        <v>423</v>
      </c>
      <c r="E103" s="158" t="s">
        <v>142</v>
      </c>
      <c r="F103" s="158" t="s">
        <v>143</v>
      </c>
      <c r="G103" s="158" t="s">
        <v>144</v>
      </c>
      <c r="H103" s="162" t="s">
        <v>23</v>
      </c>
      <c r="I103" s="158" t="s">
        <v>424</v>
      </c>
      <c r="J103" s="158" t="s">
        <v>425</v>
      </c>
      <c r="K103" s="158" t="s">
        <v>26</v>
      </c>
      <c r="L103" s="167">
        <v>4196593</v>
      </c>
      <c r="M103" s="167">
        <v>3974497</v>
      </c>
      <c r="N103" s="167">
        <f>+Social[[#This Row],[RS financing 2022 (EUR)]]+Social[[#This Row],[RS financing 2023 (EUR)]]</f>
        <v>3974497</v>
      </c>
      <c r="O103" s="167">
        <v>1352123</v>
      </c>
      <c r="P103" s="167">
        <v>2622374</v>
      </c>
      <c r="Q103" s="161" t="s">
        <v>405</v>
      </c>
      <c r="S103"/>
    </row>
    <row r="104" spans="1:19" s="20" customFormat="1" ht="57.6" customHeight="1" x14ac:dyDescent="0.25">
      <c r="A104" s="160">
        <v>103</v>
      </c>
      <c r="B104" s="157" t="s">
        <v>426</v>
      </c>
      <c r="C104" s="163" t="s">
        <v>427</v>
      </c>
      <c r="D104" s="163" t="s">
        <v>428</v>
      </c>
      <c r="E104" s="158" t="s">
        <v>142</v>
      </c>
      <c r="F104" s="158" t="s">
        <v>429</v>
      </c>
      <c r="G104" s="158" t="s">
        <v>430</v>
      </c>
      <c r="H104" s="158" t="s">
        <v>161</v>
      </c>
      <c r="I104" s="158" t="s">
        <v>431</v>
      </c>
      <c r="J104" s="158" t="s">
        <v>432</v>
      </c>
      <c r="K104" s="158" t="s">
        <v>26</v>
      </c>
      <c r="L104" s="167">
        <v>21528000</v>
      </c>
      <c r="M104" s="167">
        <v>2924339</v>
      </c>
      <c r="N104" s="167">
        <f>+Social[[#This Row],[RS financing 2022 (EUR)]]+Social[[#This Row],[RS financing 2023 (EUR)]]</f>
        <v>2924339</v>
      </c>
      <c r="O104" s="167">
        <v>0</v>
      </c>
      <c r="P104" s="167">
        <v>2924339</v>
      </c>
      <c r="Q104" s="161" t="s">
        <v>147</v>
      </c>
      <c r="S104"/>
    </row>
    <row r="105" spans="1:19" s="20" customFormat="1" ht="40.35" customHeight="1" x14ac:dyDescent="0.25">
      <c r="A105" s="160">
        <v>104</v>
      </c>
      <c r="B105" s="157" t="s">
        <v>433</v>
      </c>
      <c r="C105" s="163" t="s">
        <v>434</v>
      </c>
      <c r="D105" s="163" t="s">
        <v>428</v>
      </c>
      <c r="E105" s="158" t="s">
        <v>142</v>
      </c>
      <c r="F105" s="158" t="s">
        <v>429</v>
      </c>
      <c r="G105" s="158" t="s">
        <v>435</v>
      </c>
      <c r="H105" s="158" t="s">
        <v>161</v>
      </c>
      <c r="I105" s="158" t="s">
        <v>436</v>
      </c>
      <c r="J105" s="158" t="s">
        <v>432</v>
      </c>
      <c r="K105" s="158" t="s">
        <v>26</v>
      </c>
      <c r="L105" s="167">
        <v>1198433</v>
      </c>
      <c r="M105" s="167">
        <v>1197340</v>
      </c>
      <c r="N105" s="167">
        <f>+Social[[#This Row],[RS financing 2022 (EUR)]]+Social[[#This Row],[RS financing 2023 (EUR)]]</f>
        <v>1145075</v>
      </c>
      <c r="O105" s="167">
        <v>0</v>
      </c>
      <c r="P105" s="167">
        <v>1145075</v>
      </c>
      <c r="Q105" s="161" t="s">
        <v>147</v>
      </c>
      <c r="S105"/>
    </row>
    <row r="106" spans="1:19" s="20" customFormat="1" ht="40.35" customHeight="1" x14ac:dyDescent="0.25">
      <c r="A106" s="160">
        <v>105</v>
      </c>
      <c r="B106" s="157" t="s">
        <v>437</v>
      </c>
      <c r="C106" s="163" t="s">
        <v>438</v>
      </c>
      <c r="D106" s="163" t="s">
        <v>428</v>
      </c>
      <c r="E106" s="158" t="s">
        <v>142</v>
      </c>
      <c r="F106" s="158" t="s">
        <v>429</v>
      </c>
      <c r="G106" s="158" t="s">
        <v>435</v>
      </c>
      <c r="H106" s="158" t="s">
        <v>161</v>
      </c>
      <c r="I106" s="158" t="s">
        <v>436</v>
      </c>
      <c r="J106" s="158" t="s">
        <v>432</v>
      </c>
      <c r="K106" s="158" t="s">
        <v>26</v>
      </c>
      <c r="L106" s="167">
        <v>100232</v>
      </c>
      <c r="M106" s="167">
        <v>44770</v>
      </c>
      <c r="N106" s="167">
        <f>+Social[[#This Row],[RS financing 2022 (EUR)]]+Social[[#This Row],[RS financing 2023 (EUR)]]</f>
        <v>44770</v>
      </c>
      <c r="O106" s="167">
        <v>0</v>
      </c>
      <c r="P106" s="167">
        <v>44770</v>
      </c>
      <c r="Q106" s="161" t="s">
        <v>147</v>
      </c>
      <c r="S106"/>
    </row>
    <row r="107" spans="1:19" s="20" customFormat="1" ht="78" customHeight="1" x14ac:dyDescent="0.25">
      <c r="A107" s="160">
        <v>106</v>
      </c>
      <c r="B107" s="157" t="s">
        <v>439</v>
      </c>
      <c r="C107" s="163" t="s">
        <v>440</v>
      </c>
      <c r="D107" s="163" t="s">
        <v>428</v>
      </c>
      <c r="E107" s="158" t="s">
        <v>142</v>
      </c>
      <c r="F107" s="158" t="s">
        <v>429</v>
      </c>
      <c r="G107" s="158" t="s">
        <v>435</v>
      </c>
      <c r="H107" s="158" t="s">
        <v>161</v>
      </c>
      <c r="I107" s="158" t="s">
        <v>436</v>
      </c>
      <c r="J107" s="158" t="s">
        <v>432</v>
      </c>
      <c r="K107" s="158" t="s">
        <v>26</v>
      </c>
      <c r="L107" s="167">
        <v>11182</v>
      </c>
      <c r="M107" s="167">
        <v>11182</v>
      </c>
      <c r="N107" s="167">
        <f>+Social[[#This Row],[RS financing 2022 (EUR)]]+Social[[#This Row],[RS financing 2023 (EUR)]]</f>
        <v>11182</v>
      </c>
      <c r="O107" s="167">
        <v>0</v>
      </c>
      <c r="P107" s="167">
        <v>11182</v>
      </c>
      <c r="Q107" s="161" t="s">
        <v>147</v>
      </c>
      <c r="S107"/>
    </row>
    <row r="108" spans="1:19" s="20" customFormat="1" ht="40.35" customHeight="1" x14ac:dyDescent="0.25">
      <c r="A108" s="160">
        <v>107</v>
      </c>
      <c r="B108" s="157" t="s">
        <v>441</v>
      </c>
      <c r="C108" s="163" t="s">
        <v>442</v>
      </c>
      <c r="D108" s="163" t="s">
        <v>428</v>
      </c>
      <c r="E108" s="158" t="s">
        <v>142</v>
      </c>
      <c r="F108" s="158" t="s">
        <v>429</v>
      </c>
      <c r="G108" s="158" t="s">
        <v>435</v>
      </c>
      <c r="H108" s="158" t="s">
        <v>161</v>
      </c>
      <c r="I108" s="158" t="s">
        <v>436</v>
      </c>
      <c r="J108" s="158" t="s">
        <v>432</v>
      </c>
      <c r="K108" s="158" t="s">
        <v>26</v>
      </c>
      <c r="L108" s="167">
        <v>38011</v>
      </c>
      <c r="M108" s="167">
        <v>16200</v>
      </c>
      <c r="N108" s="167">
        <f>+Social[[#This Row],[RS financing 2022 (EUR)]]+Social[[#This Row],[RS financing 2023 (EUR)]]</f>
        <v>16200</v>
      </c>
      <c r="O108" s="167">
        <v>0</v>
      </c>
      <c r="P108" s="167">
        <v>16200</v>
      </c>
      <c r="Q108" s="161" t="s">
        <v>147</v>
      </c>
      <c r="S108"/>
    </row>
    <row r="109" spans="1:19" s="20" customFormat="1" ht="62.25" customHeight="1" x14ac:dyDescent="0.25">
      <c r="A109" s="160">
        <v>108</v>
      </c>
      <c r="B109" s="157" t="s">
        <v>443</v>
      </c>
      <c r="C109" s="163" t="s">
        <v>444</v>
      </c>
      <c r="D109" s="163" t="s">
        <v>445</v>
      </c>
      <c r="E109" s="158" t="s">
        <v>20</v>
      </c>
      <c r="F109" s="158" t="s">
        <v>60</v>
      </c>
      <c r="G109" s="158" t="s">
        <v>54</v>
      </c>
      <c r="H109" s="158" t="s">
        <v>23</v>
      </c>
      <c r="I109" s="158" t="s">
        <v>198</v>
      </c>
      <c r="J109" s="158" t="s">
        <v>25</v>
      </c>
      <c r="K109" s="158" t="s">
        <v>26</v>
      </c>
      <c r="L109" s="167">
        <v>145917006</v>
      </c>
      <c r="M109" s="167">
        <v>140117006</v>
      </c>
      <c r="N109" s="167">
        <f>+Social[[#This Row],[RS financing 2022 (EUR)]]+Social[[#This Row],[RS financing 2023 (EUR)]]</f>
        <v>46696006</v>
      </c>
      <c r="O109" s="167">
        <v>0</v>
      </c>
      <c r="P109" s="167">
        <v>46696006</v>
      </c>
      <c r="Q109" s="161" t="s">
        <v>27</v>
      </c>
      <c r="S109"/>
    </row>
    <row r="110" spans="1:19" s="20" customFormat="1" ht="40.35" customHeight="1" x14ac:dyDescent="0.25">
      <c r="A110" s="160">
        <v>109</v>
      </c>
      <c r="B110" s="157" t="s">
        <v>446</v>
      </c>
      <c r="C110" s="163" t="s">
        <v>447</v>
      </c>
      <c r="D110" s="163" t="s">
        <v>86</v>
      </c>
      <c r="E110" s="158" t="s">
        <v>20</v>
      </c>
      <c r="F110" s="158" t="s">
        <v>35</v>
      </c>
      <c r="G110" s="158" t="s">
        <v>54</v>
      </c>
      <c r="H110" s="158" t="s">
        <v>23</v>
      </c>
      <c r="I110" s="158" t="s">
        <v>88</v>
      </c>
      <c r="J110" s="158" t="s">
        <v>25</v>
      </c>
      <c r="K110" s="158" t="s">
        <v>26</v>
      </c>
      <c r="L110" s="167">
        <v>380045406</v>
      </c>
      <c r="M110" s="167">
        <v>297874811</v>
      </c>
      <c r="N110" s="167">
        <f>+Social[[#This Row],[RS financing 2022 (EUR)]]+Social[[#This Row],[RS financing 2023 (EUR)]]</f>
        <v>96848323</v>
      </c>
      <c r="O110" s="167">
        <v>0</v>
      </c>
      <c r="P110" s="167">
        <v>96848323</v>
      </c>
      <c r="Q110" s="161" t="s">
        <v>27</v>
      </c>
      <c r="S110"/>
    </row>
    <row r="111" spans="1:19" s="20" customFormat="1" ht="69.75" customHeight="1" x14ac:dyDescent="0.25">
      <c r="A111" s="160">
        <v>110</v>
      </c>
      <c r="B111" s="157" t="s">
        <v>448</v>
      </c>
      <c r="C111" s="163" t="s">
        <v>449</v>
      </c>
      <c r="D111" s="163" t="s">
        <v>59</v>
      </c>
      <c r="E111" s="158" t="s">
        <v>20</v>
      </c>
      <c r="F111" s="158" t="s">
        <v>35</v>
      </c>
      <c r="G111" s="158" t="s">
        <v>54</v>
      </c>
      <c r="H111" s="158" t="s">
        <v>23</v>
      </c>
      <c r="I111" s="158" t="s">
        <v>30</v>
      </c>
      <c r="J111" s="158" t="s">
        <v>25</v>
      </c>
      <c r="K111" s="158" t="s">
        <v>26</v>
      </c>
      <c r="L111" s="167">
        <v>64269987</v>
      </c>
      <c r="M111" s="167">
        <v>41549987</v>
      </c>
      <c r="N111" s="167">
        <f>+Social[[#This Row],[RS financing 2022 (EUR)]]+Social[[#This Row],[RS financing 2023 (EUR)]]</f>
        <v>15535337</v>
      </c>
      <c r="O111" s="167">
        <v>0</v>
      </c>
      <c r="P111" s="167">
        <v>15535337</v>
      </c>
      <c r="Q111" s="161" t="s">
        <v>27</v>
      </c>
      <c r="S111"/>
    </row>
    <row r="112" spans="1:19" s="20" customFormat="1" ht="40.35" customHeight="1" x14ac:dyDescent="0.25">
      <c r="A112" s="160">
        <v>111</v>
      </c>
      <c r="B112" s="157" t="s">
        <v>450</v>
      </c>
      <c r="C112" s="163" t="s">
        <v>451</v>
      </c>
      <c r="D112" s="163" t="s">
        <v>53</v>
      </c>
      <c r="E112" s="158" t="s">
        <v>20</v>
      </c>
      <c r="F112" s="158" t="s">
        <v>35</v>
      </c>
      <c r="G112" s="158" t="s">
        <v>54</v>
      </c>
      <c r="H112" s="158" t="s">
        <v>23</v>
      </c>
      <c r="I112" s="158" t="s">
        <v>56</v>
      </c>
      <c r="J112" s="158" t="s">
        <v>25</v>
      </c>
      <c r="K112" s="158" t="s">
        <v>26</v>
      </c>
      <c r="L112" s="167">
        <v>3058419</v>
      </c>
      <c r="M112" s="167">
        <v>3058419</v>
      </c>
      <c r="N112" s="167">
        <f>+Social[[#This Row],[RS financing 2022 (EUR)]]+Social[[#This Row],[RS financing 2023 (EUR)]]</f>
        <v>428619</v>
      </c>
      <c r="O112" s="167">
        <v>0</v>
      </c>
      <c r="P112" s="167">
        <v>428619</v>
      </c>
      <c r="Q112" s="161" t="s">
        <v>27</v>
      </c>
      <c r="S112"/>
    </row>
    <row r="113" spans="1:20" s="20" customFormat="1" ht="121.5" customHeight="1" x14ac:dyDescent="0.25">
      <c r="A113" s="160">
        <v>112</v>
      </c>
      <c r="B113" s="157" t="s">
        <v>452</v>
      </c>
      <c r="C113" s="163" t="s">
        <v>453</v>
      </c>
      <c r="D113" s="163" t="s">
        <v>454</v>
      </c>
      <c r="E113" s="158" t="s">
        <v>20</v>
      </c>
      <c r="F113" s="158" t="s">
        <v>87</v>
      </c>
      <c r="G113" s="158" t="s">
        <v>54</v>
      </c>
      <c r="H113" s="158" t="s">
        <v>55</v>
      </c>
      <c r="I113" s="158" t="s">
        <v>198</v>
      </c>
      <c r="J113" s="158" t="s">
        <v>25</v>
      </c>
      <c r="K113" s="158" t="s">
        <v>26</v>
      </c>
      <c r="L113" s="167">
        <v>3246022</v>
      </c>
      <c r="M113" s="167">
        <v>314003</v>
      </c>
      <c r="N113" s="167">
        <f>+Social[[#This Row],[RS financing 2022 (EUR)]]+Social[[#This Row],[RS financing 2023 (EUR)]]</f>
        <v>2240</v>
      </c>
      <c r="O113" s="167">
        <v>0</v>
      </c>
      <c r="P113" s="167">
        <v>2240</v>
      </c>
      <c r="Q113" s="161" t="s">
        <v>27</v>
      </c>
      <c r="S113"/>
    </row>
    <row r="114" spans="1:20" s="20" customFormat="1" ht="100.8" x14ac:dyDescent="0.25">
      <c r="A114" s="160">
        <v>113</v>
      </c>
      <c r="B114" s="157" t="s">
        <v>455</v>
      </c>
      <c r="C114" s="163" t="s">
        <v>456</v>
      </c>
      <c r="D114" s="163" t="s">
        <v>457</v>
      </c>
      <c r="E114" s="158" t="s">
        <v>20</v>
      </c>
      <c r="F114" s="158" t="s">
        <v>35</v>
      </c>
      <c r="G114" s="158" t="s">
        <v>54</v>
      </c>
      <c r="H114" s="158" t="s">
        <v>55</v>
      </c>
      <c r="I114" s="158" t="s">
        <v>198</v>
      </c>
      <c r="J114" s="158" t="s">
        <v>25</v>
      </c>
      <c r="K114" s="158" t="s">
        <v>26</v>
      </c>
      <c r="L114" s="167">
        <v>2345975</v>
      </c>
      <c r="M114" s="167">
        <v>206862</v>
      </c>
      <c r="N114" s="167">
        <f>+Social[[#This Row],[RS financing 2022 (EUR)]]+Social[[#This Row],[RS financing 2023 (EUR)]]</f>
        <v>66196</v>
      </c>
      <c r="O114" s="167">
        <v>0</v>
      </c>
      <c r="P114" s="167">
        <v>66196</v>
      </c>
      <c r="Q114" s="161" t="s">
        <v>27</v>
      </c>
      <c r="S114"/>
    </row>
    <row r="115" spans="1:20" s="20" customFormat="1" ht="40.35" customHeight="1" x14ac:dyDescent="0.25">
      <c r="A115" s="160">
        <v>114</v>
      </c>
      <c r="B115" s="157" t="s">
        <v>458</v>
      </c>
      <c r="C115" s="163" t="s">
        <v>459</v>
      </c>
      <c r="D115" s="163" t="s">
        <v>460</v>
      </c>
      <c r="E115" s="158" t="s">
        <v>20</v>
      </c>
      <c r="F115" s="158" t="s">
        <v>35</v>
      </c>
      <c r="G115" s="158" t="s">
        <v>54</v>
      </c>
      <c r="H115" s="158" t="s">
        <v>55</v>
      </c>
      <c r="I115" s="158" t="s">
        <v>198</v>
      </c>
      <c r="J115" s="158" t="s">
        <v>25</v>
      </c>
      <c r="K115" s="158" t="s">
        <v>26</v>
      </c>
      <c r="L115" s="167">
        <v>9356674</v>
      </c>
      <c r="M115" s="167">
        <v>9356674</v>
      </c>
      <c r="N115" s="167">
        <f>+Social[[#This Row],[RS financing 2022 (EUR)]]+Social[[#This Row],[RS financing 2023 (EUR)]]</f>
        <v>4346874</v>
      </c>
      <c r="O115" s="167">
        <v>0</v>
      </c>
      <c r="P115" s="167">
        <v>4346874</v>
      </c>
      <c r="Q115" s="161" t="s">
        <v>27</v>
      </c>
      <c r="S115"/>
    </row>
    <row r="116" spans="1:20" s="20" customFormat="1" ht="72" x14ac:dyDescent="0.25">
      <c r="A116" s="160">
        <v>115</v>
      </c>
      <c r="B116" s="157" t="s">
        <v>461</v>
      </c>
      <c r="C116" s="163" t="s">
        <v>462</v>
      </c>
      <c r="D116" s="163" t="s">
        <v>463</v>
      </c>
      <c r="E116" s="158" t="s">
        <v>20</v>
      </c>
      <c r="F116" s="158" t="s">
        <v>35</v>
      </c>
      <c r="G116" s="158" t="s">
        <v>54</v>
      </c>
      <c r="H116" s="158" t="s">
        <v>55</v>
      </c>
      <c r="I116" s="158" t="s">
        <v>198</v>
      </c>
      <c r="J116" s="158" t="s">
        <v>25</v>
      </c>
      <c r="K116" s="158" t="s">
        <v>26</v>
      </c>
      <c r="L116" s="167">
        <v>12852586</v>
      </c>
      <c r="M116" s="167">
        <v>8212586</v>
      </c>
      <c r="N116" s="167">
        <f>+Social[[#This Row],[RS financing 2022 (EUR)]]+Social[[#This Row],[RS financing 2023 (EUR)]]</f>
        <v>2408626</v>
      </c>
      <c r="O116" s="167">
        <v>0</v>
      </c>
      <c r="P116" s="167">
        <v>2408626</v>
      </c>
      <c r="Q116" s="161" t="s">
        <v>27</v>
      </c>
      <c r="S116"/>
    </row>
    <row r="117" spans="1:20" s="20" customFormat="1" ht="115.2" x14ac:dyDescent="0.25">
      <c r="A117" s="160">
        <v>116</v>
      </c>
      <c r="B117" s="157" t="s">
        <v>464</v>
      </c>
      <c r="C117" s="163" t="s">
        <v>465</v>
      </c>
      <c r="D117" s="163" t="s">
        <v>67</v>
      </c>
      <c r="E117" s="158" t="s">
        <v>20</v>
      </c>
      <c r="F117" s="158" t="s">
        <v>466</v>
      </c>
      <c r="G117" s="158" t="s">
        <v>54</v>
      </c>
      <c r="H117" s="158" t="s">
        <v>55</v>
      </c>
      <c r="I117" s="158" t="s">
        <v>68</v>
      </c>
      <c r="J117" s="158" t="s">
        <v>25</v>
      </c>
      <c r="K117" s="158" t="s">
        <v>26</v>
      </c>
      <c r="L117" s="167">
        <v>11461552</v>
      </c>
      <c r="M117" s="167">
        <v>8627535</v>
      </c>
      <c r="N117" s="167">
        <f>+Social[[#This Row],[RS financing 2022 (EUR)]]+Social[[#This Row],[RS financing 2023 (EUR)]]</f>
        <v>2461015</v>
      </c>
      <c r="O117" s="167">
        <v>0</v>
      </c>
      <c r="P117" s="167">
        <v>2461015</v>
      </c>
      <c r="Q117" s="161" t="s">
        <v>27</v>
      </c>
      <c r="S117"/>
    </row>
    <row r="118" spans="1:20" s="20" customFormat="1" ht="94.5" customHeight="1" x14ac:dyDescent="0.25">
      <c r="A118" s="160">
        <v>117</v>
      </c>
      <c r="B118" s="157" t="s">
        <v>467</v>
      </c>
      <c r="C118" s="163" t="s">
        <v>468</v>
      </c>
      <c r="D118" s="163" t="s">
        <v>428</v>
      </c>
      <c r="E118" s="158" t="s">
        <v>142</v>
      </c>
      <c r="F118" s="158" t="s">
        <v>429</v>
      </c>
      <c r="G118" s="158" t="s">
        <v>144</v>
      </c>
      <c r="H118" s="158" t="s">
        <v>49</v>
      </c>
      <c r="I118" s="158" t="s">
        <v>431</v>
      </c>
      <c r="J118" s="158" t="s">
        <v>469</v>
      </c>
      <c r="K118" s="158" t="s">
        <v>26</v>
      </c>
      <c r="L118" s="167">
        <v>57321137</v>
      </c>
      <c r="M118" s="167">
        <v>57003898</v>
      </c>
      <c r="N118" s="167">
        <f>+Social[[#This Row],[RS financing 2022 (EUR)]]+Social[[#This Row],[RS financing 2023 (EUR)]]</f>
        <v>48881829</v>
      </c>
      <c r="O118" s="167">
        <v>0</v>
      </c>
      <c r="P118" s="167">
        <v>48881829</v>
      </c>
      <c r="Q118" s="161" t="s">
        <v>147</v>
      </c>
      <c r="S118"/>
    </row>
    <row r="119" spans="1:20" s="20" customFormat="1" ht="94.5" customHeight="1" x14ac:dyDescent="0.25">
      <c r="A119" s="160">
        <v>118</v>
      </c>
      <c r="B119" s="157" t="s">
        <v>470</v>
      </c>
      <c r="C119" s="163" t="s">
        <v>471</v>
      </c>
      <c r="D119" s="163" t="s">
        <v>472</v>
      </c>
      <c r="E119" s="158" t="s">
        <v>142</v>
      </c>
      <c r="F119" s="158" t="s">
        <v>429</v>
      </c>
      <c r="G119" s="158" t="s">
        <v>144</v>
      </c>
      <c r="H119" s="158" t="s">
        <v>49</v>
      </c>
      <c r="I119" s="158" t="s">
        <v>473</v>
      </c>
      <c r="J119" s="158" t="s">
        <v>432</v>
      </c>
      <c r="K119" s="158" t="s">
        <v>26</v>
      </c>
      <c r="L119" s="167">
        <v>837577863</v>
      </c>
      <c r="M119" s="167">
        <v>136818378</v>
      </c>
      <c r="N119" s="167">
        <f>+Social[[#This Row],[RS financing 2022 (EUR)]]+Social[[#This Row],[RS financing 2023 (EUR)]]</f>
        <v>136665470</v>
      </c>
      <c r="O119" s="167">
        <v>0</v>
      </c>
      <c r="P119" s="167">
        <v>136665470</v>
      </c>
      <c r="Q119" s="161" t="s">
        <v>474</v>
      </c>
      <c r="S119"/>
    </row>
    <row r="120" spans="1:20" s="20" customFormat="1" ht="94.5" customHeight="1" x14ac:dyDescent="0.25">
      <c r="A120" s="160">
        <v>119</v>
      </c>
      <c r="B120" s="157" t="s">
        <v>475</v>
      </c>
      <c r="C120" s="163" t="s">
        <v>476</v>
      </c>
      <c r="D120" s="163" t="s">
        <v>472</v>
      </c>
      <c r="E120" s="158" t="s">
        <v>142</v>
      </c>
      <c r="F120" s="158" t="s">
        <v>429</v>
      </c>
      <c r="G120" s="158" t="s">
        <v>144</v>
      </c>
      <c r="H120" s="158" t="s">
        <v>49</v>
      </c>
      <c r="I120" s="158" t="s">
        <v>473</v>
      </c>
      <c r="J120" s="158" t="s">
        <v>432</v>
      </c>
      <c r="K120" s="158" t="s">
        <v>26</v>
      </c>
      <c r="L120" s="167">
        <v>3414890</v>
      </c>
      <c r="M120" s="167">
        <v>1365950</v>
      </c>
      <c r="N120" s="167">
        <f>+Social[[#This Row],[RS financing 2022 (EUR)]]+Social[[#This Row],[RS financing 2023 (EUR)]]</f>
        <v>1365950</v>
      </c>
      <c r="O120" s="167">
        <v>0</v>
      </c>
      <c r="P120" s="167">
        <v>1365950</v>
      </c>
      <c r="Q120" s="161" t="s">
        <v>474</v>
      </c>
      <c r="S120"/>
    </row>
    <row r="121" spans="1:20" s="20" customFormat="1" ht="94.5" customHeight="1" x14ac:dyDescent="0.25">
      <c r="A121" s="160">
        <v>120</v>
      </c>
      <c r="B121" s="157" t="s">
        <v>477</v>
      </c>
      <c r="C121" s="163" t="s">
        <v>476</v>
      </c>
      <c r="D121" s="163" t="s">
        <v>472</v>
      </c>
      <c r="E121" s="158" t="s">
        <v>142</v>
      </c>
      <c r="F121" s="158" t="s">
        <v>429</v>
      </c>
      <c r="G121" s="158" t="s">
        <v>144</v>
      </c>
      <c r="H121" s="158" t="s">
        <v>49</v>
      </c>
      <c r="I121" s="158" t="s">
        <v>473</v>
      </c>
      <c r="J121" s="158" t="s">
        <v>432</v>
      </c>
      <c r="K121" s="158" t="s">
        <v>26</v>
      </c>
      <c r="L121" s="167">
        <v>15740555</v>
      </c>
      <c r="M121" s="167">
        <v>5187721</v>
      </c>
      <c r="N121" s="167">
        <f>+Social[[#This Row],[RS financing 2022 (EUR)]]+Social[[#This Row],[RS financing 2023 (EUR)]]</f>
        <v>5187721</v>
      </c>
      <c r="O121" s="167">
        <v>0</v>
      </c>
      <c r="P121" s="167">
        <v>5187721</v>
      </c>
      <c r="Q121" s="161" t="s">
        <v>474</v>
      </c>
      <c r="S121"/>
    </row>
    <row r="122" spans="1:20" s="20" customFormat="1" ht="94.5" customHeight="1" x14ac:dyDescent="0.25">
      <c r="A122" s="160">
        <v>121</v>
      </c>
      <c r="B122" s="157" t="s">
        <v>478</v>
      </c>
      <c r="C122" s="163" t="s">
        <v>479</v>
      </c>
      <c r="D122" s="163" t="s">
        <v>472</v>
      </c>
      <c r="E122" s="158" t="s">
        <v>142</v>
      </c>
      <c r="F122" s="158" t="s">
        <v>429</v>
      </c>
      <c r="G122" s="158" t="s">
        <v>144</v>
      </c>
      <c r="H122" s="158" t="s">
        <v>49</v>
      </c>
      <c r="I122" s="158" t="s">
        <v>473</v>
      </c>
      <c r="J122" s="158" t="s">
        <v>432</v>
      </c>
      <c r="K122" s="158" t="s">
        <v>26</v>
      </c>
      <c r="L122" s="167">
        <v>4902147</v>
      </c>
      <c r="M122" s="167">
        <v>1960848</v>
      </c>
      <c r="N122" s="167">
        <f>+Social[[#This Row],[RS financing 2022 (EUR)]]+Social[[#This Row],[RS financing 2023 (EUR)]]</f>
        <v>1960848</v>
      </c>
      <c r="O122" s="167">
        <v>0</v>
      </c>
      <c r="P122" s="167">
        <v>1960848</v>
      </c>
      <c r="Q122" s="161" t="s">
        <v>474</v>
      </c>
      <c r="S122"/>
    </row>
    <row r="123" spans="1:20" s="20" customFormat="1" ht="94.5" customHeight="1" x14ac:dyDescent="0.25">
      <c r="A123" s="160">
        <v>122</v>
      </c>
      <c r="B123" s="157" t="s">
        <v>480</v>
      </c>
      <c r="C123" s="163" t="s">
        <v>471</v>
      </c>
      <c r="D123" s="163" t="s">
        <v>472</v>
      </c>
      <c r="E123" s="158" t="s">
        <v>142</v>
      </c>
      <c r="F123" s="158" t="s">
        <v>429</v>
      </c>
      <c r="G123" s="158" t="s">
        <v>144</v>
      </c>
      <c r="H123" s="158" t="s">
        <v>49</v>
      </c>
      <c r="I123" s="158" t="s">
        <v>473</v>
      </c>
      <c r="J123" s="158" t="s">
        <v>432</v>
      </c>
      <c r="K123" s="158" t="s">
        <v>26</v>
      </c>
      <c r="L123" s="167">
        <v>16980661</v>
      </c>
      <c r="M123" s="167">
        <v>6749141</v>
      </c>
      <c r="N123" s="167">
        <f>+Social[[#This Row],[RS financing 2022 (EUR)]]+Social[[#This Row],[RS financing 2023 (EUR)]]</f>
        <v>6749137</v>
      </c>
      <c r="O123" s="167">
        <v>0</v>
      </c>
      <c r="P123" s="167">
        <v>6749137</v>
      </c>
      <c r="Q123" s="161" t="s">
        <v>474</v>
      </c>
      <c r="S123"/>
    </row>
    <row r="124" spans="1:20" s="20" customFormat="1" ht="94.5" customHeight="1" x14ac:dyDescent="0.25">
      <c r="A124" s="160">
        <v>123</v>
      </c>
      <c r="B124" s="159" t="s">
        <v>481</v>
      </c>
      <c r="C124" s="163" t="s">
        <v>482</v>
      </c>
      <c r="D124" s="164" t="s">
        <v>472</v>
      </c>
      <c r="E124" s="165" t="s">
        <v>142</v>
      </c>
      <c r="F124" s="158" t="s">
        <v>429</v>
      </c>
      <c r="G124" s="158" t="s">
        <v>144</v>
      </c>
      <c r="H124" s="165" t="s">
        <v>49</v>
      </c>
      <c r="I124" s="158" t="s">
        <v>473</v>
      </c>
      <c r="J124" s="165" t="s">
        <v>432</v>
      </c>
      <c r="K124" s="165" t="s">
        <v>26</v>
      </c>
      <c r="L124" s="168">
        <v>13925925</v>
      </c>
      <c r="M124" s="168">
        <v>13925925</v>
      </c>
      <c r="N124" s="167">
        <f>+Social[[#This Row],[RS financing 2022 (EUR)]]+Social[[#This Row],[RS financing 2023 (EUR)]]</f>
        <v>8405925</v>
      </c>
      <c r="O124" s="168">
        <v>0</v>
      </c>
      <c r="P124" s="168">
        <v>8405925</v>
      </c>
      <c r="Q124" s="161" t="s">
        <v>474</v>
      </c>
      <c r="S124"/>
    </row>
    <row r="125" spans="1:20" ht="74.400000000000006" customHeight="1" thickBot="1" x14ac:dyDescent="0.35">
      <c r="A125" s="201"/>
      <c r="B125" s="202"/>
      <c r="C125" s="202"/>
      <c r="D125" s="202"/>
      <c r="E125" s="202"/>
      <c r="F125" s="202"/>
      <c r="G125" s="202"/>
      <c r="H125" s="202"/>
      <c r="I125" s="202"/>
      <c r="J125" s="202"/>
      <c r="K125" s="202"/>
      <c r="L125" s="169">
        <f>SUM(Social[Total project amount (EUR)])</f>
        <v>4949127961</v>
      </c>
      <c r="M125" s="169">
        <f>SUM(Social[Total RS financing amount (EUR)])</f>
        <v>3072115970</v>
      </c>
      <c r="N125" s="169">
        <f>SUM(Social[Bond eligible amount (EUR)
Σ 22+23])</f>
        <v>890728860</v>
      </c>
      <c r="O125" s="169">
        <f>SUM(Social[RS financing 2022 (EUR)])</f>
        <v>333017361</v>
      </c>
      <c r="P125" s="169">
        <f>SUM(Social[RS financing 2023 (EUR)])</f>
        <v>557711499</v>
      </c>
      <c r="Q125" s="166"/>
      <c r="T125" s="20"/>
    </row>
    <row r="126" spans="1:20" ht="59.4" customHeight="1" x14ac:dyDescent="0.25">
      <c r="C126"/>
      <c r="D126"/>
      <c r="H126"/>
      <c r="I126"/>
      <c r="T126" s="20"/>
    </row>
    <row r="127" spans="1:20" ht="54.9" customHeight="1" x14ac:dyDescent="0.25">
      <c r="C127"/>
      <c r="D127"/>
      <c r="H127"/>
      <c r="I127"/>
      <c r="T127" s="20"/>
    </row>
    <row r="128" spans="1:20" ht="54.9" customHeight="1" x14ac:dyDescent="0.25">
      <c r="C128"/>
      <c r="D128"/>
      <c r="H128"/>
      <c r="I128"/>
      <c r="T128" s="20"/>
    </row>
    <row r="129" spans="20:20" customFormat="1" ht="54.9" customHeight="1" x14ac:dyDescent="0.25">
      <c r="T129" s="20"/>
    </row>
    <row r="130" spans="20:20" customFormat="1" ht="54.9" customHeight="1" x14ac:dyDescent="0.25">
      <c r="T130" s="20"/>
    </row>
    <row r="131" spans="20:20" customFormat="1" ht="54.9" customHeight="1" x14ac:dyDescent="0.25">
      <c r="T131" s="20"/>
    </row>
    <row r="132" spans="20:20" customFormat="1" ht="54.9" customHeight="1" x14ac:dyDescent="0.25">
      <c r="T132" s="20"/>
    </row>
    <row r="133" spans="20:20" customFormat="1" ht="54.9" customHeight="1" x14ac:dyDescent="0.25">
      <c r="T133" s="20"/>
    </row>
    <row r="134" spans="20:20" customFormat="1" ht="54.9" customHeight="1" x14ac:dyDescent="0.25">
      <c r="T134" s="20"/>
    </row>
    <row r="135" spans="20:20" customFormat="1" ht="54.9" customHeight="1" x14ac:dyDescent="0.25">
      <c r="T135" s="20"/>
    </row>
    <row r="136" spans="20:20" customFormat="1" ht="54.9" customHeight="1" x14ac:dyDescent="0.25">
      <c r="T136" s="20"/>
    </row>
    <row r="137" spans="20:20" customFormat="1" ht="54.9" customHeight="1" x14ac:dyDescent="0.25">
      <c r="T137" s="20"/>
    </row>
    <row r="138" spans="20:20" customFormat="1" ht="54.9" customHeight="1" x14ac:dyDescent="0.25">
      <c r="T138" s="20"/>
    </row>
    <row r="139" spans="20:20" customFormat="1" ht="54.9" customHeight="1" x14ac:dyDescent="0.25">
      <c r="T139" s="20"/>
    </row>
    <row r="140" spans="20:20" customFormat="1" ht="54.9" customHeight="1" x14ac:dyDescent="0.25">
      <c r="T140" s="20"/>
    </row>
    <row r="141" spans="20:20" customFormat="1" ht="54.9" customHeight="1" x14ac:dyDescent="0.25">
      <c r="T141" s="20"/>
    </row>
    <row r="142" spans="20:20" customFormat="1" ht="54.9" customHeight="1" x14ac:dyDescent="0.25">
      <c r="T142" s="20"/>
    </row>
    <row r="143" spans="20:20" customFormat="1" ht="54.9" customHeight="1" x14ac:dyDescent="0.25">
      <c r="T143" s="20"/>
    </row>
    <row r="144" spans="20:20" customFormat="1" ht="54.9" customHeight="1" x14ac:dyDescent="0.25">
      <c r="T144" s="20"/>
    </row>
    <row r="145" spans="20:20" customFormat="1" ht="54.9" customHeight="1" x14ac:dyDescent="0.25">
      <c r="T145" s="20"/>
    </row>
    <row r="146" spans="20:20" customFormat="1" ht="54.9" customHeight="1" x14ac:dyDescent="0.25">
      <c r="T146" s="20"/>
    </row>
    <row r="147" spans="20:20" customFormat="1" ht="54.9" customHeight="1" x14ac:dyDescent="0.25">
      <c r="T147" s="20"/>
    </row>
    <row r="148" spans="20:20" customFormat="1" ht="54.9" customHeight="1" x14ac:dyDescent="0.25">
      <c r="T148" s="20"/>
    </row>
    <row r="149" spans="20:20" customFormat="1" ht="54.9" customHeight="1" x14ac:dyDescent="0.25">
      <c r="T149" s="20"/>
    </row>
    <row r="150" spans="20:20" customFormat="1" ht="54.9" customHeight="1" x14ac:dyDescent="0.25">
      <c r="T150" s="20"/>
    </row>
    <row r="151" spans="20:20" customFormat="1" ht="54.9" customHeight="1" x14ac:dyDescent="0.25">
      <c r="T151" s="20"/>
    </row>
    <row r="152" spans="20:20" customFormat="1" ht="54.9" customHeight="1" x14ac:dyDescent="0.25">
      <c r="T152" s="20"/>
    </row>
    <row r="153" spans="20:20" customFormat="1" ht="54.9" customHeight="1" x14ac:dyDescent="0.25">
      <c r="T153" s="20"/>
    </row>
    <row r="154" spans="20:20" customFormat="1" ht="54.9" customHeight="1" x14ac:dyDescent="0.25"/>
    <row r="155" spans="20:20" customFormat="1" ht="54.9" customHeight="1" x14ac:dyDescent="0.25"/>
    <row r="156" spans="20:20" customFormat="1" ht="54.9" customHeight="1" x14ac:dyDescent="0.25"/>
    <row r="157" spans="20:20" customFormat="1" ht="54.9" customHeight="1" x14ac:dyDescent="0.25"/>
    <row r="158" spans="20:20" customFormat="1" ht="54.9" customHeight="1" x14ac:dyDescent="0.25"/>
    <row r="159" spans="20:20" customFormat="1" ht="54.9" customHeight="1" x14ac:dyDescent="0.25"/>
    <row r="160" spans="20:20" customFormat="1" ht="54.9" customHeight="1" x14ac:dyDescent="0.25"/>
    <row r="161" customFormat="1" ht="54.9" customHeight="1" x14ac:dyDescent="0.25"/>
    <row r="162" customFormat="1" ht="54.9" customHeight="1" x14ac:dyDescent="0.25"/>
    <row r="163" customFormat="1" ht="54.9" customHeight="1" x14ac:dyDescent="0.25"/>
    <row r="164" customFormat="1" ht="54.9" customHeight="1" x14ac:dyDescent="0.25"/>
    <row r="165" customFormat="1" ht="54.9" customHeight="1" x14ac:dyDescent="0.25"/>
    <row r="166" customFormat="1" ht="54.9" customHeight="1" x14ac:dyDescent="0.25"/>
    <row r="167" customFormat="1" ht="54.9" customHeight="1" x14ac:dyDescent="0.25"/>
    <row r="168" customFormat="1" ht="54.9" customHeight="1" x14ac:dyDescent="0.25"/>
    <row r="169" customFormat="1" ht="54.9" customHeight="1" x14ac:dyDescent="0.25"/>
    <row r="170" customFormat="1" ht="54.9" customHeight="1" x14ac:dyDescent="0.25"/>
  </sheetData>
  <sortState xmlns:xlrd2="http://schemas.microsoft.com/office/spreadsheetml/2017/richdata2" ref="A2:Q96">
    <sortCondition ref="B2:B113"/>
  </sortState>
  <mergeCells count="1">
    <mergeCell ref="A125:K125"/>
  </mergeCells>
  <phoneticPr fontId="21" type="noConversion"/>
  <pageMargins left="0.7" right="0.7" top="0.75" bottom="0.75" header="0.3" footer="0.3"/>
  <pageSetup paperSize="8" scale="36" fitToHeight="0" orientation="landscape" r:id="rId1"/>
  <headerFooter>
    <oddFooter>&amp;R&amp;1#&amp;"Calibri"&amp;10&amp;K0078D7Classification : Internal</oddFooter>
  </headerFooter>
  <ignoredErrors>
    <ignoredError sqref="Q12:Q31 Q33:Q97 Q104:Q124" numberStoredAsText="1"/>
  </ignoredErrors>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BD5D20A2-6DED-4370-85F0-798B18EAC8B3}">
          <x14:formula1>
            <xm:f>'Drop list'!$F$2:$F$11</xm:f>
          </x14:formula1>
          <xm:sqref>Q2:Q124</xm:sqref>
        </x14:dataValidation>
        <x14:dataValidation type="list" allowBlank="1" showInputMessage="1" showErrorMessage="1" xr:uid="{F1FD857F-6444-49B9-90F8-9D233F9E9C25}">
          <x14:formula1>
            <xm:f>'Drop list'!$F$14:$F$18</xm:f>
          </x14:formula1>
          <xm:sqref>K2:K124</xm:sqref>
        </x14:dataValidation>
        <x14:dataValidation type="list" allowBlank="1" showInputMessage="1" showErrorMessage="1" xr:uid="{38C4FA08-8F1A-410E-B78A-4DF7CD1A9274}">
          <x14:formula1>
            <xm:f>'Drop list'!$A$16:$A$20</xm:f>
          </x14:formula1>
          <xm:sqref>E2:E124</xm:sqref>
        </x14:dataValidation>
        <x14:dataValidation type="list" allowBlank="1" showInputMessage="1" showErrorMessage="1" xr:uid="{16EDCA69-5B41-4DFB-A799-B6C0AD72293F}">
          <x14:formula1>
            <xm:f>'Drop list'!$D$2:$D$16</xm:f>
          </x14:formula1>
          <xm:sqref>G2:G124</xm:sqref>
        </x14:dataValidation>
        <x14:dataValidation type="list" allowBlank="1" showInputMessage="1" showErrorMessage="1" xr:uid="{3863E147-A699-48D0-9CC8-CC5629757B6C}">
          <x14:formula1>
            <xm:f>'Drop list'!$A$44:$A$48</xm:f>
          </x14:formula1>
          <xm:sqref>H2:H124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3D7A5-8517-4633-A0ED-18374F3D190B}">
  <dimension ref="A1:H18"/>
  <sheetViews>
    <sheetView workbookViewId="0">
      <pane xSplit="2" ySplit="1" topLeftCell="C2" activePane="bottomRight" state="frozen"/>
      <selection pane="topRight" activeCell="L30" sqref="L30"/>
      <selection pane="bottomLeft" activeCell="L30" sqref="L30"/>
      <selection pane="bottomRight" activeCell="A2" sqref="A2:A7"/>
    </sheetView>
  </sheetViews>
  <sheetFormatPr defaultColWidth="8.69921875" defaultRowHeight="13.8" x14ac:dyDescent="0.25"/>
  <cols>
    <col min="1" max="1" width="15.69921875" customWidth="1"/>
    <col min="2" max="2" width="42.19921875" bestFit="1" customWidth="1"/>
    <col min="3" max="4" width="25.09765625" customWidth="1"/>
    <col min="5" max="5" width="22.09765625" customWidth="1"/>
    <col min="6" max="6" width="22.69921875" customWidth="1"/>
    <col min="7" max="7" width="26.3984375" customWidth="1"/>
    <col min="8" max="8" width="18.8984375" customWidth="1"/>
  </cols>
  <sheetData>
    <row r="1" spans="1:8" ht="39.6" x14ac:dyDescent="0.25">
      <c r="A1" s="36" t="s">
        <v>483</v>
      </c>
      <c r="B1" s="36" t="s">
        <v>785</v>
      </c>
      <c r="C1" s="37" t="s">
        <v>11</v>
      </c>
      <c r="D1" s="37" t="s">
        <v>489</v>
      </c>
      <c r="E1" s="37" t="s">
        <v>13</v>
      </c>
      <c r="F1" s="38" t="s">
        <v>14</v>
      </c>
      <c r="G1" s="38" t="s">
        <v>15</v>
      </c>
      <c r="H1" s="39" t="s">
        <v>16</v>
      </c>
    </row>
    <row r="2" spans="1:8" ht="39.6" x14ac:dyDescent="0.25">
      <c r="A2" s="43" t="s">
        <v>820</v>
      </c>
      <c r="B2" s="40" t="s">
        <v>821</v>
      </c>
      <c r="C2" s="56" t="s">
        <v>822</v>
      </c>
      <c r="D2" s="57" t="s">
        <v>823</v>
      </c>
      <c r="E2" s="57" t="s">
        <v>823</v>
      </c>
      <c r="F2" s="50" t="s">
        <v>816</v>
      </c>
      <c r="G2" s="50" t="s">
        <v>823</v>
      </c>
      <c r="H2" s="41" t="s">
        <v>474</v>
      </c>
    </row>
    <row r="3" spans="1:8" ht="39.6" x14ac:dyDescent="0.25">
      <c r="A3" s="43" t="s">
        <v>824</v>
      </c>
      <c r="B3" s="40" t="s">
        <v>825</v>
      </c>
      <c r="C3" s="56" t="s">
        <v>826</v>
      </c>
      <c r="D3" s="57" t="s">
        <v>827</v>
      </c>
      <c r="E3" s="57" t="s">
        <v>827</v>
      </c>
      <c r="F3" s="50" t="s">
        <v>816</v>
      </c>
      <c r="G3" s="50" t="s">
        <v>827</v>
      </c>
      <c r="H3" s="41" t="s">
        <v>474</v>
      </c>
    </row>
    <row r="4" spans="1:8" ht="39.6" x14ac:dyDescent="0.25">
      <c r="A4" s="43" t="s">
        <v>828</v>
      </c>
      <c r="B4" s="40" t="s">
        <v>829</v>
      </c>
      <c r="C4" s="56" t="s">
        <v>830</v>
      </c>
      <c r="D4" s="57" t="s">
        <v>831</v>
      </c>
      <c r="E4" s="57" t="s">
        <v>831</v>
      </c>
      <c r="F4" s="50" t="s">
        <v>816</v>
      </c>
      <c r="G4" s="50" t="s">
        <v>831</v>
      </c>
      <c r="H4" s="41" t="s">
        <v>474</v>
      </c>
    </row>
    <row r="5" spans="1:8" ht="39.6" x14ac:dyDescent="0.25">
      <c r="A5" s="43" t="s">
        <v>832</v>
      </c>
      <c r="B5" s="40" t="s">
        <v>833</v>
      </c>
      <c r="C5" s="56" t="s">
        <v>834</v>
      </c>
      <c r="D5" s="57" t="s">
        <v>835</v>
      </c>
      <c r="E5" s="57" t="s">
        <v>835</v>
      </c>
      <c r="F5" s="50" t="s">
        <v>816</v>
      </c>
      <c r="G5" s="50" t="s">
        <v>835</v>
      </c>
      <c r="H5" s="41" t="s">
        <v>474</v>
      </c>
    </row>
    <row r="6" spans="1:8" ht="39.6" x14ac:dyDescent="0.25">
      <c r="A6" s="43" t="s">
        <v>836</v>
      </c>
      <c r="B6" s="40" t="s">
        <v>837</v>
      </c>
      <c r="C6" s="56" t="s">
        <v>838</v>
      </c>
      <c r="D6" s="57" t="s">
        <v>839</v>
      </c>
      <c r="E6" s="57" t="s">
        <v>839</v>
      </c>
      <c r="F6" s="50" t="s">
        <v>816</v>
      </c>
      <c r="G6" s="50" t="s">
        <v>839</v>
      </c>
      <c r="H6" s="41" t="s">
        <v>474</v>
      </c>
    </row>
    <row r="7" spans="1:8" ht="39.6" x14ac:dyDescent="0.25">
      <c r="A7" s="52" t="s">
        <v>840</v>
      </c>
      <c r="B7" s="35" t="s">
        <v>841</v>
      </c>
      <c r="C7" s="59" t="s">
        <v>842</v>
      </c>
      <c r="D7" s="51" t="s">
        <v>843</v>
      </c>
      <c r="E7" s="51" t="s">
        <v>843</v>
      </c>
      <c r="F7" s="50" t="s">
        <v>816</v>
      </c>
      <c r="G7" s="51" t="s">
        <v>843</v>
      </c>
      <c r="H7" s="42" t="s">
        <v>474</v>
      </c>
    </row>
    <row r="8" spans="1:8" x14ac:dyDescent="0.25">
      <c r="A8" s="20"/>
      <c r="B8" s="20"/>
      <c r="C8" s="53" t="s">
        <v>844</v>
      </c>
      <c r="D8" s="55" t="s">
        <v>845</v>
      </c>
      <c r="E8" s="55" t="s">
        <v>845</v>
      </c>
      <c r="F8" s="55" t="s">
        <v>816</v>
      </c>
      <c r="G8" s="55" t="s">
        <v>845</v>
      </c>
      <c r="H8" s="54"/>
    </row>
    <row r="13" spans="1:8" x14ac:dyDescent="0.25">
      <c r="C13" s="17"/>
    </row>
    <row r="14" spans="1:8" x14ac:dyDescent="0.25">
      <c r="F14" s="17"/>
    </row>
    <row r="15" spans="1:8" x14ac:dyDescent="0.25">
      <c r="F15" s="17"/>
    </row>
    <row r="16" spans="1:8" x14ac:dyDescent="0.25">
      <c r="F16" s="17"/>
    </row>
    <row r="17" spans="6:6" x14ac:dyDescent="0.25">
      <c r="F17" s="17"/>
    </row>
    <row r="18" spans="6:6" x14ac:dyDescent="0.25">
      <c r="F18" s="17"/>
    </row>
  </sheetData>
  <pageMargins left="0.7" right="0.7" top="0.75" bottom="0.75" header="0.3" footer="0.3"/>
  <pageSetup paperSize="9" orientation="portrait" r:id="rId1"/>
  <ignoredErrors>
    <ignoredError sqref="C3:C7 D3:D7 E3:E7 F2:F7 G3:G7" numberStoredAsText="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26DE2-630B-462D-97AC-BCCBFC9F894A}">
  <dimension ref="A1:H13"/>
  <sheetViews>
    <sheetView workbookViewId="0">
      <pane xSplit="2" ySplit="1" topLeftCell="C2" activePane="bottomRight" state="frozen"/>
      <selection pane="topRight" activeCell="K9" sqref="K9"/>
      <selection pane="bottomLeft" activeCell="K9" sqref="K9"/>
      <selection pane="bottomRight" activeCell="A2" sqref="A2:A5"/>
    </sheetView>
  </sheetViews>
  <sheetFormatPr defaultColWidth="8.69921875" defaultRowHeight="13.8" x14ac:dyDescent="0.25"/>
  <cols>
    <col min="1" max="1" width="15.69921875" customWidth="1"/>
    <col min="2" max="2" width="42.19921875" bestFit="1" customWidth="1"/>
    <col min="3" max="4" width="25.09765625" customWidth="1"/>
    <col min="5" max="5" width="22.09765625" customWidth="1"/>
    <col min="6" max="6" width="22.69921875" customWidth="1"/>
    <col min="7" max="7" width="26.3984375" customWidth="1"/>
    <col min="8" max="8" width="18.8984375" customWidth="1"/>
  </cols>
  <sheetData>
    <row r="1" spans="1:8" ht="39.6" x14ac:dyDescent="0.25">
      <c r="A1" s="36" t="s">
        <v>483</v>
      </c>
      <c r="B1" s="36" t="s">
        <v>785</v>
      </c>
      <c r="C1" s="37" t="s">
        <v>11</v>
      </c>
      <c r="D1" s="37" t="s">
        <v>489</v>
      </c>
      <c r="E1" s="37" t="s">
        <v>13</v>
      </c>
      <c r="F1" s="38" t="s">
        <v>14</v>
      </c>
      <c r="G1" s="38" t="s">
        <v>15</v>
      </c>
      <c r="H1" s="39" t="s">
        <v>16</v>
      </c>
    </row>
    <row r="2" spans="1:8" ht="39.6" x14ac:dyDescent="0.25">
      <c r="A2" s="43" t="s">
        <v>846</v>
      </c>
      <c r="B2" s="40" t="s">
        <v>847</v>
      </c>
      <c r="C2" s="82">
        <v>1725665.95</v>
      </c>
      <c r="D2" s="83">
        <v>690266</v>
      </c>
      <c r="E2" s="83">
        <f>+Tabela13478[[#This Row],[RS financing 2022 (EUR)]]+Tabela13478[[#This Row],[RS financing 2023 (EUR)]]</f>
        <v>690266</v>
      </c>
      <c r="F2" s="44" t="s">
        <v>816</v>
      </c>
      <c r="G2" s="146">
        <v>690266</v>
      </c>
      <c r="H2" s="41" t="s">
        <v>474</v>
      </c>
    </row>
    <row r="3" spans="1:8" ht="39.6" x14ac:dyDescent="0.25">
      <c r="A3" s="43" t="s">
        <v>848</v>
      </c>
      <c r="B3" s="40" t="s">
        <v>849</v>
      </c>
      <c r="C3" s="82">
        <v>517440.21</v>
      </c>
      <c r="D3" s="83">
        <v>206976</v>
      </c>
      <c r="E3" s="83">
        <f>+Tabela13478[[#This Row],[RS financing 2022 (EUR)]]+Tabela13478[[#This Row],[RS financing 2023 (EUR)]]</f>
        <v>206976</v>
      </c>
      <c r="F3" s="44" t="s">
        <v>816</v>
      </c>
      <c r="G3" s="146">
        <v>206976</v>
      </c>
      <c r="H3" s="41" t="s">
        <v>474</v>
      </c>
    </row>
    <row r="4" spans="1:8" ht="39.6" x14ac:dyDescent="0.25">
      <c r="A4" s="43" t="s">
        <v>850</v>
      </c>
      <c r="B4" s="40" t="s">
        <v>851</v>
      </c>
      <c r="C4" s="82">
        <v>866972.19</v>
      </c>
      <c r="D4" s="83">
        <v>346788</v>
      </c>
      <c r="E4" s="83">
        <f>+Tabela13478[[#This Row],[RS financing 2022 (EUR)]]+Tabela13478[[#This Row],[RS financing 2023 (EUR)]]</f>
        <v>346788</v>
      </c>
      <c r="F4" s="44" t="s">
        <v>816</v>
      </c>
      <c r="G4" s="146">
        <v>346788</v>
      </c>
      <c r="H4" s="41" t="s">
        <v>474</v>
      </c>
    </row>
    <row r="5" spans="1:8" ht="39.6" x14ac:dyDescent="0.25">
      <c r="A5" s="52" t="s">
        <v>852</v>
      </c>
      <c r="B5" s="35" t="s">
        <v>853</v>
      </c>
      <c r="C5" s="84">
        <v>1792069</v>
      </c>
      <c r="D5" s="45">
        <v>716818</v>
      </c>
      <c r="E5" s="83">
        <f>+Tabela13478[[#This Row],[RS financing 2022 (EUR)]]+Tabela13478[[#This Row],[RS financing 2023 (EUR)]]</f>
        <v>716818</v>
      </c>
      <c r="F5" s="45" t="s">
        <v>816</v>
      </c>
      <c r="G5" s="147">
        <v>716818</v>
      </c>
      <c r="H5" s="42" t="s">
        <v>474</v>
      </c>
    </row>
    <row r="6" spans="1:8" x14ac:dyDescent="0.25">
      <c r="A6" s="20"/>
      <c r="B6" s="20"/>
      <c r="C6" s="85">
        <f>SUBTOTAL(109,Tabela13478[Total project amount (EUR)])</f>
        <v>4902147.3499999996</v>
      </c>
      <c r="D6" s="85">
        <f>SUBTOTAL(109,Tabela13478[RS financing amount (EUR)])</f>
        <v>1960848</v>
      </c>
      <c r="E6" s="85">
        <f>SUBTOTAL(109,Tabela13478[Bond eligible amount (EUR)
Σ 22+23])</f>
        <v>1960848</v>
      </c>
      <c r="F6" s="85">
        <f>SUBTOTAL(109,Tabela13478[RS financing 2022 (EUR)])</f>
        <v>0</v>
      </c>
      <c r="G6" s="85">
        <f>SUBTOTAL(109,Tabela13478[RS financing 2023 (EUR)])</f>
        <v>1960848</v>
      </c>
      <c r="H6" s="54"/>
    </row>
    <row r="10" spans="1:8" x14ac:dyDescent="0.25">
      <c r="D10" s="17"/>
    </row>
    <row r="11" spans="1:8" x14ac:dyDescent="0.25">
      <c r="G11" s="17"/>
    </row>
    <row r="12" spans="1:8" x14ac:dyDescent="0.25">
      <c r="G12" s="17"/>
    </row>
    <row r="13" spans="1:8" x14ac:dyDescent="0.25">
      <c r="G13" s="17"/>
    </row>
  </sheetData>
  <pageMargins left="0.7" right="0.7" top="0.75" bottom="0.75" header="0.3" footer="0.3"/>
  <pageSetup paperSize="9" orientation="portrait" r:id="rId1"/>
  <ignoredErrors>
    <ignoredError sqref="F2:F5" numberStoredAsText="1"/>
  </ignoredError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AAC8-7497-4124-BAFE-05F69380E886}">
  <dimension ref="A1:H15"/>
  <sheetViews>
    <sheetView workbookViewId="0">
      <pane xSplit="2" ySplit="1" topLeftCell="C2" activePane="bottomRight" state="frozen"/>
      <selection pane="topRight" activeCell="L30" sqref="L30"/>
      <selection pane="bottomLeft" activeCell="L30" sqref="L30"/>
      <selection pane="bottomRight" activeCell="A2" sqref="A2:A14"/>
    </sheetView>
  </sheetViews>
  <sheetFormatPr defaultColWidth="8.69921875" defaultRowHeight="13.8" x14ac:dyDescent="0.25"/>
  <cols>
    <col min="1" max="1" width="15.69921875" customWidth="1"/>
    <col min="2" max="2" width="42.19921875" bestFit="1" customWidth="1"/>
    <col min="3" max="4" width="25.09765625" customWidth="1"/>
    <col min="5" max="5" width="22.09765625" customWidth="1"/>
    <col min="6" max="6" width="22.69921875" customWidth="1"/>
    <col min="7" max="7" width="26.3984375" customWidth="1"/>
    <col min="8" max="8" width="18.8984375" customWidth="1"/>
  </cols>
  <sheetData>
    <row r="1" spans="1:8" ht="39.6" x14ac:dyDescent="0.25">
      <c r="A1" s="36" t="s">
        <v>483</v>
      </c>
      <c r="B1" s="36" t="s">
        <v>785</v>
      </c>
      <c r="C1" s="37" t="s">
        <v>11</v>
      </c>
      <c r="D1" s="37" t="s">
        <v>489</v>
      </c>
      <c r="E1" s="37" t="s">
        <v>13</v>
      </c>
      <c r="F1" s="38" t="s">
        <v>14</v>
      </c>
      <c r="G1" s="38" t="s">
        <v>15</v>
      </c>
      <c r="H1" s="39" t="s">
        <v>16</v>
      </c>
    </row>
    <row r="2" spans="1:8" ht="39.6" x14ac:dyDescent="0.25">
      <c r="A2" s="43" t="s">
        <v>854</v>
      </c>
      <c r="B2" s="40" t="s">
        <v>855</v>
      </c>
      <c r="C2" s="83">
        <v>643272.54</v>
      </c>
      <c r="D2" s="83">
        <v>257309</v>
      </c>
      <c r="E2" s="83">
        <f>+Tabela134789[[#This Row],[RS financing 2022 (EUR)]]+Tabela134789[[#This Row],[RS financing 2023 (EUR)]]</f>
        <v>257305</v>
      </c>
      <c r="F2" s="44">
        <v>0</v>
      </c>
      <c r="G2" s="146">
        <v>257305</v>
      </c>
      <c r="H2" s="41" t="s">
        <v>474</v>
      </c>
    </row>
    <row r="3" spans="1:8" ht="39.6" x14ac:dyDescent="0.25">
      <c r="A3" s="43" t="s">
        <v>856</v>
      </c>
      <c r="B3" s="40" t="s">
        <v>849</v>
      </c>
      <c r="C3" s="83">
        <v>545132.05000000005</v>
      </c>
      <c r="D3" s="83">
        <v>218052</v>
      </c>
      <c r="E3" s="83">
        <f>+Tabela134789[[#This Row],[RS financing 2022 (EUR)]]+Tabela134789[[#This Row],[RS financing 2023 (EUR)]]</f>
        <v>218052</v>
      </c>
      <c r="F3" s="44">
        <v>0</v>
      </c>
      <c r="G3" s="146">
        <v>218052</v>
      </c>
      <c r="H3" s="41" t="s">
        <v>474</v>
      </c>
    </row>
    <row r="4" spans="1:8" ht="39.6" x14ac:dyDescent="0.25">
      <c r="A4" s="43" t="s">
        <v>857</v>
      </c>
      <c r="B4" s="40" t="s">
        <v>858</v>
      </c>
      <c r="C4" s="83">
        <v>692754.27</v>
      </c>
      <c r="D4" s="83">
        <v>277101</v>
      </c>
      <c r="E4" s="83">
        <f>+Tabela134789[[#This Row],[RS financing 2022 (EUR)]]+Tabela134789[[#This Row],[RS financing 2023 (EUR)]]</f>
        <v>277101</v>
      </c>
      <c r="F4" s="44">
        <v>0</v>
      </c>
      <c r="G4" s="146">
        <v>277101</v>
      </c>
      <c r="H4" s="41" t="s">
        <v>474</v>
      </c>
    </row>
    <row r="5" spans="1:8" ht="39.6" x14ac:dyDescent="0.25">
      <c r="A5" s="43" t="s">
        <v>859</v>
      </c>
      <c r="B5" s="40" t="s">
        <v>860</v>
      </c>
      <c r="C5" s="83">
        <v>1697031.16</v>
      </c>
      <c r="D5" s="83">
        <v>678812</v>
      </c>
      <c r="E5" s="83">
        <f>+Tabela134789[[#This Row],[RS financing 2022 (EUR)]]+Tabela134789[[#This Row],[RS financing 2023 (EUR)]]</f>
        <v>678812</v>
      </c>
      <c r="F5" s="44">
        <v>0</v>
      </c>
      <c r="G5" s="44">
        <v>678812</v>
      </c>
      <c r="H5" s="41" t="s">
        <v>474</v>
      </c>
    </row>
    <row r="6" spans="1:8" ht="39.6" x14ac:dyDescent="0.25">
      <c r="A6" s="43" t="s">
        <v>861</v>
      </c>
      <c r="B6" s="40" t="s">
        <v>851</v>
      </c>
      <c r="C6" s="83">
        <v>724607.61</v>
      </c>
      <c r="D6" s="83">
        <v>289843</v>
      </c>
      <c r="E6" s="83">
        <f>+Tabela134789[[#This Row],[RS financing 2022 (EUR)]]+Tabela134789[[#This Row],[RS financing 2023 (EUR)]]</f>
        <v>289843</v>
      </c>
      <c r="F6" s="44">
        <v>0</v>
      </c>
      <c r="G6" s="44">
        <v>289843</v>
      </c>
      <c r="H6" s="41" t="s">
        <v>474</v>
      </c>
    </row>
    <row r="7" spans="1:8" ht="39.6" x14ac:dyDescent="0.25">
      <c r="A7" s="43" t="s">
        <v>862</v>
      </c>
      <c r="B7" s="40" t="s">
        <v>813</v>
      </c>
      <c r="C7" s="83">
        <v>685633.14</v>
      </c>
      <c r="D7" s="83">
        <v>274253</v>
      </c>
      <c r="E7" s="83">
        <f>+Tabela134789[[#This Row],[RS financing 2022 (EUR)]]+Tabela134789[[#This Row],[RS financing 2023 (EUR)]]</f>
        <v>274253</v>
      </c>
      <c r="F7" s="44">
        <v>0</v>
      </c>
      <c r="G7" s="44">
        <v>274253</v>
      </c>
      <c r="H7" s="41" t="s">
        <v>474</v>
      </c>
    </row>
    <row r="8" spans="1:8" ht="39.6" x14ac:dyDescent="0.25">
      <c r="A8" s="43" t="s">
        <v>863</v>
      </c>
      <c r="B8" s="40" t="s">
        <v>864</v>
      </c>
      <c r="C8" s="83">
        <v>942281.99</v>
      </c>
      <c r="D8" s="83">
        <v>376912</v>
      </c>
      <c r="E8" s="83">
        <f>+Tabela134789[[#This Row],[RS financing 2022 (EUR)]]+Tabela134789[[#This Row],[RS financing 2023 (EUR)]]</f>
        <v>376912</v>
      </c>
      <c r="F8" s="44">
        <v>0</v>
      </c>
      <c r="G8" s="44">
        <v>376912</v>
      </c>
      <c r="H8" s="41" t="s">
        <v>474</v>
      </c>
    </row>
    <row r="9" spans="1:8" ht="39.6" x14ac:dyDescent="0.25">
      <c r="A9" s="43" t="s">
        <v>865</v>
      </c>
      <c r="B9" s="40" t="s">
        <v>866</v>
      </c>
      <c r="C9" s="83">
        <v>1229655.57</v>
      </c>
      <c r="D9" s="83">
        <v>491862</v>
      </c>
      <c r="E9" s="83">
        <f>+Tabela134789[[#This Row],[RS financing 2022 (EUR)]]+Tabela134789[[#This Row],[RS financing 2023 (EUR)]]</f>
        <v>491862</v>
      </c>
      <c r="F9" s="44">
        <v>0</v>
      </c>
      <c r="G9" s="44">
        <v>491862</v>
      </c>
      <c r="H9" s="41" t="s">
        <v>474</v>
      </c>
    </row>
    <row r="10" spans="1:8" ht="39.6" x14ac:dyDescent="0.25">
      <c r="A10" s="43" t="s">
        <v>867</v>
      </c>
      <c r="B10" s="40" t="s">
        <v>837</v>
      </c>
      <c r="C10" s="83">
        <v>1323820.5900000001</v>
      </c>
      <c r="D10" s="83">
        <v>529528</v>
      </c>
      <c r="E10" s="83">
        <f>+Tabela134789[[#This Row],[RS financing 2022 (EUR)]]+Tabela134789[[#This Row],[RS financing 2023 (EUR)]]</f>
        <v>529528</v>
      </c>
      <c r="F10" s="44">
        <v>0</v>
      </c>
      <c r="G10" s="44">
        <v>529528</v>
      </c>
      <c r="H10" s="41" t="s">
        <v>474</v>
      </c>
    </row>
    <row r="11" spans="1:8" ht="39.6" x14ac:dyDescent="0.25">
      <c r="A11" s="43" t="s">
        <v>868</v>
      </c>
      <c r="B11" s="40" t="s">
        <v>869</v>
      </c>
      <c r="C11" s="83">
        <v>886023.28</v>
      </c>
      <c r="D11" s="83">
        <v>354409</v>
      </c>
      <c r="E11" s="83">
        <f>+Tabela134789[[#This Row],[RS financing 2022 (EUR)]]+Tabela134789[[#This Row],[RS financing 2023 (EUR)]]</f>
        <v>354409</v>
      </c>
      <c r="F11" s="44">
        <v>0</v>
      </c>
      <c r="G11" s="44">
        <v>354409</v>
      </c>
      <c r="H11" s="41" t="s">
        <v>474</v>
      </c>
    </row>
    <row r="12" spans="1:8" ht="39.6" x14ac:dyDescent="0.25">
      <c r="A12" s="43" t="s">
        <v>870</v>
      </c>
      <c r="B12" s="40" t="s">
        <v>871</v>
      </c>
      <c r="C12" s="83">
        <v>677597.3</v>
      </c>
      <c r="D12" s="83">
        <v>271038</v>
      </c>
      <c r="E12" s="83">
        <f>+Tabela134789[[#This Row],[RS financing 2022 (EUR)]]+Tabela134789[[#This Row],[RS financing 2023 (EUR)]]</f>
        <v>271038</v>
      </c>
      <c r="F12" s="44">
        <v>0</v>
      </c>
      <c r="G12" s="44">
        <v>271038</v>
      </c>
      <c r="H12" s="41" t="s">
        <v>474</v>
      </c>
    </row>
    <row r="13" spans="1:8" ht="39.6" x14ac:dyDescent="0.25">
      <c r="A13" s="43" t="s">
        <v>872</v>
      </c>
      <c r="B13" s="40" t="s">
        <v>873</v>
      </c>
      <c r="C13" s="83">
        <v>686090.56</v>
      </c>
      <c r="D13" s="83">
        <v>274436</v>
      </c>
      <c r="E13" s="83">
        <f>+Tabela134789[[#This Row],[RS financing 2022 (EUR)]]+Tabela134789[[#This Row],[RS financing 2023 (EUR)]]</f>
        <v>274436</v>
      </c>
      <c r="F13" s="44">
        <v>0</v>
      </c>
      <c r="G13" s="44">
        <v>274436</v>
      </c>
      <c r="H13" s="41" t="s">
        <v>474</v>
      </c>
    </row>
    <row r="14" spans="1:8" ht="39.6" x14ac:dyDescent="0.25">
      <c r="A14" s="52" t="s">
        <v>874</v>
      </c>
      <c r="B14" s="35" t="s">
        <v>875</v>
      </c>
      <c r="C14" s="45">
        <v>6246760.8399999999</v>
      </c>
      <c r="D14" s="45">
        <v>2455586</v>
      </c>
      <c r="E14" s="83">
        <f>+Tabela134789[[#This Row],[RS financing 2022 (EUR)]]+Tabela134789[[#This Row],[RS financing 2023 (EUR)]]</f>
        <v>2455586</v>
      </c>
      <c r="F14" s="45">
        <v>0</v>
      </c>
      <c r="G14" s="45">
        <v>2455586</v>
      </c>
      <c r="H14" s="42" t="s">
        <v>474</v>
      </c>
    </row>
    <row r="15" spans="1:8" x14ac:dyDescent="0.25">
      <c r="A15" s="20"/>
      <c r="B15" s="20"/>
      <c r="C15" s="85">
        <f>SUBTOTAL(109,Tabela134789[Total project amount (EUR)])</f>
        <v>16980660.899999999</v>
      </c>
      <c r="D15" s="85">
        <f>SUBTOTAL(109,Tabela134789[RS financing amount (EUR)])</f>
        <v>6749141</v>
      </c>
      <c r="E15" s="85">
        <f>SUBTOTAL(109,Tabela134789[Bond eligible amount (EUR)
Σ 22+23])</f>
        <v>6749137</v>
      </c>
      <c r="F15" s="85">
        <f>SUBTOTAL(109,Tabela134789[RS financing 2022 (EUR)])</f>
        <v>0</v>
      </c>
      <c r="G15" s="85">
        <f>SUBTOTAL(109,Tabela134789[RS financing 2023 (EUR)])</f>
        <v>6749137</v>
      </c>
      <c r="H15" s="54"/>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1C56-DC4B-4541-A930-79668A4D8AF6}">
  <dimension ref="A1:G17"/>
  <sheetViews>
    <sheetView workbookViewId="0">
      <selection activeCell="A2" sqref="A2:A9"/>
    </sheetView>
  </sheetViews>
  <sheetFormatPr defaultColWidth="8.69921875" defaultRowHeight="13.2" x14ac:dyDescent="0.25"/>
  <cols>
    <col min="1" max="1" width="11.69921875" style="10" bestFit="1" customWidth="1"/>
    <col min="2" max="2" width="58.19921875" style="10" customWidth="1"/>
    <col min="3" max="3" width="23.69921875" style="10" customWidth="1"/>
    <col min="4" max="4" width="24" style="10" customWidth="1"/>
    <col min="5" max="5" width="15.69921875" style="10" customWidth="1"/>
    <col min="6" max="7" width="21.5" style="10" customWidth="1"/>
    <col min="8" max="16384" width="8.69921875" style="10"/>
  </cols>
  <sheetData>
    <row r="1" spans="1:7" ht="39.6" x14ac:dyDescent="0.25">
      <c r="A1" s="27" t="s">
        <v>483</v>
      </c>
      <c r="B1" s="28" t="s">
        <v>785</v>
      </c>
      <c r="C1" s="28" t="s">
        <v>11</v>
      </c>
      <c r="D1" s="28" t="s">
        <v>489</v>
      </c>
      <c r="E1" s="28" t="s">
        <v>13</v>
      </c>
      <c r="F1" s="29" t="s">
        <v>14</v>
      </c>
      <c r="G1" s="29" t="s">
        <v>15</v>
      </c>
    </row>
    <row r="2" spans="1:7" x14ac:dyDescent="0.25">
      <c r="A2" s="26" t="s">
        <v>876</v>
      </c>
      <c r="B2" s="10" t="s">
        <v>877</v>
      </c>
      <c r="C2" s="140">
        <v>539225.03</v>
      </c>
      <c r="D2" s="140">
        <v>45208.800000000003</v>
      </c>
      <c r="E2" s="140">
        <f>+Tabela19[[#This Row],[RS financing 2022 (EUR)]]+Tabela19[[#This Row],[RS financing 2023 (EUR)]]</f>
        <v>45208.800000000003</v>
      </c>
      <c r="F2" s="140">
        <v>45208.800000000003</v>
      </c>
      <c r="G2" s="140">
        <v>0</v>
      </c>
    </row>
    <row r="3" spans="1:7" x14ac:dyDescent="0.25">
      <c r="A3" s="26" t="s">
        <v>878</v>
      </c>
      <c r="B3" s="10" t="s">
        <v>879</v>
      </c>
      <c r="C3" s="140">
        <v>2217127.15</v>
      </c>
      <c r="D3" s="140">
        <v>642183.98</v>
      </c>
      <c r="E3" s="140">
        <f>+Tabela19[[#This Row],[RS financing 2022 (EUR)]]+Tabela19[[#This Row],[RS financing 2023 (EUR)]]</f>
        <v>82023.58</v>
      </c>
      <c r="F3" s="140">
        <v>45463.29</v>
      </c>
      <c r="G3" s="140">
        <v>36560.29</v>
      </c>
    </row>
    <row r="4" spans="1:7" x14ac:dyDescent="0.25">
      <c r="A4" s="26" t="s">
        <v>880</v>
      </c>
      <c r="B4" s="10" t="s">
        <v>881</v>
      </c>
      <c r="C4" s="140">
        <v>2870116.58</v>
      </c>
      <c r="D4" s="140">
        <v>169325.19</v>
      </c>
      <c r="E4" s="140">
        <f>+Tabela19[[#This Row],[RS financing 2022 (EUR)]]+Tabela19[[#This Row],[RS financing 2023 (EUR)]]</f>
        <v>132556.31</v>
      </c>
      <c r="F4" s="140">
        <v>101796.66</v>
      </c>
      <c r="G4" s="140">
        <v>30759.65</v>
      </c>
    </row>
    <row r="5" spans="1:7" x14ac:dyDescent="0.25">
      <c r="A5" s="26" t="s">
        <v>882</v>
      </c>
      <c r="B5" s="10" t="s">
        <v>883</v>
      </c>
      <c r="C5" s="140">
        <v>1382393.9</v>
      </c>
      <c r="D5" s="140">
        <v>25182.400000000001</v>
      </c>
      <c r="E5" s="140">
        <f>+Tabela19[[#This Row],[RS financing 2022 (EUR)]]+Tabela19[[#This Row],[RS financing 2023 (EUR)]]</f>
        <v>25182.400000000001</v>
      </c>
      <c r="F5" s="140">
        <v>25182.400000000001</v>
      </c>
      <c r="G5" s="140">
        <v>0</v>
      </c>
    </row>
    <row r="6" spans="1:7" x14ac:dyDescent="0.25">
      <c r="A6" s="26" t="s">
        <v>884</v>
      </c>
      <c r="B6" s="10" t="s">
        <v>885</v>
      </c>
      <c r="C6" s="140">
        <v>2041153.78</v>
      </c>
      <c r="D6" s="140">
        <v>234042.79</v>
      </c>
      <c r="E6" s="140">
        <f>+Tabela19[[#This Row],[RS financing 2022 (EUR)]]+Tabela19[[#This Row],[RS financing 2023 (EUR)]]</f>
        <v>234042.79</v>
      </c>
      <c r="F6" s="140">
        <v>210000</v>
      </c>
      <c r="G6" s="140">
        <v>24042.79</v>
      </c>
    </row>
    <row r="7" spans="1:7" x14ac:dyDescent="0.25">
      <c r="A7" s="26" t="s">
        <v>886</v>
      </c>
      <c r="B7" s="10" t="s">
        <v>887</v>
      </c>
      <c r="C7" s="140">
        <v>2782960.59</v>
      </c>
      <c r="D7" s="140">
        <v>315803.88</v>
      </c>
      <c r="E7" s="140">
        <f>+Tabela19[[#This Row],[RS financing 2022 (EUR)]]+Tabela19[[#This Row],[RS financing 2023 (EUR)]]</f>
        <v>302454.08999999997</v>
      </c>
      <c r="F7" s="140">
        <v>74519.91</v>
      </c>
      <c r="G7" s="140">
        <v>227934.18</v>
      </c>
    </row>
    <row r="8" spans="1:7" x14ac:dyDescent="0.25">
      <c r="A8" s="26" t="s">
        <v>888</v>
      </c>
      <c r="B8" s="10" t="s">
        <v>889</v>
      </c>
      <c r="C8" s="140">
        <v>2960523.71</v>
      </c>
      <c r="D8" s="140">
        <v>315856.90999999997</v>
      </c>
      <c r="E8" s="140">
        <f>+Tabela19[[#This Row],[RS financing 2022 (EUR)]]+Tabela19[[#This Row],[RS financing 2023 (EUR)]]</f>
        <v>315856.90999999997</v>
      </c>
      <c r="F8" s="140">
        <v>126932.55</v>
      </c>
      <c r="G8" s="140">
        <v>188924.36</v>
      </c>
    </row>
    <row r="9" spans="1:7" x14ac:dyDescent="0.25">
      <c r="A9" s="26" t="s">
        <v>890</v>
      </c>
      <c r="B9" s="10" t="s">
        <v>891</v>
      </c>
      <c r="C9" s="140">
        <v>4594095.9400000004</v>
      </c>
      <c r="D9" s="140">
        <v>451199.85</v>
      </c>
      <c r="E9" s="140">
        <f>+Tabela19[[#This Row],[RS financing 2022 (EUR)]]+Tabela19[[#This Row],[RS financing 2023 (EUR)]]</f>
        <v>451199.85</v>
      </c>
      <c r="F9" s="140">
        <v>168354.42</v>
      </c>
      <c r="G9" s="140">
        <v>282845.43</v>
      </c>
    </row>
    <row r="10" spans="1:7" x14ac:dyDescent="0.25">
      <c r="A10" s="11"/>
      <c r="B10" s="11"/>
      <c r="C10" s="141">
        <f>SUM(C2:C9)</f>
        <v>19387596.68</v>
      </c>
      <c r="D10" s="141">
        <f t="shared" ref="D10:G10" si="0">SUM(D2:D9)</f>
        <v>2198803.7999999998</v>
      </c>
      <c r="E10" s="141">
        <f t="shared" si="0"/>
        <v>1588524.73</v>
      </c>
      <c r="F10" s="141">
        <f t="shared" si="0"/>
        <v>797458.03000000014</v>
      </c>
      <c r="G10" s="141">
        <f t="shared" si="0"/>
        <v>791066.7</v>
      </c>
    </row>
    <row r="14" spans="1:7" x14ac:dyDescent="0.25">
      <c r="B14" s="11"/>
    </row>
    <row r="16" spans="1:7" x14ac:dyDescent="0.25">
      <c r="B16" s="21"/>
    </row>
    <row r="17" spans="2:2" x14ac:dyDescent="0.25">
      <c r="B17" s="22"/>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60214-368E-45A3-A0FD-01B8EB0F0E46}">
  <dimension ref="A1:G9"/>
  <sheetViews>
    <sheetView workbookViewId="0">
      <selection activeCell="A2" sqref="A2:A4"/>
    </sheetView>
  </sheetViews>
  <sheetFormatPr defaultColWidth="8.69921875" defaultRowHeight="13.2" x14ac:dyDescent="0.25"/>
  <cols>
    <col min="1" max="1" width="11.69921875" style="10" bestFit="1" customWidth="1"/>
    <col min="2" max="2" width="51" style="10" bestFit="1" customWidth="1"/>
    <col min="3" max="3" width="23.69921875" style="10" customWidth="1"/>
    <col min="4" max="4" width="24" style="10" customWidth="1"/>
    <col min="5" max="5" width="15.69921875" style="10" customWidth="1"/>
    <col min="6" max="7" width="21.5" style="10" customWidth="1"/>
    <col min="8" max="16384" width="8.69921875" style="10"/>
  </cols>
  <sheetData>
    <row r="1" spans="1:7" ht="39.6" x14ac:dyDescent="0.25">
      <c r="A1" s="27" t="s">
        <v>483</v>
      </c>
      <c r="B1" s="28" t="s">
        <v>785</v>
      </c>
      <c r="C1" s="28" t="s">
        <v>11</v>
      </c>
      <c r="D1" s="28" t="s">
        <v>489</v>
      </c>
      <c r="E1" s="28" t="s">
        <v>13</v>
      </c>
      <c r="F1" s="29" t="s">
        <v>14</v>
      </c>
      <c r="G1" s="29" t="s">
        <v>15</v>
      </c>
    </row>
    <row r="2" spans="1:7" x14ac:dyDescent="0.25">
      <c r="A2" s="10" t="s">
        <v>892</v>
      </c>
      <c r="B2" s="10" t="s">
        <v>893</v>
      </c>
      <c r="C2" s="140">
        <v>6602443.71</v>
      </c>
      <c r="D2" s="140">
        <v>391319.28</v>
      </c>
      <c r="E2" s="140">
        <v>219791.31</v>
      </c>
      <c r="F2" s="140">
        <v>0</v>
      </c>
      <c r="G2" s="140">
        <v>219791.31</v>
      </c>
    </row>
    <row r="3" spans="1:7" x14ac:dyDescent="0.25">
      <c r="A3" s="10" t="s">
        <v>894</v>
      </c>
      <c r="B3" s="10" t="s">
        <v>895</v>
      </c>
      <c r="C3" s="140">
        <v>440487.66</v>
      </c>
      <c r="D3" s="140">
        <v>52641.16</v>
      </c>
      <c r="E3" s="140">
        <v>153350.19</v>
      </c>
      <c r="F3" s="140">
        <v>100709.03</v>
      </c>
      <c r="G3" s="140">
        <v>52641.16</v>
      </c>
    </row>
    <row r="4" spans="1:7" x14ac:dyDescent="0.25">
      <c r="A4" s="10" t="s">
        <v>896</v>
      </c>
      <c r="B4" s="10" t="s">
        <v>897</v>
      </c>
      <c r="C4" s="140">
        <v>6161460.2300000004</v>
      </c>
      <c r="D4" s="140">
        <v>27314.66</v>
      </c>
      <c r="E4" s="140">
        <v>27314.66</v>
      </c>
      <c r="F4" s="140">
        <v>0</v>
      </c>
      <c r="G4" s="140">
        <v>27314.66</v>
      </c>
    </row>
    <row r="5" spans="1:7" x14ac:dyDescent="0.25">
      <c r="A5" s="11"/>
      <c r="B5" s="11"/>
      <c r="C5" s="141">
        <f>SUM(C2:C4)</f>
        <v>13204391.600000001</v>
      </c>
      <c r="D5" s="141">
        <f t="shared" ref="D5:G5" si="0">SUM(D2:D4)</f>
        <v>471275.10000000003</v>
      </c>
      <c r="E5" s="141">
        <f t="shared" si="0"/>
        <v>400456.16</v>
      </c>
      <c r="F5" s="141">
        <f t="shared" si="0"/>
        <v>100709.03</v>
      </c>
      <c r="G5" s="141">
        <f t="shared" si="0"/>
        <v>299747.12999999995</v>
      </c>
    </row>
    <row r="9" spans="1:7" x14ac:dyDescent="0.25">
      <c r="B9" s="11" t="s">
        <v>898</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27B8-ED7F-4C8C-B648-D0AA546B7B52}">
  <dimension ref="A1:G14"/>
  <sheetViews>
    <sheetView workbookViewId="0">
      <selection activeCell="A2" sqref="A2:A11"/>
    </sheetView>
  </sheetViews>
  <sheetFormatPr defaultColWidth="8.69921875" defaultRowHeight="13.8" x14ac:dyDescent="0.25"/>
  <cols>
    <col min="1" max="1" width="14" customWidth="1"/>
    <col min="2" max="2" width="57.8984375" bestFit="1" customWidth="1"/>
    <col min="3" max="4" width="24.09765625" customWidth="1"/>
    <col min="5" max="5" width="15.69921875" customWidth="1"/>
    <col min="6" max="7" width="21.69921875" customWidth="1"/>
    <col min="8" max="8" width="21.5" customWidth="1"/>
  </cols>
  <sheetData>
    <row r="1" spans="1:7" ht="39.6" x14ac:dyDescent="0.25">
      <c r="A1" s="30" t="s">
        <v>483</v>
      </c>
      <c r="B1" s="30" t="s">
        <v>785</v>
      </c>
      <c r="C1" s="30" t="s">
        <v>11</v>
      </c>
      <c r="D1" s="30" t="s">
        <v>489</v>
      </c>
      <c r="E1" s="30" t="s">
        <v>13</v>
      </c>
      <c r="F1" s="31" t="s">
        <v>14</v>
      </c>
      <c r="G1" s="31" t="s">
        <v>15</v>
      </c>
    </row>
    <row r="2" spans="1:7" x14ac:dyDescent="0.25">
      <c r="A2" s="32" t="s">
        <v>899</v>
      </c>
      <c r="B2" s="32" t="s">
        <v>900</v>
      </c>
      <c r="C2" s="86">
        <v>1174866.67</v>
      </c>
      <c r="D2" s="86">
        <v>134615.81</v>
      </c>
      <c r="E2" s="86">
        <f>+Tabela2[[#This Row],[RS financing 2022 (EUR)]]+Tabela2[[#This Row],[RS financing 2023 (EUR)]]</f>
        <v>28550.51</v>
      </c>
      <c r="F2" s="86">
        <v>28550.51</v>
      </c>
      <c r="G2" s="86">
        <v>0</v>
      </c>
    </row>
    <row r="3" spans="1:7" x14ac:dyDescent="0.25">
      <c r="A3" s="32" t="s">
        <v>901</v>
      </c>
      <c r="B3" s="32" t="s">
        <v>902</v>
      </c>
      <c r="C3" s="86">
        <v>1850024.84</v>
      </c>
      <c r="D3" s="86">
        <v>284773.39</v>
      </c>
      <c r="E3" s="86">
        <f>+Tabela2[[#This Row],[RS financing 2022 (EUR)]]+Tabela2[[#This Row],[RS financing 2023 (EUR)]]</f>
        <v>125891.76</v>
      </c>
      <c r="F3" s="86">
        <v>125891.76</v>
      </c>
      <c r="G3" s="86">
        <v>0</v>
      </c>
    </row>
    <row r="4" spans="1:7" x14ac:dyDescent="0.25">
      <c r="A4" s="32" t="s">
        <v>903</v>
      </c>
      <c r="B4" s="32" t="s">
        <v>904</v>
      </c>
      <c r="C4" s="86">
        <v>564449.03</v>
      </c>
      <c r="D4" s="86">
        <v>103423.58</v>
      </c>
      <c r="E4" s="86">
        <f>+Tabela2[[#This Row],[RS financing 2022 (EUR)]]+Tabela2[[#This Row],[RS financing 2023 (EUR)]]</f>
        <v>51711.79</v>
      </c>
      <c r="F4" s="86">
        <v>51711.79</v>
      </c>
      <c r="G4" s="86">
        <v>0</v>
      </c>
    </row>
    <row r="5" spans="1:7" x14ac:dyDescent="0.25">
      <c r="A5" s="32" t="s">
        <v>905</v>
      </c>
      <c r="B5" s="32" t="s">
        <v>906</v>
      </c>
      <c r="C5" s="86">
        <v>250010.89</v>
      </c>
      <c r="D5" s="86">
        <v>72706.960000000006</v>
      </c>
      <c r="E5" s="86">
        <f>+Tabela2[[#This Row],[RS financing 2022 (EUR)]]+Tabela2[[#This Row],[RS financing 2023 (EUR)]]</f>
        <v>36353.480000000003</v>
      </c>
      <c r="F5" s="86">
        <v>36353.480000000003</v>
      </c>
      <c r="G5" s="86">
        <v>0</v>
      </c>
    </row>
    <row r="6" spans="1:7" x14ac:dyDescent="0.25">
      <c r="A6" s="32" t="s">
        <v>907</v>
      </c>
      <c r="B6" s="32" t="s">
        <v>908</v>
      </c>
      <c r="C6" s="86">
        <v>6546306.5099999998</v>
      </c>
      <c r="D6" s="86">
        <v>430910.68000000005</v>
      </c>
      <c r="E6" s="86">
        <f>+Tabela2[[#This Row],[RS financing 2022 (EUR)]]+Tabela2[[#This Row],[RS financing 2023 (EUR)]]</f>
        <v>145597.92000000001</v>
      </c>
      <c r="F6" s="86">
        <v>0</v>
      </c>
      <c r="G6" s="86">
        <v>145597.92000000001</v>
      </c>
    </row>
    <row r="7" spans="1:7" x14ac:dyDescent="0.25">
      <c r="A7" s="32" t="s">
        <v>909</v>
      </c>
      <c r="B7" s="32" t="s">
        <v>910</v>
      </c>
      <c r="C7" s="86">
        <v>1933121.78</v>
      </c>
      <c r="D7" s="86">
        <v>280682.65000000002</v>
      </c>
      <c r="E7" s="86">
        <f>+Tabela2[[#This Row],[RS financing 2022 (EUR)]]+Tabela2[[#This Row],[RS financing 2023 (EUR)]]</f>
        <v>149242.5</v>
      </c>
      <c r="F7" s="86">
        <v>123062.3</v>
      </c>
      <c r="G7" s="86">
        <v>26180.2</v>
      </c>
    </row>
    <row r="8" spans="1:7" x14ac:dyDescent="0.25">
      <c r="A8" s="32" t="s">
        <v>911</v>
      </c>
      <c r="B8" s="32" t="s">
        <v>912</v>
      </c>
      <c r="C8" s="86">
        <v>2195600</v>
      </c>
      <c r="D8" s="86">
        <v>223440.42</v>
      </c>
      <c r="E8" s="86">
        <f>+Tabela2[[#This Row],[RS financing 2022 (EUR)]]+Tabela2[[#This Row],[RS financing 2023 (EUR)]]</f>
        <v>111720.21</v>
      </c>
      <c r="F8" s="86">
        <v>111720.21</v>
      </c>
      <c r="G8" s="86">
        <v>0</v>
      </c>
    </row>
    <row r="9" spans="1:7" x14ac:dyDescent="0.25">
      <c r="A9" s="32" t="s">
        <v>913</v>
      </c>
      <c r="B9" s="32" t="s">
        <v>914</v>
      </c>
      <c r="C9" s="86">
        <v>525077.35</v>
      </c>
      <c r="D9" s="86">
        <v>35098.639999999999</v>
      </c>
      <c r="E9" s="86">
        <f>+Tabela2[[#This Row],[RS financing 2022 (EUR)]]+Tabela2[[#This Row],[RS financing 2023 (EUR)]]</f>
        <v>35098.639999999999</v>
      </c>
      <c r="F9" s="86">
        <v>0</v>
      </c>
      <c r="G9" s="86">
        <v>35098.639999999999</v>
      </c>
    </row>
    <row r="10" spans="1:7" x14ac:dyDescent="0.25">
      <c r="A10" s="32" t="s">
        <v>915</v>
      </c>
      <c r="B10" s="32" t="s">
        <v>916</v>
      </c>
      <c r="C10" s="86">
        <v>900262.38</v>
      </c>
      <c r="D10" s="86">
        <v>93001.09</v>
      </c>
      <c r="E10" s="86">
        <f>+Tabela2[[#This Row],[RS financing 2022 (EUR)]]+Tabela2[[#This Row],[RS financing 2023 (EUR)]]</f>
        <v>93001.09</v>
      </c>
      <c r="F10" s="86">
        <v>0</v>
      </c>
      <c r="G10" s="86">
        <v>93001.09</v>
      </c>
    </row>
    <row r="11" spans="1:7" x14ac:dyDescent="0.25">
      <c r="A11" s="32" t="s">
        <v>917</v>
      </c>
      <c r="B11" s="32" t="s">
        <v>918</v>
      </c>
      <c r="C11" s="86">
        <v>234215.97</v>
      </c>
      <c r="D11" s="86">
        <v>22141.25</v>
      </c>
      <c r="E11" s="86">
        <f>+Tabela2[[#This Row],[RS financing 2022 (EUR)]]+Tabela2[[#This Row],[RS financing 2023 (EUR)]]</f>
        <v>22141.25</v>
      </c>
      <c r="F11" s="86">
        <v>0</v>
      </c>
      <c r="G11" s="86">
        <v>22141.25</v>
      </c>
    </row>
    <row r="12" spans="1:7" x14ac:dyDescent="0.25">
      <c r="A12" s="32"/>
      <c r="B12" s="32"/>
      <c r="C12" s="86">
        <f>SUBTOTAL(109,Tabela2[Total project amount (EUR)])</f>
        <v>16173935.42</v>
      </c>
      <c r="D12" s="86">
        <f>SUBTOTAL(109,Tabela2[RS financing amount (EUR)])</f>
        <v>1680794.47</v>
      </c>
      <c r="E12" s="86">
        <f>SUBTOTAL(109,Tabela2[Bond eligible amount (EUR)
Σ 22+23])</f>
        <v>799309.14999999991</v>
      </c>
      <c r="F12" s="86">
        <f>SUBTOTAL(109,Tabela2[RS financing 2022 (EUR)])</f>
        <v>477290.05000000005</v>
      </c>
      <c r="G12" s="86">
        <f>SUBTOTAL(109,Tabela2[RS financing 2023 (EUR)])</f>
        <v>322019.09999999998</v>
      </c>
    </row>
    <row r="14" spans="1:7" x14ac:dyDescent="0.25">
      <c r="B14" s="11" t="s">
        <v>898</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1E900-9020-408F-95B4-250135B43071}">
  <dimension ref="A1:G40"/>
  <sheetViews>
    <sheetView workbookViewId="0">
      <pane ySplit="1" topLeftCell="A2" activePane="bottomLeft" state="frozen"/>
      <selection pane="bottomLeft" activeCell="C37" sqref="C37"/>
    </sheetView>
  </sheetViews>
  <sheetFormatPr defaultColWidth="8.69921875" defaultRowHeight="13.2" x14ac:dyDescent="0.25"/>
  <cols>
    <col min="1" max="1" width="11.69921875" style="10" bestFit="1" customWidth="1"/>
    <col min="2" max="2" width="73" style="10" bestFit="1" customWidth="1"/>
    <col min="3" max="3" width="23.69921875" style="10" customWidth="1"/>
    <col min="4" max="4" width="24" style="10" customWidth="1"/>
    <col min="5" max="5" width="15.69921875" style="10" customWidth="1"/>
    <col min="6" max="7" width="21.5" style="10" customWidth="1"/>
    <col min="8" max="16384" width="8.69921875" style="10"/>
  </cols>
  <sheetData>
    <row r="1" spans="1:7" ht="39.6" x14ac:dyDescent="0.25">
      <c r="A1" s="15" t="s">
        <v>483</v>
      </c>
      <c r="B1" s="14" t="s">
        <v>785</v>
      </c>
      <c r="C1" s="13" t="s">
        <v>11</v>
      </c>
      <c r="D1" s="13" t="s">
        <v>489</v>
      </c>
      <c r="E1" s="13" t="s">
        <v>13</v>
      </c>
      <c r="F1" s="12" t="s">
        <v>14</v>
      </c>
      <c r="G1" s="12" t="s">
        <v>15</v>
      </c>
    </row>
    <row r="2" spans="1:7" x14ac:dyDescent="0.25">
      <c r="A2" s="10" t="s">
        <v>919</v>
      </c>
      <c r="B2" s="10" t="s">
        <v>920</v>
      </c>
      <c r="C2" s="140">
        <v>348034</v>
      </c>
      <c r="D2" s="140">
        <v>65969</v>
      </c>
      <c r="E2" s="140">
        <f>+Tabela13412[[#This Row],[RS financing 2022 (EUR)]]+Tabela13412[[#This Row],[RS financing 2023 (EUR)]]</f>
        <v>47373.93</v>
      </c>
      <c r="F2" s="140">
        <v>47373.93</v>
      </c>
      <c r="G2" s="140">
        <v>0</v>
      </c>
    </row>
    <row r="3" spans="1:7" x14ac:dyDescent="0.25">
      <c r="A3" s="10" t="s">
        <v>921</v>
      </c>
      <c r="B3" s="10" t="s">
        <v>922</v>
      </c>
      <c r="C3" s="140">
        <v>1171236</v>
      </c>
      <c r="D3" s="140">
        <v>122642</v>
      </c>
      <c r="E3" s="140">
        <f>+Tabela13412[[#This Row],[RS financing 2022 (EUR)]]+Tabela13412[[#This Row],[RS financing 2023 (EUR)]]</f>
        <v>91955.39</v>
      </c>
      <c r="F3" s="140">
        <v>27932.3</v>
      </c>
      <c r="G3" s="140">
        <v>64023.09</v>
      </c>
    </row>
    <row r="4" spans="1:7" x14ac:dyDescent="0.25">
      <c r="A4" s="10" t="s">
        <v>923</v>
      </c>
      <c r="B4" s="10" t="s">
        <v>924</v>
      </c>
      <c r="C4" s="140">
        <v>4862601</v>
      </c>
      <c r="D4" s="140">
        <v>636894</v>
      </c>
      <c r="E4" s="140">
        <f>+Tabela13412[[#This Row],[RS financing 2022 (EUR)]]+Tabela13412[[#This Row],[RS financing 2023 (EUR)]]</f>
        <v>513688.87</v>
      </c>
      <c r="F4" s="140">
        <v>513688.87</v>
      </c>
      <c r="G4" s="140">
        <v>0</v>
      </c>
    </row>
    <row r="5" spans="1:7" x14ac:dyDescent="0.25">
      <c r="A5" s="10" t="s">
        <v>925</v>
      </c>
      <c r="B5" s="10" t="s">
        <v>926</v>
      </c>
      <c r="C5" s="140">
        <v>367580</v>
      </c>
      <c r="D5" s="140">
        <v>24054</v>
      </c>
      <c r="E5" s="140">
        <f>+Tabela13412[[#This Row],[RS financing 2022 (EUR)]]+Tabela13412[[#This Row],[RS financing 2023 (EUR)]]</f>
        <v>5305.29</v>
      </c>
      <c r="F5" s="140">
        <v>5305.29</v>
      </c>
      <c r="G5" s="140">
        <v>0</v>
      </c>
    </row>
    <row r="6" spans="1:7" x14ac:dyDescent="0.25">
      <c r="A6" s="10" t="s">
        <v>927</v>
      </c>
      <c r="B6" s="10" t="s">
        <v>928</v>
      </c>
      <c r="C6" s="140">
        <v>884526</v>
      </c>
      <c r="D6" s="140">
        <v>151924</v>
      </c>
      <c r="E6" s="140">
        <f>+Tabela13412[[#This Row],[RS financing 2022 (EUR)]]+Tabela13412[[#This Row],[RS financing 2023 (EUR)]]</f>
        <v>82980.820000000007</v>
      </c>
      <c r="F6" s="140">
        <v>82980.820000000007</v>
      </c>
      <c r="G6" s="140">
        <v>0</v>
      </c>
    </row>
    <row r="7" spans="1:7" x14ac:dyDescent="0.25">
      <c r="A7" s="10" t="s">
        <v>929</v>
      </c>
      <c r="B7" s="10" t="s">
        <v>930</v>
      </c>
      <c r="C7" s="140">
        <v>3886545</v>
      </c>
      <c r="D7" s="140">
        <v>438606</v>
      </c>
      <c r="E7" s="140">
        <f>+Tabela13412[[#This Row],[RS financing 2022 (EUR)]]+Tabela13412[[#This Row],[RS financing 2023 (EUR)]]</f>
        <v>438605.89999999997</v>
      </c>
      <c r="F7" s="140">
        <v>154091.10999999999</v>
      </c>
      <c r="G7" s="140">
        <v>284514.78999999998</v>
      </c>
    </row>
    <row r="8" spans="1:7" x14ac:dyDescent="0.25">
      <c r="A8" s="10" t="s">
        <v>931</v>
      </c>
      <c r="B8" s="10" t="s">
        <v>932</v>
      </c>
      <c r="C8" s="140">
        <v>566649</v>
      </c>
      <c r="D8" s="140">
        <v>82988</v>
      </c>
      <c r="E8" s="140">
        <f>+Tabela13412[[#This Row],[RS financing 2022 (EUR)]]+Tabela13412[[#This Row],[RS financing 2023 (EUR)]]</f>
        <v>75143.5</v>
      </c>
      <c r="F8" s="140">
        <v>67859.42</v>
      </c>
      <c r="G8" s="140">
        <v>7284.08</v>
      </c>
    </row>
    <row r="9" spans="1:7" x14ac:dyDescent="0.25">
      <c r="A9" s="10" t="s">
        <v>933</v>
      </c>
      <c r="B9" s="10" t="s">
        <v>934</v>
      </c>
      <c r="C9" s="140">
        <v>536636</v>
      </c>
      <c r="D9" s="140">
        <v>100000</v>
      </c>
      <c r="E9" s="140">
        <f>+Tabela13412[[#This Row],[RS financing 2022 (EUR)]]+Tabela13412[[#This Row],[RS financing 2023 (EUR)]]</f>
        <v>100000</v>
      </c>
      <c r="F9" s="140">
        <v>100000</v>
      </c>
      <c r="G9" s="140">
        <v>0</v>
      </c>
    </row>
    <row r="10" spans="1:7" x14ac:dyDescent="0.25">
      <c r="A10" s="10" t="s">
        <v>935</v>
      </c>
      <c r="B10" s="10" t="s">
        <v>936</v>
      </c>
      <c r="C10" s="140">
        <v>3815495</v>
      </c>
      <c r="D10" s="140">
        <v>336259</v>
      </c>
      <c r="E10" s="140">
        <f>+Tabela13412[[#This Row],[RS financing 2022 (EUR)]]+Tabela13412[[#This Row],[RS financing 2023 (EUR)]]</f>
        <v>242595.26</v>
      </c>
      <c r="F10" s="140">
        <v>158877.75</v>
      </c>
      <c r="G10" s="140">
        <v>83717.509999999995</v>
      </c>
    </row>
    <row r="11" spans="1:7" x14ac:dyDescent="0.25">
      <c r="A11" s="10" t="s">
        <v>937</v>
      </c>
      <c r="B11" s="10" t="s">
        <v>938</v>
      </c>
      <c r="C11" s="140">
        <v>735419</v>
      </c>
      <c r="D11" s="140">
        <v>75665</v>
      </c>
      <c r="E11" s="140">
        <f>+Tabela13412[[#This Row],[RS financing 2022 (EUR)]]+Tabela13412[[#This Row],[RS financing 2023 (EUR)]]</f>
        <v>75665.100000000006</v>
      </c>
      <c r="F11" s="140">
        <v>71452.63</v>
      </c>
      <c r="G11" s="140">
        <v>4212.47</v>
      </c>
    </row>
    <row r="12" spans="1:7" x14ac:dyDescent="0.25">
      <c r="A12" s="10" t="s">
        <v>939</v>
      </c>
      <c r="B12" s="10" t="s">
        <v>940</v>
      </c>
      <c r="C12" s="140">
        <v>2709620</v>
      </c>
      <c r="D12" s="140">
        <v>419731</v>
      </c>
      <c r="E12" s="140">
        <f>+Tabela13412[[#This Row],[RS financing 2022 (EUR)]]+Tabela13412[[#This Row],[RS financing 2023 (EUR)]]</f>
        <v>391144</v>
      </c>
      <c r="F12" s="140">
        <v>154668.47</v>
      </c>
      <c r="G12" s="140">
        <v>236475.53</v>
      </c>
    </row>
    <row r="13" spans="1:7" x14ac:dyDescent="0.25">
      <c r="A13" s="10" t="s">
        <v>941</v>
      </c>
      <c r="B13" s="10" t="s">
        <v>942</v>
      </c>
      <c r="C13" s="140">
        <v>3414790</v>
      </c>
      <c r="D13" s="140">
        <v>406463</v>
      </c>
      <c r="E13" s="140">
        <f>+Tabela13412[[#This Row],[RS financing 2022 (EUR)]]+Tabela13412[[#This Row],[RS financing 2023 (EUR)]]</f>
        <v>371647.47</v>
      </c>
      <c r="F13" s="140">
        <v>227834.32</v>
      </c>
      <c r="G13" s="140">
        <v>143813.15</v>
      </c>
    </row>
    <row r="14" spans="1:7" x14ac:dyDescent="0.25">
      <c r="A14" s="10" t="s">
        <v>943</v>
      </c>
      <c r="B14" s="10" t="s">
        <v>944</v>
      </c>
      <c r="C14" s="140">
        <v>2323642</v>
      </c>
      <c r="D14" s="140">
        <v>308099</v>
      </c>
      <c r="E14" s="140">
        <f>+Tabela13412[[#This Row],[RS financing 2022 (EUR)]]+Tabela13412[[#This Row],[RS financing 2023 (EUR)]]</f>
        <v>257068.82</v>
      </c>
      <c r="F14" s="140">
        <v>40344.339999999997</v>
      </c>
      <c r="G14" s="140">
        <v>216724.48000000001</v>
      </c>
    </row>
    <row r="15" spans="1:7" x14ac:dyDescent="0.25">
      <c r="A15" s="10" t="s">
        <v>945</v>
      </c>
      <c r="B15" s="10" t="s">
        <v>946</v>
      </c>
      <c r="C15" s="140">
        <v>8987981</v>
      </c>
      <c r="D15" s="140">
        <v>1030106</v>
      </c>
      <c r="E15" s="140">
        <f>+Tabela13412[[#This Row],[RS financing 2022 (EUR)]]+Tabela13412[[#This Row],[RS financing 2023 (EUR)]]</f>
        <v>968134.49</v>
      </c>
      <c r="F15" s="140">
        <v>571435.69999999995</v>
      </c>
      <c r="G15" s="140">
        <v>396698.79</v>
      </c>
    </row>
    <row r="16" spans="1:7" x14ac:dyDescent="0.25">
      <c r="A16" s="10" t="s">
        <v>947</v>
      </c>
      <c r="B16" s="10" t="s">
        <v>948</v>
      </c>
      <c r="C16" s="140">
        <v>4753313</v>
      </c>
      <c r="D16" s="140">
        <v>609277</v>
      </c>
      <c r="E16" s="140">
        <f>+Tabela13412[[#This Row],[RS financing 2022 (EUR)]]+Tabela13412[[#This Row],[RS financing 2023 (EUR)]]</f>
        <v>584773.93999999994</v>
      </c>
      <c r="F16" s="140">
        <v>341658.81</v>
      </c>
      <c r="G16" s="140">
        <v>243115.13</v>
      </c>
    </row>
    <row r="17" spans="1:7" x14ac:dyDescent="0.25">
      <c r="A17" s="10" t="s">
        <v>949</v>
      </c>
      <c r="B17" s="10" t="s">
        <v>950</v>
      </c>
      <c r="C17" s="140">
        <v>1897600</v>
      </c>
      <c r="D17" s="140">
        <v>262072</v>
      </c>
      <c r="E17" s="140">
        <f>+Tabela13412[[#This Row],[RS financing 2022 (EUR)]]+Tabela13412[[#This Row],[RS financing 2023 (EUR)]]</f>
        <v>248122.34999999998</v>
      </c>
      <c r="F17" s="140">
        <v>74185.89</v>
      </c>
      <c r="G17" s="140">
        <v>173936.46</v>
      </c>
    </row>
    <row r="18" spans="1:7" x14ac:dyDescent="0.25">
      <c r="A18" s="10" t="s">
        <v>951</v>
      </c>
      <c r="B18" s="10" t="s">
        <v>952</v>
      </c>
      <c r="C18" s="140">
        <v>7479628</v>
      </c>
      <c r="D18" s="140">
        <v>1108284</v>
      </c>
      <c r="E18" s="140">
        <f>+Tabela13412[[#This Row],[RS financing 2022 (EUR)]]+Tabela13412[[#This Row],[RS financing 2023 (EUR)]]</f>
        <v>1064592.4100000001</v>
      </c>
      <c r="F18" s="140">
        <v>27441.5</v>
      </c>
      <c r="G18" s="140">
        <v>1037150.91</v>
      </c>
    </row>
    <row r="19" spans="1:7" x14ac:dyDescent="0.25">
      <c r="A19" s="10" t="s">
        <v>953</v>
      </c>
      <c r="B19" s="10" t="s">
        <v>954</v>
      </c>
      <c r="C19" s="140">
        <v>1923504</v>
      </c>
      <c r="D19" s="140">
        <v>271285</v>
      </c>
      <c r="E19" s="140">
        <f>+Tabela13412[[#This Row],[RS financing 2022 (EUR)]]+Tabela13412[[#This Row],[RS financing 2023 (EUR)]]</f>
        <v>266907.27</v>
      </c>
      <c r="F19" s="140">
        <v>0</v>
      </c>
      <c r="G19" s="140">
        <v>266907.27</v>
      </c>
    </row>
    <row r="20" spans="1:7" x14ac:dyDescent="0.25">
      <c r="A20" s="10" t="s">
        <v>955</v>
      </c>
      <c r="B20" s="10" t="s">
        <v>956</v>
      </c>
      <c r="C20" s="140">
        <v>648884</v>
      </c>
      <c r="D20" s="140">
        <v>81800</v>
      </c>
      <c r="E20" s="140">
        <f>+Tabela13412[[#This Row],[RS financing 2022 (EUR)]]+Tabela13412[[#This Row],[RS financing 2023 (EUR)]]</f>
        <v>81800</v>
      </c>
      <c r="F20" s="140">
        <v>0</v>
      </c>
      <c r="G20" s="140">
        <v>81800</v>
      </c>
    </row>
    <row r="21" spans="1:7" x14ac:dyDescent="0.25">
      <c r="A21" s="10" t="s">
        <v>957</v>
      </c>
      <c r="B21" s="10" t="s">
        <v>958</v>
      </c>
      <c r="C21" s="140">
        <v>346963</v>
      </c>
      <c r="D21" s="140">
        <v>52788</v>
      </c>
      <c r="E21" s="140">
        <f>+Tabela13412[[#This Row],[RS financing 2022 (EUR)]]+Tabela13412[[#This Row],[RS financing 2023 (EUR)]]</f>
        <v>52788.11</v>
      </c>
      <c r="F21" s="140">
        <v>52788.11</v>
      </c>
      <c r="G21" s="140">
        <v>0</v>
      </c>
    </row>
    <row r="22" spans="1:7" x14ac:dyDescent="0.25">
      <c r="A22" s="10" t="s">
        <v>959</v>
      </c>
      <c r="B22" s="10" t="s">
        <v>960</v>
      </c>
      <c r="C22" s="140">
        <v>1125738</v>
      </c>
      <c r="D22" s="140">
        <v>141526</v>
      </c>
      <c r="E22" s="140">
        <f>+Tabela13412[[#This Row],[RS financing 2022 (EUR)]]+Tabela13412[[#This Row],[RS financing 2023 (EUR)]]</f>
        <v>141526.39000000001</v>
      </c>
      <c r="F22" s="140">
        <v>42891.32</v>
      </c>
      <c r="G22" s="140">
        <v>98635.07</v>
      </c>
    </row>
    <row r="23" spans="1:7" x14ac:dyDescent="0.25">
      <c r="A23" s="10" t="s">
        <v>961</v>
      </c>
      <c r="B23" s="10" t="s">
        <v>962</v>
      </c>
      <c r="C23" s="140">
        <v>7194010</v>
      </c>
      <c r="D23" s="140">
        <v>889843</v>
      </c>
      <c r="E23" s="140">
        <f>+Tabela13412[[#This Row],[RS financing 2022 (EUR)]]+Tabela13412[[#This Row],[RS financing 2023 (EUR)]]</f>
        <v>889843.31</v>
      </c>
      <c r="F23" s="140">
        <v>473510.12</v>
      </c>
      <c r="G23" s="140">
        <v>416333.19</v>
      </c>
    </row>
    <row r="24" spans="1:7" x14ac:dyDescent="0.25">
      <c r="A24" s="10" t="s">
        <v>963</v>
      </c>
      <c r="B24" s="10" t="s">
        <v>964</v>
      </c>
      <c r="C24" s="140">
        <v>7016090</v>
      </c>
      <c r="D24" s="140">
        <v>1466882</v>
      </c>
      <c r="E24" s="140">
        <f>+Tabela13412[[#This Row],[RS financing 2022 (EUR)]]+Tabela13412[[#This Row],[RS financing 2023 (EUR)]]</f>
        <v>1353526.71</v>
      </c>
      <c r="F24" s="140">
        <v>1350848.29</v>
      </c>
      <c r="G24" s="140">
        <v>2678.42</v>
      </c>
    </row>
    <row r="25" spans="1:7" x14ac:dyDescent="0.25">
      <c r="A25" s="10" t="s">
        <v>965</v>
      </c>
      <c r="B25" s="10" t="s">
        <v>966</v>
      </c>
      <c r="C25" s="140">
        <v>18080696</v>
      </c>
      <c r="D25" s="140">
        <v>3783411</v>
      </c>
      <c r="E25" s="140">
        <f>+Tabela13412[[#This Row],[RS financing 2022 (EUR)]]+Tabela13412[[#This Row],[RS financing 2023 (EUR)]]</f>
        <v>2772148.12</v>
      </c>
      <c r="F25" s="140">
        <v>347685.79</v>
      </c>
      <c r="G25" s="140">
        <v>2424462.33</v>
      </c>
    </row>
    <row r="26" spans="1:7" x14ac:dyDescent="0.25">
      <c r="A26" s="10" t="s">
        <v>967</v>
      </c>
      <c r="B26" s="10" t="s">
        <v>968</v>
      </c>
      <c r="C26" s="140">
        <v>6010599</v>
      </c>
      <c r="D26" s="140">
        <v>4072946</v>
      </c>
      <c r="E26" s="140">
        <f>+Tabela13412[[#This Row],[RS financing 2022 (EUR)]]+Tabela13412[[#This Row],[RS financing 2023 (EUR)]]</f>
        <v>2006348.62</v>
      </c>
      <c r="F26" s="140">
        <v>457029.82</v>
      </c>
      <c r="G26" s="140">
        <v>1549318.8</v>
      </c>
    </row>
    <row r="27" spans="1:7" x14ac:dyDescent="0.25">
      <c r="A27" s="10" t="s">
        <v>969</v>
      </c>
      <c r="B27" s="33" t="s">
        <v>970</v>
      </c>
      <c r="C27" s="140">
        <v>20111689</v>
      </c>
      <c r="D27" s="140">
        <v>9663265</v>
      </c>
      <c r="E27" s="140">
        <f>+Tabela13412[[#This Row],[RS financing 2022 (EUR)]]+Tabela13412[[#This Row],[RS financing 2023 (EUR)]]</f>
        <v>6808733.3500000006</v>
      </c>
      <c r="F27" s="140">
        <v>1978590.16</v>
      </c>
      <c r="G27" s="140">
        <v>4830143.1900000004</v>
      </c>
    </row>
    <row r="28" spans="1:7" x14ac:dyDescent="0.25">
      <c r="A28" s="10" t="s">
        <v>971</v>
      </c>
      <c r="B28" s="33" t="s">
        <v>972</v>
      </c>
      <c r="C28" s="140">
        <v>54538241</v>
      </c>
      <c r="D28" s="140">
        <v>15393777</v>
      </c>
      <c r="E28" s="140">
        <f>+Tabela13412[[#This Row],[RS financing 2022 (EUR)]]+Tabela13412[[#This Row],[RS financing 2023 (EUR)]]</f>
        <v>7805789.1600000001</v>
      </c>
      <c r="F28" s="140">
        <v>2417845.94</v>
      </c>
      <c r="G28" s="140">
        <v>5387943.2199999997</v>
      </c>
    </row>
    <row r="29" spans="1:7" x14ac:dyDescent="0.25">
      <c r="A29" s="10" t="s">
        <v>973</v>
      </c>
      <c r="B29" s="16" t="s">
        <v>974</v>
      </c>
      <c r="C29" s="140">
        <v>5070006</v>
      </c>
      <c r="D29" s="140">
        <v>617219</v>
      </c>
      <c r="E29" s="140">
        <f>+Tabela13412[[#This Row],[RS financing 2022 (EUR)]]+Tabela13412[[#This Row],[RS financing 2023 (EUR)]]</f>
        <v>2228178.2600000002</v>
      </c>
      <c r="F29" s="140">
        <v>548250.9</v>
      </c>
      <c r="G29" s="140">
        <v>1679927.36</v>
      </c>
    </row>
    <row r="30" spans="1:7" x14ac:dyDescent="0.25">
      <c r="A30" s="10" t="s">
        <v>975</v>
      </c>
      <c r="B30" s="10" t="s">
        <v>976</v>
      </c>
      <c r="C30" s="140">
        <v>5439964</v>
      </c>
      <c r="D30" s="140">
        <v>289389</v>
      </c>
      <c r="E30" s="140">
        <f>+Tabela13412[[#This Row],[RS financing 2022 (EUR)]]+Tabela13412[[#This Row],[RS financing 2023 (EUR)]]</f>
        <v>270604.24</v>
      </c>
      <c r="F30" s="140">
        <v>112980.97</v>
      </c>
      <c r="G30" s="140">
        <v>157623.26999999999</v>
      </c>
    </row>
    <row r="31" spans="1:7" x14ac:dyDescent="0.25">
      <c r="A31" s="10" t="s">
        <v>977</v>
      </c>
      <c r="B31" s="10" t="s">
        <v>978</v>
      </c>
      <c r="C31" s="140">
        <v>11289062</v>
      </c>
      <c r="D31" s="140">
        <v>60302</v>
      </c>
      <c r="E31" s="140">
        <f>+Tabela13412[[#This Row],[RS financing 2022 (EUR)]]+Tabela13412[[#This Row],[RS financing 2023 (EUR)]]</f>
        <v>55476.93</v>
      </c>
      <c r="F31" s="140">
        <v>0</v>
      </c>
      <c r="G31" s="140">
        <v>55476.93</v>
      </c>
    </row>
    <row r="32" spans="1:7" x14ac:dyDescent="0.25">
      <c r="A32" s="25"/>
      <c r="B32" s="25"/>
      <c r="C32" s="142">
        <f>SUM(Tabela13412[Total project amount (EUR)])</f>
        <v>187536741</v>
      </c>
      <c r="D32" s="142">
        <f>SUM(Tabela13412[RS financing amount (EUR)])</f>
        <v>42963466</v>
      </c>
      <c r="E32" s="142">
        <f>SUM(Tabela13412[Bond eligible amount (EUR)
Σ 22+23])</f>
        <v>30292468.010000002</v>
      </c>
      <c r="F32" s="142">
        <f>SUM(Tabela13412[RS financing 2022 (EUR)])</f>
        <v>10449552.570000002</v>
      </c>
      <c r="G32" s="142">
        <f>SUM(Tabela13412[RS financing 2023 (EUR)])</f>
        <v>19842915.439999998</v>
      </c>
    </row>
    <row r="34" spans="2:4" x14ac:dyDescent="0.25">
      <c r="B34" s="10" t="s">
        <v>979</v>
      </c>
      <c r="D34" s="200"/>
    </row>
    <row r="35" spans="2:4" x14ac:dyDescent="0.25">
      <c r="C35" s="200"/>
      <c r="D35" s="200"/>
    </row>
    <row r="36" spans="2:4" x14ac:dyDescent="0.25">
      <c r="C36" s="200"/>
    </row>
    <row r="37" spans="2:4" x14ac:dyDescent="0.25">
      <c r="C37" s="200"/>
    </row>
    <row r="38" spans="2:4" x14ac:dyDescent="0.25">
      <c r="C38" s="200"/>
    </row>
    <row r="39" spans="2:4" x14ac:dyDescent="0.25">
      <c r="C39" s="200"/>
    </row>
    <row r="40" spans="2:4" x14ac:dyDescent="0.25">
      <c r="C40" s="200"/>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ACCFA-4216-49FD-96D1-8AB8137E71FA}">
  <dimension ref="A1:G23"/>
  <sheetViews>
    <sheetView workbookViewId="0">
      <selection activeCell="D37" sqref="D37"/>
    </sheetView>
  </sheetViews>
  <sheetFormatPr defaultColWidth="8.69921875" defaultRowHeight="13.2" x14ac:dyDescent="0.25"/>
  <cols>
    <col min="1" max="1" width="11.69921875" style="10" bestFit="1" customWidth="1"/>
    <col min="2" max="2" width="44.8984375" style="10" bestFit="1" customWidth="1"/>
    <col min="3" max="3" width="23.69921875" style="10" customWidth="1"/>
    <col min="4" max="4" width="24" style="10" customWidth="1"/>
    <col min="5" max="5" width="15.69921875" style="10" customWidth="1"/>
    <col min="6" max="7" width="21.5" style="10" customWidth="1"/>
    <col min="8" max="16384" width="8.69921875" style="10"/>
  </cols>
  <sheetData>
    <row r="1" spans="1:7" ht="39.6" x14ac:dyDescent="0.25">
      <c r="A1" s="15" t="s">
        <v>483</v>
      </c>
      <c r="B1" s="14" t="s">
        <v>785</v>
      </c>
      <c r="C1" s="13" t="s">
        <v>11</v>
      </c>
      <c r="D1" s="13" t="s">
        <v>489</v>
      </c>
      <c r="E1" s="13" t="s">
        <v>13</v>
      </c>
      <c r="F1" s="12" t="s">
        <v>14</v>
      </c>
      <c r="G1" s="12" t="s">
        <v>980</v>
      </c>
    </row>
    <row r="2" spans="1:7" x14ac:dyDescent="0.25">
      <c r="A2" s="10" t="s">
        <v>981</v>
      </c>
      <c r="B2" s="10" t="s">
        <v>982</v>
      </c>
      <c r="C2" s="140">
        <v>1949520.34</v>
      </c>
      <c r="D2" s="140">
        <v>249097.32</v>
      </c>
      <c r="E2" s="140">
        <f>+Tabela134513[[#This Row],[RS financing 2022 (EUR)]]+Tabela134513[[#This Row],[RS financing 2023 (EUR]]</f>
        <v>83161.97</v>
      </c>
      <c r="F2" s="140">
        <v>51210.97</v>
      </c>
      <c r="G2" s="140">
        <v>31951</v>
      </c>
    </row>
    <row r="3" spans="1:7" x14ac:dyDescent="0.25">
      <c r="A3" s="10" t="s">
        <v>983</v>
      </c>
      <c r="B3" s="10" t="s">
        <v>984</v>
      </c>
      <c r="C3" s="140">
        <v>1475197.1</v>
      </c>
      <c r="D3" s="140">
        <v>178020.9</v>
      </c>
      <c r="E3" s="140">
        <f>+Tabela134513[[#This Row],[RS financing 2022 (EUR)]]+Tabela134513[[#This Row],[RS financing 2023 (EUR]]</f>
        <v>73510.960000000006</v>
      </c>
      <c r="F3" s="140">
        <v>73510.960000000006</v>
      </c>
      <c r="G3" s="139">
        <v>0</v>
      </c>
    </row>
    <row r="4" spans="1:7" x14ac:dyDescent="0.25">
      <c r="A4" s="10" t="s">
        <v>985</v>
      </c>
      <c r="B4" s="10" t="s">
        <v>986</v>
      </c>
      <c r="C4" s="140">
        <v>2927977.19</v>
      </c>
      <c r="D4" s="140">
        <v>245220.7</v>
      </c>
      <c r="E4" s="140">
        <f>+Tabela134513[[#This Row],[RS financing 2022 (EUR)]]+Tabela134513[[#This Row],[RS financing 2023 (EUR]]</f>
        <v>93879.039999999994</v>
      </c>
      <c r="F4" s="140">
        <v>83791.73</v>
      </c>
      <c r="G4" s="140">
        <v>10087.31</v>
      </c>
    </row>
    <row r="5" spans="1:7" x14ac:dyDescent="0.25">
      <c r="A5" s="10" t="s">
        <v>987</v>
      </c>
      <c r="B5" s="10" t="s">
        <v>988</v>
      </c>
      <c r="C5" s="140">
        <v>8230806.9100000001</v>
      </c>
      <c r="D5" s="140">
        <v>329144.58</v>
      </c>
      <c r="E5" s="140">
        <f>+Tabela134513[[#This Row],[RS financing 2022 (EUR)]]+Tabela134513[[#This Row],[RS financing 2023 (EUR]]</f>
        <v>73293.75</v>
      </c>
      <c r="F5" s="140">
        <v>73293.75</v>
      </c>
      <c r="G5" s="139">
        <v>0</v>
      </c>
    </row>
    <row r="6" spans="1:7" x14ac:dyDescent="0.25">
      <c r="A6" s="10" t="s">
        <v>989</v>
      </c>
      <c r="B6" s="10" t="s">
        <v>990</v>
      </c>
      <c r="C6" s="140">
        <v>990627</v>
      </c>
      <c r="D6" s="140">
        <v>161519.11000000002</v>
      </c>
      <c r="E6" s="140">
        <f>+Tabela134513[[#This Row],[RS financing 2022 (EUR)]]+Tabela134513[[#This Row],[RS financing 2023 (EUR]]</f>
        <v>142575.45000000001</v>
      </c>
      <c r="F6" s="140">
        <v>62097.04</v>
      </c>
      <c r="G6" s="140">
        <v>80478.41</v>
      </c>
    </row>
    <row r="7" spans="1:7" x14ac:dyDescent="0.25">
      <c r="A7" s="10" t="s">
        <v>991</v>
      </c>
      <c r="B7" s="10" t="s">
        <v>992</v>
      </c>
      <c r="C7" s="140">
        <v>3303162.25</v>
      </c>
      <c r="D7" s="140">
        <v>407364.92000000004</v>
      </c>
      <c r="E7" s="140">
        <f>+Tabela134513[[#This Row],[RS financing 2022 (EUR)]]+Tabela134513[[#This Row],[RS financing 2023 (EUR]]</f>
        <v>345190.70999999996</v>
      </c>
      <c r="F7" s="140">
        <v>179717.61</v>
      </c>
      <c r="G7" s="140">
        <v>165473.1</v>
      </c>
    </row>
    <row r="8" spans="1:7" x14ac:dyDescent="0.25">
      <c r="A8" s="10" t="s">
        <v>993</v>
      </c>
      <c r="B8" s="10" t="s">
        <v>994</v>
      </c>
      <c r="C8" s="140">
        <v>433338.54</v>
      </c>
      <c r="D8" s="140">
        <v>62212.72</v>
      </c>
      <c r="E8" s="140">
        <f>+Tabela134513[[#This Row],[RS financing 2022 (EUR)]]+Tabela134513[[#This Row],[RS financing 2023 (EUR]]</f>
        <v>62212.72</v>
      </c>
      <c r="F8" s="140">
        <v>62212.72</v>
      </c>
      <c r="G8" s="139">
        <v>0</v>
      </c>
    </row>
    <row r="9" spans="1:7" x14ac:dyDescent="0.25">
      <c r="A9" s="10" t="s">
        <v>995</v>
      </c>
      <c r="B9" s="10" t="s">
        <v>996</v>
      </c>
      <c r="C9" s="140">
        <v>1834000.15</v>
      </c>
      <c r="D9" s="140">
        <v>228098.35</v>
      </c>
      <c r="E9" s="140">
        <f>+Tabela134513[[#This Row],[RS financing 2022 (EUR)]]+Tabela134513[[#This Row],[RS financing 2023 (EUR]]</f>
        <v>204541.55</v>
      </c>
      <c r="F9" s="140">
        <v>204541.55</v>
      </c>
      <c r="G9" s="139">
        <v>0</v>
      </c>
    </row>
    <row r="10" spans="1:7" x14ac:dyDescent="0.25">
      <c r="A10" s="10" t="s">
        <v>997</v>
      </c>
      <c r="B10" s="10" t="s">
        <v>998</v>
      </c>
      <c r="C10" s="140">
        <v>1572224.62</v>
      </c>
      <c r="D10" s="140">
        <v>257347.40999999997</v>
      </c>
      <c r="E10" s="140">
        <f>+Tabela134513[[#This Row],[RS financing 2022 (EUR)]]+Tabela134513[[#This Row],[RS financing 2023 (EUR]]</f>
        <v>219550.58000000002</v>
      </c>
      <c r="F10" s="140">
        <v>164569</v>
      </c>
      <c r="G10" s="140">
        <v>54981.58</v>
      </c>
    </row>
    <row r="11" spans="1:7" x14ac:dyDescent="0.25">
      <c r="A11" s="10" t="s">
        <v>999</v>
      </c>
      <c r="B11" s="10" t="s">
        <v>1000</v>
      </c>
      <c r="C11" s="140">
        <v>2921781.28</v>
      </c>
      <c r="D11" s="140">
        <v>152814.79</v>
      </c>
      <c r="E11" s="140">
        <f>+Tabela134513[[#This Row],[RS financing 2022 (EUR)]]+Tabela134513[[#This Row],[RS financing 2023 (EUR]]</f>
        <v>152814.79</v>
      </c>
      <c r="F11" s="140">
        <v>96619.14</v>
      </c>
      <c r="G11" s="140">
        <v>56195.65</v>
      </c>
    </row>
    <row r="12" spans="1:7" x14ac:dyDescent="0.25">
      <c r="A12" s="10" t="s">
        <v>1001</v>
      </c>
      <c r="B12" s="10" t="s">
        <v>1002</v>
      </c>
      <c r="C12" s="140">
        <v>4229780.8600000003</v>
      </c>
      <c r="D12" s="140">
        <v>760716.58</v>
      </c>
      <c r="E12" s="140">
        <f>+Tabela134513[[#This Row],[RS financing 2022 (EUR)]]+Tabela134513[[#This Row],[RS financing 2023 (EUR]]</f>
        <v>746834.34</v>
      </c>
      <c r="F12" s="140">
        <v>2026.5</v>
      </c>
      <c r="G12" s="140">
        <v>744807.84</v>
      </c>
    </row>
    <row r="13" spans="1:7" x14ac:dyDescent="0.25">
      <c r="A13" s="10" t="s">
        <v>1003</v>
      </c>
      <c r="B13" s="10" t="s">
        <v>1004</v>
      </c>
      <c r="C13" s="140">
        <v>3379740.93</v>
      </c>
      <c r="D13" s="140">
        <v>439603.99</v>
      </c>
      <c r="E13" s="140">
        <f>+Tabela134513[[#This Row],[RS financing 2022 (EUR)]]+Tabela134513[[#This Row],[RS financing 2023 (EUR]]</f>
        <v>439603.99</v>
      </c>
      <c r="F13" s="140">
        <v>208132.33</v>
      </c>
      <c r="G13" s="140">
        <v>231471.66</v>
      </c>
    </row>
    <row r="14" spans="1:7" x14ac:dyDescent="0.25">
      <c r="A14" s="10" t="s">
        <v>1005</v>
      </c>
      <c r="B14" s="10" t="s">
        <v>1006</v>
      </c>
      <c r="C14" s="140">
        <v>42674073.140000001</v>
      </c>
      <c r="D14" s="140">
        <v>2886157.21</v>
      </c>
      <c r="E14" s="140">
        <f>+Tabela134513[[#This Row],[RS financing 2022 (EUR)]]+Tabela134513[[#This Row],[RS financing 2023 (EUR]]</f>
        <v>2788538.7199999997</v>
      </c>
      <c r="F14" s="140">
        <v>835555.7</v>
      </c>
      <c r="G14" s="140">
        <v>1952983.02</v>
      </c>
    </row>
    <row r="15" spans="1:7" x14ac:dyDescent="0.25">
      <c r="A15" s="10" t="s">
        <v>1007</v>
      </c>
      <c r="B15" s="10" t="s">
        <v>1008</v>
      </c>
      <c r="C15" s="140">
        <v>2138936.64</v>
      </c>
      <c r="D15" s="140">
        <v>265119.96000000002</v>
      </c>
      <c r="E15" s="140">
        <f>+Tabela134513[[#This Row],[RS financing 2022 (EUR)]]+Tabela134513[[#This Row],[RS financing 2023 (EUR]]</f>
        <v>265119.96000000002</v>
      </c>
      <c r="F15" s="140">
        <v>49999.99</v>
      </c>
      <c r="G15" s="140">
        <v>215119.97</v>
      </c>
    </row>
    <row r="16" spans="1:7" x14ac:dyDescent="0.25">
      <c r="A16" s="10" t="s">
        <v>1009</v>
      </c>
      <c r="B16" s="10" t="s">
        <v>1010</v>
      </c>
      <c r="C16" s="140">
        <v>11563258.52</v>
      </c>
      <c r="D16" s="140">
        <v>7345170.9000000004</v>
      </c>
      <c r="E16" s="140">
        <f>+Tabela134513[[#This Row],[RS financing 2022 (EUR)]]+Tabela134513[[#This Row],[RS financing 2023 (EUR]]</f>
        <v>4481139.45</v>
      </c>
      <c r="F16" s="140">
        <v>1569619.41</v>
      </c>
      <c r="G16" s="140">
        <v>2911520.04</v>
      </c>
    </row>
    <row r="17" spans="1:7" x14ac:dyDescent="0.25">
      <c r="A17" s="10" t="s">
        <v>1011</v>
      </c>
      <c r="B17" s="10" t="s">
        <v>1012</v>
      </c>
      <c r="C17" s="140">
        <v>10093284.550000001</v>
      </c>
      <c r="D17" s="140">
        <v>2986486.1100000003</v>
      </c>
      <c r="E17" s="140">
        <f>+Tabela134513[[#This Row],[RS financing 2022 (EUR)]]+Tabela134513[[#This Row],[RS financing 2023 (EUR]]</f>
        <v>2506485.64</v>
      </c>
      <c r="F17" s="140">
        <v>18705.169999999998</v>
      </c>
      <c r="G17" s="140">
        <v>2487780.4700000002</v>
      </c>
    </row>
    <row r="18" spans="1:7" x14ac:dyDescent="0.25">
      <c r="A18" s="10" t="s">
        <v>1013</v>
      </c>
      <c r="B18" s="10" t="s">
        <v>1014</v>
      </c>
      <c r="C18" s="140">
        <v>29990080.66</v>
      </c>
      <c r="D18" s="140">
        <v>7839905.0099999998</v>
      </c>
      <c r="E18" s="140">
        <f>+Tabela134513[[#This Row],[RS financing 2022 (EUR)]]+Tabela134513[[#This Row],[RS financing 2023 (EUR]]</f>
        <v>4256614.22</v>
      </c>
      <c r="F18" s="140">
        <v>26873.79</v>
      </c>
      <c r="G18" s="140">
        <v>4229740.43</v>
      </c>
    </row>
    <row r="19" spans="1:7" x14ac:dyDescent="0.25">
      <c r="A19" s="10" t="s">
        <v>1015</v>
      </c>
      <c r="B19" s="10" t="s">
        <v>1016</v>
      </c>
      <c r="C19" s="140">
        <v>17009647.73</v>
      </c>
      <c r="D19" s="140">
        <v>304115.20999999996</v>
      </c>
      <c r="E19" s="140">
        <f>+Tabela134513[[#This Row],[RS financing 2022 (EUR)]]+Tabela134513[[#This Row],[RS financing 2023 (EUR]]</f>
        <v>301940.51</v>
      </c>
      <c r="F19" s="140">
        <v>40916.080000000002</v>
      </c>
      <c r="G19" s="140">
        <v>261024.43</v>
      </c>
    </row>
    <row r="20" spans="1:7" x14ac:dyDescent="0.25">
      <c r="A20" s="10" t="s">
        <v>1017</v>
      </c>
      <c r="B20" s="10" t="s">
        <v>1018</v>
      </c>
      <c r="C20" s="140">
        <v>4281979.41</v>
      </c>
      <c r="D20" s="140">
        <v>2188777.42</v>
      </c>
      <c r="E20" s="140">
        <f>+Tabela134513[[#This Row],[RS financing 2022 (EUR)]]+Tabela134513[[#This Row],[RS financing 2023 (EUR]]</f>
        <v>1434997.37</v>
      </c>
      <c r="F20" s="140">
        <v>780197.05</v>
      </c>
      <c r="G20" s="140">
        <v>654800.31999999995</v>
      </c>
    </row>
    <row r="21" spans="1:7" x14ac:dyDescent="0.25">
      <c r="A21" s="10" t="s">
        <v>1019</v>
      </c>
      <c r="B21" s="10" t="s">
        <v>1020</v>
      </c>
      <c r="C21" s="140">
        <v>1610979.91</v>
      </c>
      <c r="D21" s="140">
        <v>780341</v>
      </c>
      <c r="E21" s="140">
        <f>+Tabela134513[[#This Row],[RS financing 2022 (EUR)]]+Tabela134513[[#This Row],[RS financing 2023 (EUR]]</f>
        <v>560308.66</v>
      </c>
      <c r="F21" s="140">
        <v>504641.82</v>
      </c>
      <c r="G21" s="140">
        <v>55666.84</v>
      </c>
    </row>
    <row r="22" spans="1:7" x14ac:dyDescent="0.25">
      <c r="A22" s="10" t="s">
        <v>1021</v>
      </c>
      <c r="B22" s="10" t="s">
        <v>1022</v>
      </c>
      <c r="C22" s="140">
        <v>35840108.850000001</v>
      </c>
      <c r="D22" s="140">
        <v>6032370.9100000001</v>
      </c>
      <c r="E22" s="140">
        <f>+Tabela134513[[#This Row],[RS financing 2022 (EUR)]]+Tabela134513[[#This Row],[RS financing 2023 (EUR]]</f>
        <v>1419559.3299999998</v>
      </c>
      <c r="F22" s="140">
        <v>9875.92</v>
      </c>
      <c r="G22" s="140">
        <v>1409683.41</v>
      </c>
    </row>
    <row r="23" spans="1:7" x14ac:dyDescent="0.25">
      <c r="A23" s="144"/>
      <c r="B23" s="144"/>
      <c r="C23" s="142">
        <f>SUBTOTAL(109,Tabela134513[Total project amount (EUR)])</f>
        <v>188450506.57999998</v>
      </c>
      <c r="D23" s="142">
        <f>SUBTOTAL(109,Tabela134513[RS financing amount (EUR)])</f>
        <v>34099605.100000009</v>
      </c>
      <c r="E23" s="142">
        <f>SUBTOTAL(109,Tabela134513[Bond eligible amount (EUR)
Σ 22+23])</f>
        <v>20651873.710000001</v>
      </c>
      <c r="F23" s="142">
        <f>SUBTOTAL(109,Tabela134513[RS financing 2022 (EUR)])</f>
        <v>5098108.2300000004</v>
      </c>
      <c r="G23" s="142">
        <f>SUBTOTAL(109,Tabela134513[RS financing 2023 (EUR])</f>
        <v>15553765.48</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FFD32-66C4-43EB-AA1B-17057E333B04}">
  <dimension ref="A1:G98"/>
  <sheetViews>
    <sheetView workbookViewId="0">
      <pane xSplit="1" ySplit="1" topLeftCell="B59" activePane="bottomRight" state="frozen"/>
      <selection pane="topRight" activeCell="B1" sqref="B1"/>
      <selection pane="bottomLeft" activeCell="A2" sqref="A2"/>
      <selection pane="bottomRight" activeCell="J64" sqref="J64"/>
    </sheetView>
  </sheetViews>
  <sheetFormatPr defaultColWidth="8.69921875" defaultRowHeight="13.2" x14ac:dyDescent="0.25"/>
  <cols>
    <col min="1" max="1" width="11.69921875" style="10" bestFit="1" customWidth="1"/>
    <col min="2" max="2" width="73.19921875" style="10" bestFit="1" customWidth="1"/>
    <col min="3" max="3" width="23.69921875" style="10" customWidth="1"/>
    <col min="4" max="4" width="24" style="10" customWidth="1"/>
    <col min="5" max="5" width="15.69921875" style="10" customWidth="1"/>
    <col min="6" max="6" width="21.5" style="10" customWidth="1"/>
    <col min="7" max="7" width="35.19921875" style="10" customWidth="1"/>
    <col min="8" max="16384" width="8.69921875" style="10"/>
  </cols>
  <sheetData>
    <row r="1" spans="1:7" ht="39.6" x14ac:dyDescent="0.25">
      <c r="A1" s="15" t="s">
        <v>483</v>
      </c>
      <c r="B1" s="14" t="s">
        <v>785</v>
      </c>
      <c r="C1" s="13" t="s">
        <v>11</v>
      </c>
      <c r="D1" s="13" t="s">
        <v>489</v>
      </c>
      <c r="E1" s="13" t="s">
        <v>13</v>
      </c>
      <c r="F1" s="12" t="s">
        <v>14</v>
      </c>
      <c r="G1" s="12" t="s">
        <v>15</v>
      </c>
    </row>
    <row r="2" spans="1:7" x14ac:dyDescent="0.25">
      <c r="A2" s="10" t="s">
        <v>1023</v>
      </c>
      <c r="B2" s="10" t="s">
        <v>1024</v>
      </c>
      <c r="C2" s="140">
        <v>106991</v>
      </c>
      <c r="D2" s="140">
        <v>57480</v>
      </c>
      <c r="E2" s="140">
        <f>+Tabela1345614[[#This Row],[RS financing 2022 (EUR)]]+Tabela1345614[[#This Row],[RS financing 2023 (EUR)]]</f>
        <v>57480</v>
      </c>
      <c r="F2" s="139">
        <v>0</v>
      </c>
      <c r="G2" s="140">
        <v>57480</v>
      </c>
    </row>
    <row r="3" spans="1:7" x14ac:dyDescent="0.25">
      <c r="A3" s="10" t="s">
        <v>1025</v>
      </c>
      <c r="B3" s="10" t="s">
        <v>1026</v>
      </c>
      <c r="C3" s="140">
        <v>425622</v>
      </c>
      <c r="D3" s="140">
        <v>99739</v>
      </c>
      <c r="E3" s="140">
        <f>+Tabela1345614[[#This Row],[RS financing 2022 (EUR)]]+Tabela1345614[[#This Row],[RS financing 2023 (EUR)]]</f>
        <v>99739</v>
      </c>
      <c r="F3" s="140">
        <v>99739</v>
      </c>
      <c r="G3" s="139">
        <v>0</v>
      </c>
    </row>
    <row r="4" spans="1:7" x14ac:dyDescent="0.25">
      <c r="A4" s="10" t="s">
        <v>1027</v>
      </c>
      <c r="B4" s="10" t="s">
        <v>1028</v>
      </c>
      <c r="C4" s="140">
        <v>1292992</v>
      </c>
      <c r="D4" s="140">
        <v>685038</v>
      </c>
      <c r="E4" s="140">
        <f>+Tabela1345614[[#This Row],[RS financing 2022 (EUR)]]+Tabela1345614[[#This Row],[RS financing 2023 (EUR)]]</f>
        <v>112000</v>
      </c>
      <c r="F4" s="139">
        <v>0</v>
      </c>
      <c r="G4" s="140">
        <v>112000</v>
      </c>
    </row>
    <row r="5" spans="1:7" x14ac:dyDescent="0.25">
      <c r="A5" s="10" t="s">
        <v>1029</v>
      </c>
      <c r="B5" s="10" t="s">
        <v>1030</v>
      </c>
      <c r="C5" s="140">
        <v>641279</v>
      </c>
      <c r="D5" s="140">
        <v>117229</v>
      </c>
      <c r="E5" s="140">
        <f>+Tabela1345614[[#This Row],[RS financing 2022 (EUR)]]+Tabela1345614[[#This Row],[RS financing 2023 (EUR)]]</f>
        <v>117229</v>
      </c>
      <c r="F5" s="140">
        <v>117229</v>
      </c>
      <c r="G5" s="139">
        <v>0</v>
      </c>
    </row>
    <row r="6" spans="1:7" x14ac:dyDescent="0.25">
      <c r="A6" s="10" t="s">
        <v>1031</v>
      </c>
      <c r="B6" s="10" t="s">
        <v>1032</v>
      </c>
      <c r="C6" s="140">
        <v>818012</v>
      </c>
      <c r="D6" s="140">
        <v>734379</v>
      </c>
      <c r="E6" s="140">
        <f>+Tabela1345614[[#This Row],[RS financing 2022 (EUR)]]+Tabela1345614[[#This Row],[RS financing 2023 (EUR)]]</f>
        <v>127952</v>
      </c>
      <c r="F6" s="140">
        <v>127952</v>
      </c>
      <c r="G6" s="139">
        <v>0</v>
      </c>
    </row>
    <row r="7" spans="1:7" x14ac:dyDescent="0.25">
      <c r="A7" s="10" t="s">
        <v>1033</v>
      </c>
      <c r="B7" s="10" t="s">
        <v>1034</v>
      </c>
      <c r="C7" s="140">
        <v>1067487</v>
      </c>
      <c r="D7" s="140">
        <v>451942</v>
      </c>
      <c r="E7" s="140">
        <f>+Tabela1345614[[#This Row],[RS financing 2022 (EUR)]]+Tabela1345614[[#This Row],[RS financing 2023 (EUR)]]</f>
        <v>128279</v>
      </c>
      <c r="F7" s="140">
        <v>128279</v>
      </c>
      <c r="G7" s="139">
        <v>0</v>
      </c>
    </row>
    <row r="8" spans="1:7" x14ac:dyDescent="0.25">
      <c r="A8" s="10" t="s">
        <v>1035</v>
      </c>
      <c r="B8" s="10" t="s">
        <v>1036</v>
      </c>
      <c r="C8" s="140">
        <v>317018</v>
      </c>
      <c r="D8" s="140">
        <v>162842</v>
      </c>
      <c r="E8" s="140">
        <f>+Tabela1345614[[#This Row],[RS financing 2022 (EUR)]]+Tabela1345614[[#This Row],[RS financing 2023 (EUR)]]</f>
        <v>162842</v>
      </c>
      <c r="F8" s="140">
        <v>162842</v>
      </c>
      <c r="G8" s="139">
        <v>0</v>
      </c>
    </row>
    <row r="9" spans="1:7" x14ac:dyDescent="0.25">
      <c r="A9" s="10" t="s">
        <v>1037</v>
      </c>
      <c r="B9" s="10" t="s">
        <v>1038</v>
      </c>
      <c r="C9" s="140">
        <v>467017</v>
      </c>
      <c r="D9" s="140">
        <v>175017</v>
      </c>
      <c r="E9" s="140">
        <f>+Tabela1345614[[#This Row],[RS financing 2022 (EUR)]]+Tabela1345614[[#This Row],[RS financing 2023 (EUR)]]</f>
        <v>175016</v>
      </c>
      <c r="F9" s="140">
        <v>137514</v>
      </c>
      <c r="G9" s="140">
        <v>37502</v>
      </c>
    </row>
    <row r="10" spans="1:7" x14ac:dyDescent="0.25">
      <c r="A10" s="10" t="s">
        <v>1039</v>
      </c>
      <c r="B10" s="10" t="s">
        <v>1040</v>
      </c>
      <c r="C10" s="140">
        <v>6225151</v>
      </c>
      <c r="D10" s="140">
        <v>1504025</v>
      </c>
      <c r="E10" s="140">
        <f>+Tabela1345614[[#This Row],[RS financing 2022 (EUR)]]+Tabela1345614[[#This Row],[RS financing 2023 (EUR)]]</f>
        <v>193865</v>
      </c>
      <c r="F10" s="140">
        <v>193865</v>
      </c>
      <c r="G10" s="139">
        <v>0</v>
      </c>
    </row>
    <row r="11" spans="1:7" x14ac:dyDescent="0.25">
      <c r="A11" s="10" t="s">
        <v>1041</v>
      </c>
      <c r="B11" s="10" t="s">
        <v>1042</v>
      </c>
      <c r="C11" s="140">
        <v>425104</v>
      </c>
      <c r="D11" s="140">
        <v>195829</v>
      </c>
      <c r="E11" s="140">
        <f>+Tabela1345614[[#This Row],[RS financing 2022 (EUR)]]+Tabela1345614[[#This Row],[RS financing 2023 (EUR)]]</f>
        <v>195829</v>
      </c>
      <c r="F11" s="140">
        <v>195829</v>
      </c>
      <c r="G11" s="139">
        <v>0</v>
      </c>
    </row>
    <row r="12" spans="1:7" x14ac:dyDescent="0.25">
      <c r="A12" s="10" t="s">
        <v>1043</v>
      </c>
      <c r="B12" s="10" t="s">
        <v>1044</v>
      </c>
      <c r="C12" s="140">
        <v>302475</v>
      </c>
      <c r="D12" s="140">
        <v>206994</v>
      </c>
      <c r="E12" s="140">
        <f>+Tabela1345614[[#This Row],[RS financing 2022 (EUR)]]+Tabela1345614[[#This Row],[RS financing 2023 (EUR)]]</f>
        <v>206994</v>
      </c>
      <c r="F12" s="140">
        <v>206994</v>
      </c>
      <c r="G12" s="139">
        <v>0</v>
      </c>
    </row>
    <row r="13" spans="1:7" x14ac:dyDescent="0.25">
      <c r="A13" s="10" t="s">
        <v>1045</v>
      </c>
      <c r="B13" s="10" t="s">
        <v>1046</v>
      </c>
      <c r="C13" s="140">
        <v>450999</v>
      </c>
      <c r="D13" s="140">
        <v>218671</v>
      </c>
      <c r="E13" s="140">
        <f>+Tabela1345614[[#This Row],[RS financing 2022 (EUR)]]+Tabela1345614[[#This Row],[RS financing 2023 (EUR)]]</f>
        <v>218671</v>
      </c>
      <c r="F13" s="140">
        <v>218671</v>
      </c>
      <c r="G13" s="139">
        <v>0</v>
      </c>
    </row>
    <row r="14" spans="1:7" x14ac:dyDescent="0.25">
      <c r="A14" s="10" t="s">
        <v>1047</v>
      </c>
      <c r="B14" s="10" t="s">
        <v>1048</v>
      </c>
      <c r="C14" s="140">
        <v>972083</v>
      </c>
      <c r="D14" s="140">
        <v>241104</v>
      </c>
      <c r="E14" s="140">
        <f>+Tabela1345614[[#This Row],[RS financing 2022 (EUR)]]+Tabela1345614[[#This Row],[RS financing 2023 (EUR)]]</f>
        <v>241104</v>
      </c>
      <c r="F14" s="140">
        <v>241104</v>
      </c>
      <c r="G14" s="139">
        <v>0</v>
      </c>
    </row>
    <row r="15" spans="1:7" x14ac:dyDescent="0.25">
      <c r="A15" s="10" t="s">
        <v>1049</v>
      </c>
      <c r="B15" s="10" t="s">
        <v>1050</v>
      </c>
      <c r="C15" s="140">
        <v>1061034</v>
      </c>
      <c r="D15" s="140">
        <v>508589</v>
      </c>
      <c r="E15" s="140">
        <f>+Tabela1345614[[#This Row],[RS financing 2022 (EUR)]]+Tabela1345614[[#This Row],[RS financing 2023 (EUR)]]</f>
        <v>250000</v>
      </c>
      <c r="F15" s="139">
        <v>0</v>
      </c>
      <c r="G15" s="140">
        <v>250000</v>
      </c>
    </row>
    <row r="16" spans="1:7" x14ac:dyDescent="0.25">
      <c r="A16" s="10" t="s">
        <v>1051</v>
      </c>
      <c r="B16" s="10" t="s">
        <v>1052</v>
      </c>
      <c r="C16" s="140">
        <v>1686833</v>
      </c>
      <c r="D16" s="140">
        <v>586833</v>
      </c>
      <c r="E16" s="140">
        <f>+Tabela1345614[[#This Row],[RS financing 2022 (EUR)]]+Tabela1345614[[#This Row],[RS financing 2023 (EUR)]]</f>
        <v>268858</v>
      </c>
      <c r="F16" s="139">
        <v>0</v>
      </c>
      <c r="G16" s="140">
        <v>268858</v>
      </c>
    </row>
    <row r="17" spans="1:7" x14ac:dyDescent="0.25">
      <c r="A17" s="10" t="s">
        <v>1053</v>
      </c>
      <c r="B17" s="10" t="s">
        <v>1054</v>
      </c>
      <c r="C17" s="140">
        <v>391765</v>
      </c>
      <c r="D17" s="140">
        <v>270062</v>
      </c>
      <c r="E17" s="140">
        <f>+Tabela1345614[[#This Row],[RS financing 2022 (EUR)]]+Tabela1345614[[#This Row],[RS financing 2023 (EUR)]]</f>
        <v>270062</v>
      </c>
      <c r="F17" s="139">
        <v>0</v>
      </c>
      <c r="G17" s="140">
        <v>270062</v>
      </c>
    </row>
    <row r="18" spans="1:7" x14ac:dyDescent="0.25">
      <c r="A18" s="10" t="s">
        <v>1055</v>
      </c>
      <c r="B18" s="10" t="s">
        <v>1056</v>
      </c>
      <c r="C18" s="140">
        <v>561200</v>
      </c>
      <c r="D18" s="140">
        <v>271242</v>
      </c>
      <c r="E18" s="140">
        <f>+Tabela1345614[[#This Row],[RS financing 2022 (EUR)]]+Tabela1345614[[#This Row],[RS financing 2023 (EUR)]]</f>
        <v>271242</v>
      </c>
      <c r="F18" s="140">
        <v>200000</v>
      </c>
      <c r="G18" s="140">
        <v>71242</v>
      </c>
    </row>
    <row r="19" spans="1:7" x14ac:dyDescent="0.25">
      <c r="A19" s="10" t="s">
        <v>1057</v>
      </c>
      <c r="B19" s="10" t="s">
        <v>1058</v>
      </c>
      <c r="C19" s="140">
        <v>1140079</v>
      </c>
      <c r="D19" s="140">
        <v>283000</v>
      </c>
      <c r="E19" s="140">
        <f>+Tabela1345614[[#This Row],[RS financing 2022 (EUR)]]+Tabela1345614[[#This Row],[RS financing 2023 (EUR)]]</f>
        <v>283000</v>
      </c>
      <c r="F19" s="140">
        <v>283000</v>
      </c>
      <c r="G19" s="139">
        <v>0</v>
      </c>
    </row>
    <row r="20" spans="1:7" x14ac:dyDescent="0.25">
      <c r="A20" s="10" t="s">
        <v>1059</v>
      </c>
      <c r="B20" s="10" t="s">
        <v>1060</v>
      </c>
      <c r="C20" s="140">
        <v>3469956</v>
      </c>
      <c r="D20" s="140">
        <v>1381134</v>
      </c>
      <c r="E20" s="140">
        <f>+Tabela1345614[[#This Row],[RS financing 2022 (EUR)]]+Tabela1345614[[#This Row],[RS financing 2023 (EUR)]]</f>
        <v>284787</v>
      </c>
      <c r="F20" s="140">
        <v>284787</v>
      </c>
      <c r="G20" s="139">
        <v>0</v>
      </c>
    </row>
    <row r="21" spans="1:7" x14ac:dyDescent="0.25">
      <c r="A21" s="10" t="s">
        <v>1061</v>
      </c>
      <c r="B21" s="10" t="s">
        <v>1062</v>
      </c>
      <c r="C21" s="140">
        <v>463905</v>
      </c>
      <c r="D21" s="140">
        <v>288158</v>
      </c>
      <c r="E21" s="140">
        <f>+Tabela1345614[[#This Row],[RS financing 2022 (EUR)]]+Tabela1345614[[#This Row],[RS financing 2023 (EUR)]]</f>
        <v>288158</v>
      </c>
      <c r="F21" s="140">
        <v>288158</v>
      </c>
      <c r="G21" s="139">
        <v>0</v>
      </c>
    </row>
    <row r="22" spans="1:7" x14ac:dyDescent="0.25">
      <c r="A22" s="10" t="s">
        <v>1063</v>
      </c>
      <c r="B22" s="10" t="s">
        <v>1064</v>
      </c>
      <c r="C22" s="140">
        <v>363326</v>
      </c>
      <c r="D22" s="140">
        <v>291708</v>
      </c>
      <c r="E22" s="140">
        <f>+Tabela1345614[[#This Row],[RS financing 2022 (EUR)]]+Tabela1345614[[#This Row],[RS financing 2023 (EUR)]]</f>
        <v>291708</v>
      </c>
      <c r="F22" s="140">
        <v>250000</v>
      </c>
      <c r="G22" s="140">
        <v>41708</v>
      </c>
    </row>
    <row r="23" spans="1:7" x14ac:dyDescent="0.25">
      <c r="A23" s="10" t="s">
        <v>1065</v>
      </c>
      <c r="B23" s="10" t="s">
        <v>1066</v>
      </c>
      <c r="C23" s="140">
        <v>512534</v>
      </c>
      <c r="D23" s="140">
        <v>292661</v>
      </c>
      <c r="E23" s="140">
        <f>+Tabela1345614[[#This Row],[RS financing 2022 (EUR)]]+Tabela1345614[[#This Row],[RS financing 2023 (EUR)]]</f>
        <v>292661</v>
      </c>
      <c r="F23" s="140">
        <v>292661</v>
      </c>
      <c r="G23" s="139">
        <v>0</v>
      </c>
    </row>
    <row r="24" spans="1:7" x14ac:dyDescent="0.25">
      <c r="A24" s="10" t="s">
        <v>1067</v>
      </c>
      <c r="B24" s="10" t="s">
        <v>1068</v>
      </c>
      <c r="C24" s="140">
        <v>818324</v>
      </c>
      <c r="D24" s="140">
        <v>362197</v>
      </c>
      <c r="E24" s="140">
        <f>+Tabela1345614[[#This Row],[RS financing 2022 (EUR)]]+Tabela1345614[[#This Row],[RS financing 2023 (EUR)]]</f>
        <v>293379</v>
      </c>
      <c r="F24" s="139">
        <v>0</v>
      </c>
      <c r="G24" s="140">
        <v>293379</v>
      </c>
    </row>
    <row r="25" spans="1:7" x14ac:dyDescent="0.25">
      <c r="A25" s="10" t="s">
        <v>1069</v>
      </c>
      <c r="B25" s="10" t="s">
        <v>1070</v>
      </c>
      <c r="C25" s="140">
        <v>849532</v>
      </c>
      <c r="D25" s="140">
        <v>399053</v>
      </c>
      <c r="E25" s="140">
        <f>+Tabela1345614[[#This Row],[RS financing 2022 (EUR)]]+Tabela1345614[[#This Row],[RS financing 2023 (EUR)]]</f>
        <v>299053</v>
      </c>
      <c r="F25" s="140">
        <v>299053</v>
      </c>
      <c r="G25" s="139">
        <v>0</v>
      </c>
    </row>
    <row r="26" spans="1:7" x14ac:dyDescent="0.25">
      <c r="A26" s="10" t="s">
        <v>1071</v>
      </c>
      <c r="B26" s="10" t="s">
        <v>1072</v>
      </c>
      <c r="C26" s="140">
        <v>4289223</v>
      </c>
      <c r="D26" s="140">
        <v>1172667</v>
      </c>
      <c r="E26" s="140">
        <f>+Tabela1345614[[#This Row],[RS financing 2022 (EUR)]]+Tabela1345614[[#This Row],[RS financing 2023 (EUR)]]</f>
        <v>300000</v>
      </c>
      <c r="F26" s="140">
        <v>300000</v>
      </c>
      <c r="G26" s="139">
        <v>0</v>
      </c>
    </row>
    <row r="27" spans="1:7" x14ac:dyDescent="0.25">
      <c r="A27" s="10" t="s">
        <v>1073</v>
      </c>
      <c r="B27" s="10" t="s">
        <v>1074</v>
      </c>
      <c r="C27" s="140">
        <v>1286094</v>
      </c>
      <c r="D27" s="140">
        <v>502855</v>
      </c>
      <c r="E27" s="140">
        <f>+Tabela1345614[[#This Row],[RS financing 2022 (EUR)]]+Tabela1345614[[#This Row],[RS financing 2023 (EUR)]]</f>
        <v>302855</v>
      </c>
      <c r="F27" s="140">
        <v>302855</v>
      </c>
      <c r="G27" s="139">
        <v>0</v>
      </c>
    </row>
    <row r="28" spans="1:7" x14ac:dyDescent="0.25">
      <c r="A28" s="10" t="s">
        <v>1075</v>
      </c>
      <c r="B28" s="10" t="s">
        <v>1076</v>
      </c>
      <c r="C28" s="140">
        <v>2242837</v>
      </c>
      <c r="D28" s="140">
        <v>974331</v>
      </c>
      <c r="E28" s="140">
        <f>+Tabela1345614[[#This Row],[RS financing 2022 (EUR)]]+Tabela1345614[[#This Row],[RS financing 2023 (EUR)]]</f>
        <v>324000</v>
      </c>
      <c r="F28" s="139">
        <v>0</v>
      </c>
      <c r="G28" s="140">
        <v>324000</v>
      </c>
    </row>
    <row r="29" spans="1:7" x14ac:dyDescent="0.25">
      <c r="A29" s="10" t="s">
        <v>1077</v>
      </c>
      <c r="B29" s="10" t="s">
        <v>1078</v>
      </c>
      <c r="C29" s="140">
        <v>1526867</v>
      </c>
      <c r="D29" s="140">
        <v>336360</v>
      </c>
      <c r="E29" s="140">
        <f>+Tabela1345614[[#This Row],[RS financing 2022 (EUR)]]+Tabela1345614[[#This Row],[RS financing 2023 (EUR)]]</f>
        <v>336360</v>
      </c>
      <c r="F29" s="140">
        <v>150000</v>
      </c>
      <c r="G29" s="140">
        <v>186360</v>
      </c>
    </row>
    <row r="30" spans="1:7" x14ac:dyDescent="0.25">
      <c r="A30" s="10" t="s">
        <v>1079</v>
      </c>
      <c r="B30" s="10" t="s">
        <v>1080</v>
      </c>
      <c r="C30" s="140">
        <v>1296834</v>
      </c>
      <c r="D30" s="140">
        <v>338163</v>
      </c>
      <c r="E30" s="140">
        <f>+Tabela1345614[[#This Row],[RS financing 2022 (EUR)]]+Tabela1345614[[#This Row],[RS financing 2023 (EUR)]]</f>
        <v>338163</v>
      </c>
      <c r="F30" s="140">
        <v>338163</v>
      </c>
      <c r="G30" s="139">
        <v>0</v>
      </c>
    </row>
    <row r="31" spans="1:7" x14ac:dyDescent="0.25">
      <c r="A31" s="10" t="s">
        <v>1081</v>
      </c>
      <c r="B31" s="10" t="s">
        <v>1082</v>
      </c>
      <c r="C31" s="140">
        <v>542111</v>
      </c>
      <c r="D31" s="140">
        <v>342111</v>
      </c>
      <c r="E31" s="140">
        <f>+Tabela1345614[[#This Row],[RS financing 2022 (EUR)]]+Tabela1345614[[#This Row],[RS financing 2023 (EUR)]]</f>
        <v>342111</v>
      </c>
      <c r="F31" s="140">
        <v>342111</v>
      </c>
      <c r="G31" s="139">
        <v>0</v>
      </c>
    </row>
    <row r="32" spans="1:7" x14ac:dyDescent="0.25">
      <c r="A32" s="10" t="s">
        <v>1083</v>
      </c>
      <c r="B32" s="10" t="s">
        <v>1084</v>
      </c>
      <c r="C32" s="140">
        <v>711851</v>
      </c>
      <c r="D32" s="140">
        <v>343845</v>
      </c>
      <c r="E32" s="140">
        <f>+Tabela1345614[[#This Row],[RS financing 2022 (EUR)]]+Tabela1345614[[#This Row],[RS financing 2023 (EUR)]]</f>
        <v>343845</v>
      </c>
      <c r="F32" s="140">
        <v>343845</v>
      </c>
      <c r="G32" s="139">
        <v>0</v>
      </c>
    </row>
    <row r="33" spans="1:7" x14ac:dyDescent="0.25">
      <c r="A33" s="10" t="s">
        <v>1085</v>
      </c>
      <c r="B33" s="10" t="s">
        <v>1086</v>
      </c>
      <c r="C33" s="140">
        <v>664470</v>
      </c>
      <c r="D33" s="140">
        <v>350979</v>
      </c>
      <c r="E33" s="140">
        <f>+Tabela1345614[[#This Row],[RS financing 2022 (EUR)]]+Tabela1345614[[#This Row],[RS financing 2023 (EUR)]]</f>
        <v>350979</v>
      </c>
      <c r="F33" s="140">
        <v>100000</v>
      </c>
      <c r="G33" s="140">
        <v>250979</v>
      </c>
    </row>
    <row r="34" spans="1:7" x14ac:dyDescent="0.25">
      <c r="A34" s="10" t="s">
        <v>1087</v>
      </c>
      <c r="B34" s="10" t="s">
        <v>1088</v>
      </c>
      <c r="C34" s="140">
        <v>790971</v>
      </c>
      <c r="D34" s="140">
        <v>380577</v>
      </c>
      <c r="E34" s="140">
        <f>+Tabela1345614[[#This Row],[RS financing 2022 (EUR)]]+Tabela1345614[[#This Row],[RS financing 2023 (EUR)]]</f>
        <v>380577</v>
      </c>
      <c r="F34" s="140">
        <v>380577</v>
      </c>
      <c r="G34" s="139">
        <v>0</v>
      </c>
    </row>
    <row r="35" spans="1:7" x14ac:dyDescent="0.25">
      <c r="A35" s="10" t="s">
        <v>1089</v>
      </c>
      <c r="B35" s="10" t="s">
        <v>1090</v>
      </c>
      <c r="C35" s="140">
        <v>1603622</v>
      </c>
      <c r="D35" s="140">
        <v>386622</v>
      </c>
      <c r="E35" s="140">
        <f>+Tabela1345614[[#This Row],[RS financing 2022 (EUR)]]+Tabela1345614[[#This Row],[RS financing 2023 (EUR)]]</f>
        <v>386622</v>
      </c>
      <c r="F35" s="140">
        <v>100000</v>
      </c>
      <c r="G35" s="140">
        <v>286622</v>
      </c>
    </row>
    <row r="36" spans="1:7" x14ac:dyDescent="0.25">
      <c r="A36" s="10" t="s">
        <v>1091</v>
      </c>
      <c r="B36" s="10" t="s">
        <v>1092</v>
      </c>
      <c r="C36" s="140">
        <v>2850539</v>
      </c>
      <c r="D36" s="140">
        <v>1172667</v>
      </c>
      <c r="E36" s="140">
        <f>+Tabela1345614[[#This Row],[RS financing 2022 (EUR)]]+Tabela1345614[[#This Row],[RS financing 2023 (EUR)]]</f>
        <v>388000</v>
      </c>
      <c r="F36" s="139">
        <v>0</v>
      </c>
      <c r="G36" s="140">
        <v>388000</v>
      </c>
    </row>
    <row r="37" spans="1:7" x14ac:dyDescent="0.25">
      <c r="A37" s="10" t="s">
        <v>1093</v>
      </c>
      <c r="B37" s="10" t="s">
        <v>1094</v>
      </c>
      <c r="C37" s="140">
        <v>2505911</v>
      </c>
      <c r="D37" s="140">
        <v>1172667</v>
      </c>
      <c r="E37" s="140">
        <f>+Tabela1345614[[#This Row],[RS financing 2022 (EUR)]]+Tabela1345614[[#This Row],[RS financing 2023 (EUR)]]</f>
        <v>398093</v>
      </c>
      <c r="F37" s="139">
        <v>0</v>
      </c>
      <c r="G37" s="140">
        <v>398093</v>
      </c>
    </row>
    <row r="38" spans="1:7" x14ac:dyDescent="0.25">
      <c r="A38" s="10" t="s">
        <v>1095</v>
      </c>
      <c r="B38" s="10" t="s">
        <v>1096</v>
      </c>
      <c r="C38" s="140">
        <v>1552071</v>
      </c>
      <c r="D38" s="140">
        <v>1012240</v>
      </c>
      <c r="E38" s="140">
        <f>+Tabela1345614[[#This Row],[RS financing 2022 (EUR)]]+Tabela1345614[[#This Row],[RS financing 2023 (EUR)]]</f>
        <v>400000</v>
      </c>
      <c r="F38" s="140">
        <v>400000</v>
      </c>
      <c r="G38" s="139">
        <v>0</v>
      </c>
    </row>
    <row r="39" spans="1:7" x14ac:dyDescent="0.25">
      <c r="A39" s="10" t="s">
        <v>1097</v>
      </c>
      <c r="B39" s="10" t="s">
        <v>1098</v>
      </c>
      <c r="C39" s="140">
        <v>752874</v>
      </c>
      <c r="D39" s="140">
        <v>402874</v>
      </c>
      <c r="E39" s="140">
        <f>+Tabela1345614[[#This Row],[RS financing 2022 (EUR)]]+Tabela1345614[[#This Row],[RS financing 2023 (EUR)]]</f>
        <v>402874</v>
      </c>
      <c r="F39" s="140">
        <v>402874</v>
      </c>
      <c r="G39" s="139">
        <v>0</v>
      </c>
    </row>
    <row r="40" spans="1:7" x14ac:dyDescent="0.25">
      <c r="A40" s="10" t="s">
        <v>1099</v>
      </c>
      <c r="B40" s="10" t="s">
        <v>1100</v>
      </c>
      <c r="C40" s="140">
        <v>918383</v>
      </c>
      <c r="D40" s="140">
        <v>404363</v>
      </c>
      <c r="E40" s="140">
        <f>+Tabela1345614[[#This Row],[RS financing 2022 (EUR)]]+Tabela1345614[[#This Row],[RS financing 2023 (EUR)]]</f>
        <v>404363</v>
      </c>
      <c r="F40" s="140">
        <v>404363</v>
      </c>
      <c r="G40" s="139">
        <v>0</v>
      </c>
    </row>
    <row r="41" spans="1:7" x14ac:dyDescent="0.25">
      <c r="A41" s="10" t="s">
        <v>1101</v>
      </c>
      <c r="B41" s="10" t="s">
        <v>1102</v>
      </c>
      <c r="C41" s="140">
        <v>618624</v>
      </c>
      <c r="D41" s="140">
        <v>413761</v>
      </c>
      <c r="E41" s="140">
        <f>+Tabela1345614[[#This Row],[RS financing 2022 (EUR)]]+Tabela1345614[[#This Row],[RS financing 2023 (EUR)]]</f>
        <v>413761</v>
      </c>
      <c r="F41" s="140">
        <v>413761</v>
      </c>
      <c r="G41" s="139">
        <v>0</v>
      </c>
    </row>
    <row r="42" spans="1:7" x14ac:dyDescent="0.25">
      <c r="A42" s="10" t="s">
        <v>1103</v>
      </c>
      <c r="B42" s="10" t="s">
        <v>1104</v>
      </c>
      <c r="C42" s="140">
        <v>850261</v>
      </c>
      <c r="D42" s="140">
        <v>413819</v>
      </c>
      <c r="E42" s="140">
        <f>+Tabela1345614[[#This Row],[RS financing 2022 (EUR)]]+Tabela1345614[[#This Row],[RS financing 2023 (EUR)]]</f>
        <v>413819</v>
      </c>
      <c r="F42" s="139">
        <v>0</v>
      </c>
      <c r="G42" s="140">
        <v>413819</v>
      </c>
    </row>
    <row r="43" spans="1:7" x14ac:dyDescent="0.25">
      <c r="A43" s="10" t="s">
        <v>1105</v>
      </c>
      <c r="B43" s="10" t="s">
        <v>1106</v>
      </c>
      <c r="C43" s="140">
        <v>707423</v>
      </c>
      <c r="D43" s="140">
        <v>446965</v>
      </c>
      <c r="E43" s="140">
        <f>+Tabela1345614[[#This Row],[RS financing 2022 (EUR)]]+Tabela1345614[[#This Row],[RS financing 2023 (EUR)]]</f>
        <v>446965</v>
      </c>
      <c r="F43" s="139">
        <v>0</v>
      </c>
      <c r="G43" s="140">
        <v>446965</v>
      </c>
    </row>
    <row r="44" spans="1:7" x14ac:dyDescent="0.25">
      <c r="A44" s="10" t="s">
        <v>1107</v>
      </c>
      <c r="B44" s="10" t="s">
        <v>1108</v>
      </c>
      <c r="C44" s="140">
        <v>2316208</v>
      </c>
      <c r="D44" s="140">
        <v>970230</v>
      </c>
      <c r="E44" s="140">
        <f>+Tabela1345614[[#This Row],[RS financing 2022 (EUR)]]+Tabela1345614[[#This Row],[RS financing 2023 (EUR)]]</f>
        <v>450000</v>
      </c>
      <c r="F44" s="139">
        <v>0</v>
      </c>
      <c r="G44" s="140">
        <v>450000</v>
      </c>
    </row>
    <row r="45" spans="1:7" x14ac:dyDescent="0.25">
      <c r="A45" s="10" t="s">
        <v>1109</v>
      </c>
      <c r="B45" s="10" t="s">
        <v>1110</v>
      </c>
      <c r="C45" s="140">
        <v>6718660</v>
      </c>
      <c r="D45" s="140">
        <v>1400667</v>
      </c>
      <c r="E45" s="140">
        <f>+Tabela1345614[[#This Row],[RS financing 2022 (EUR)]]+Tabela1345614[[#This Row],[RS financing 2023 (EUR)]]</f>
        <v>458183</v>
      </c>
      <c r="F45" s="140">
        <v>458183</v>
      </c>
      <c r="G45" s="139">
        <v>0</v>
      </c>
    </row>
    <row r="46" spans="1:7" x14ac:dyDescent="0.25">
      <c r="A46" s="10" t="s">
        <v>1111</v>
      </c>
      <c r="B46" s="10" t="s">
        <v>1112</v>
      </c>
      <c r="C46" s="140">
        <v>2548042</v>
      </c>
      <c r="D46" s="140">
        <v>1184571</v>
      </c>
      <c r="E46" s="140">
        <f>+Tabela1345614[[#This Row],[RS financing 2022 (EUR)]]+Tabela1345614[[#This Row],[RS financing 2023 (EUR)]]</f>
        <v>460814</v>
      </c>
      <c r="F46" s="140">
        <v>460814</v>
      </c>
      <c r="G46" s="139">
        <v>0</v>
      </c>
    </row>
    <row r="47" spans="1:7" x14ac:dyDescent="0.25">
      <c r="A47" s="10" t="s">
        <v>1113</v>
      </c>
      <c r="B47" s="10" t="s">
        <v>1114</v>
      </c>
      <c r="C47" s="140">
        <v>1880000</v>
      </c>
      <c r="D47" s="140">
        <v>1172667</v>
      </c>
      <c r="E47" s="140">
        <f>+Tabela1345614[[#This Row],[RS financing 2022 (EUR)]]+Tabela1345614[[#This Row],[RS financing 2023 (EUR)]]</f>
        <v>463860</v>
      </c>
      <c r="F47" s="139">
        <v>0</v>
      </c>
      <c r="G47" s="140">
        <v>463860</v>
      </c>
    </row>
    <row r="48" spans="1:7" x14ac:dyDescent="0.25">
      <c r="A48" s="10" t="s">
        <v>1115</v>
      </c>
      <c r="B48" s="10" t="s">
        <v>1116</v>
      </c>
      <c r="C48" s="140">
        <v>1399962</v>
      </c>
      <c r="D48" s="140">
        <v>468153</v>
      </c>
      <c r="E48" s="140">
        <f>+Tabela1345614[[#This Row],[RS financing 2022 (EUR)]]+Tabela1345614[[#This Row],[RS financing 2023 (EUR)]]</f>
        <v>468153</v>
      </c>
      <c r="F48" s="140">
        <v>468153</v>
      </c>
      <c r="G48" s="139">
        <v>0</v>
      </c>
    </row>
    <row r="49" spans="1:7" x14ac:dyDescent="0.25">
      <c r="A49" s="10" t="s">
        <v>1117</v>
      </c>
      <c r="B49" s="10" t="s">
        <v>1118</v>
      </c>
      <c r="C49" s="140">
        <v>2110384</v>
      </c>
      <c r="D49" s="140">
        <v>879714</v>
      </c>
      <c r="E49" s="140">
        <f>+Tabela1345614[[#This Row],[RS financing 2022 (EUR)]]+Tabela1345614[[#This Row],[RS financing 2023 (EUR)]]</f>
        <v>486000</v>
      </c>
      <c r="F49" s="139">
        <v>0</v>
      </c>
      <c r="G49" s="140">
        <v>486000</v>
      </c>
    </row>
    <row r="50" spans="1:7" x14ac:dyDescent="0.25">
      <c r="A50" s="10" t="s">
        <v>1119</v>
      </c>
      <c r="B50" s="10" t="s">
        <v>1120</v>
      </c>
      <c r="C50" s="140">
        <v>626655</v>
      </c>
      <c r="D50" s="140">
        <v>500352</v>
      </c>
      <c r="E50" s="140">
        <f>+Tabela1345614[[#This Row],[RS financing 2022 (EUR)]]+Tabela1345614[[#This Row],[RS financing 2023 (EUR)]]</f>
        <v>500352</v>
      </c>
      <c r="F50" s="140">
        <v>500352</v>
      </c>
      <c r="G50" s="139">
        <v>0</v>
      </c>
    </row>
    <row r="51" spans="1:7" x14ac:dyDescent="0.25">
      <c r="A51" s="10" t="s">
        <v>1121</v>
      </c>
      <c r="B51" s="10" t="s">
        <v>1122</v>
      </c>
      <c r="C51" s="140">
        <v>2466195</v>
      </c>
      <c r="D51" s="140">
        <v>917177</v>
      </c>
      <c r="E51" s="140">
        <f>+Tabela1345614[[#This Row],[RS financing 2022 (EUR)]]+Tabela1345614[[#This Row],[RS financing 2023 (EUR)]]</f>
        <v>511026</v>
      </c>
      <c r="F51" s="140">
        <v>511026</v>
      </c>
      <c r="G51" s="139">
        <v>0</v>
      </c>
    </row>
    <row r="52" spans="1:7" x14ac:dyDescent="0.25">
      <c r="A52" s="10" t="s">
        <v>1123</v>
      </c>
      <c r="B52" s="10" t="s">
        <v>1124</v>
      </c>
      <c r="C52" s="140">
        <v>986667</v>
      </c>
      <c r="D52" s="140">
        <v>511400</v>
      </c>
      <c r="E52" s="140">
        <f>+Tabela1345614[[#This Row],[RS financing 2022 (EUR)]]+Tabela1345614[[#This Row],[RS financing 2023 (EUR)]]</f>
        <v>511400</v>
      </c>
      <c r="F52" s="140">
        <v>100000</v>
      </c>
      <c r="G52" s="140">
        <v>411400</v>
      </c>
    </row>
    <row r="53" spans="1:7" x14ac:dyDescent="0.25">
      <c r="A53" s="10" t="s">
        <v>1125</v>
      </c>
      <c r="B53" s="10" t="s">
        <v>1126</v>
      </c>
      <c r="C53" s="140">
        <v>2985477</v>
      </c>
      <c r="D53" s="140">
        <v>1136699</v>
      </c>
      <c r="E53" s="140">
        <f>+Tabela1345614[[#This Row],[RS financing 2022 (EUR)]]+Tabela1345614[[#This Row],[RS financing 2023 (EUR)]]</f>
        <v>530000</v>
      </c>
      <c r="F53" s="140">
        <v>530000</v>
      </c>
      <c r="G53" s="139">
        <v>0</v>
      </c>
    </row>
    <row r="54" spans="1:7" x14ac:dyDescent="0.25">
      <c r="A54" s="10" t="s">
        <v>1127</v>
      </c>
      <c r="B54" s="10" t="s">
        <v>1128</v>
      </c>
      <c r="C54" s="140">
        <v>1628982</v>
      </c>
      <c r="D54" s="140">
        <v>738141</v>
      </c>
      <c r="E54" s="140">
        <f>+Tabela1345614[[#This Row],[RS financing 2022 (EUR)]]+Tabela1345614[[#This Row],[RS financing 2023 (EUR)]]</f>
        <v>538141</v>
      </c>
      <c r="F54" s="140">
        <v>538141</v>
      </c>
      <c r="G54" s="139">
        <v>0</v>
      </c>
    </row>
    <row r="55" spans="1:7" x14ac:dyDescent="0.25">
      <c r="A55" s="10" t="s">
        <v>1129</v>
      </c>
      <c r="B55" s="10" t="s">
        <v>1130</v>
      </c>
      <c r="C55" s="140">
        <v>1044625</v>
      </c>
      <c r="D55" s="140">
        <v>729230</v>
      </c>
      <c r="E55" s="140">
        <f>+Tabela1345614[[#This Row],[RS financing 2022 (EUR)]]+Tabela1345614[[#This Row],[RS financing 2023 (EUR)]]</f>
        <v>729230</v>
      </c>
      <c r="F55" s="139">
        <v>0</v>
      </c>
      <c r="G55" s="140">
        <v>729230</v>
      </c>
    </row>
    <row r="56" spans="1:7" x14ac:dyDescent="0.25">
      <c r="A56" s="10" t="s">
        <v>1131</v>
      </c>
      <c r="B56" s="10" t="s">
        <v>1132</v>
      </c>
      <c r="C56" s="140">
        <v>4868108</v>
      </c>
      <c r="D56" s="140">
        <v>734226</v>
      </c>
      <c r="E56" s="140">
        <f>+Tabela1345614[[#This Row],[RS financing 2022 (EUR)]]+Tabela1345614[[#This Row],[RS financing 2023 (EUR)]]</f>
        <v>734226</v>
      </c>
      <c r="F56" s="140">
        <v>734226</v>
      </c>
      <c r="G56" s="139">
        <v>0</v>
      </c>
    </row>
    <row r="57" spans="1:7" x14ac:dyDescent="0.25">
      <c r="A57" s="10" t="s">
        <v>1133</v>
      </c>
      <c r="B57" s="10" t="s">
        <v>1134</v>
      </c>
      <c r="C57" s="140">
        <v>1814668</v>
      </c>
      <c r="D57" s="140">
        <v>761444</v>
      </c>
      <c r="E57" s="140">
        <f>+Tabela1345614[[#This Row],[RS financing 2022 (EUR)]]+Tabela1345614[[#This Row],[RS financing 2023 (EUR)]]</f>
        <v>761444</v>
      </c>
      <c r="F57" s="140">
        <v>581599</v>
      </c>
      <c r="G57" s="140">
        <v>179845</v>
      </c>
    </row>
    <row r="58" spans="1:7" x14ac:dyDescent="0.25">
      <c r="A58" s="10" t="s">
        <v>1135</v>
      </c>
      <c r="B58" s="10" t="s">
        <v>1136</v>
      </c>
      <c r="C58" s="140">
        <v>1690758</v>
      </c>
      <c r="D58" s="140">
        <v>765305</v>
      </c>
      <c r="E58" s="140">
        <f>+Tabela1345614[[#This Row],[RS financing 2022 (EUR)]]+Tabela1345614[[#This Row],[RS financing 2023 (EUR)]]</f>
        <v>765305</v>
      </c>
      <c r="F58" s="140">
        <v>388857</v>
      </c>
      <c r="G58" s="140">
        <v>376448</v>
      </c>
    </row>
    <row r="59" spans="1:7" x14ac:dyDescent="0.25">
      <c r="A59" s="10" t="s">
        <v>1137</v>
      </c>
      <c r="B59" s="10" t="s">
        <v>1138</v>
      </c>
      <c r="C59" s="140">
        <v>5553603</v>
      </c>
      <c r="D59" s="140">
        <v>769130</v>
      </c>
      <c r="E59" s="140">
        <f>+Tabela1345614[[#This Row],[RS financing 2022 (EUR)]]+Tabela1345614[[#This Row],[RS financing 2023 (EUR)]]</f>
        <v>769130</v>
      </c>
      <c r="F59" s="140">
        <v>769130</v>
      </c>
      <c r="G59" s="139">
        <v>0</v>
      </c>
    </row>
    <row r="60" spans="1:7" x14ac:dyDescent="0.25">
      <c r="A60" s="10" t="s">
        <v>1139</v>
      </c>
      <c r="B60" s="10" t="s">
        <v>1140</v>
      </c>
      <c r="C60" s="140">
        <v>2127307</v>
      </c>
      <c r="D60" s="140">
        <v>794088</v>
      </c>
      <c r="E60" s="140">
        <f>+Tabela1345614[[#This Row],[RS financing 2022 (EUR)]]+Tabela1345614[[#This Row],[RS financing 2023 (EUR)]]</f>
        <v>794088</v>
      </c>
      <c r="F60" s="140">
        <v>794088</v>
      </c>
      <c r="G60" s="139">
        <v>0</v>
      </c>
    </row>
    <row r="61" spans="1:7" x14ac:dyDescent="0.25">
      <c r="A61" s="10" t="s">
        <v>1141</v>
      </c>
      <c r="B61" s="10" t="s">
        <v>1142</v>
      </c>
      <c r="C61" s="140">
        <v>1594785</v>
      </c>
      <c r="D61" s="140">
        <v>801971</v>
      </c>
      <c r="E61" s="140">
        <f>+Tabela1345614[[#This Row],[RS financing 2022 (EUR)]]+Tabela1345614[[#This Row],[RS financing 2023 (EUR)]]</f>
        <v>801971</v>
      </c>
      <c r="F61" s="140">
        <v>801971</v>
      </c>
      <c r="G61" s="139">
        <v>0</v>
      </c>
    </row>
    <row r="62" spans="1:7" x14ac:dyDescent="0.25">
      <c r="A62" s="10" t="s">
        <v>1143</v>
      </c>
      <c r="B62" s="10" t="s">
        <v>1144</v>
      </c>
      <c r="C62" s="140">
        <v>1035630</v>
      </c>
      <c r="D62" s="140">
        <v>806735</v>
      </c>
      <c r="E62" s="140">
        <f>+Tabela1345614[[#This Row],[RS financing 2022 (EUR)]]+Tabela1345614[[#This Row],[RS financing 2023 (EUR)]]</f>
        <v>806735</v>
      </c>
      <c r="F62" s="140">
        <v>806735</v>
      </c>
      <c r="G62" s="139">
        <v>0</v>
      </c>
    </row>
    <row r="63" spans="1:7" x14ac:dyDescent="0.25">
      <c r="A63" s="10" t="s">
        <v>1145</v>
      </c>
      <c r="B63" s="10" t="s">
        <v>1146</v>
      </c>
      <c r="C63" s="140">
        <v>2685151</v>
      </c>
      <c r="D63" s="140">
        <v>1172667</v>
      </c>
      <c r="E63" s="140">
        <f>+Tabela1345614[[#This Row],[RS financing 2022 (EUR)]]+Tabela1345614[[#This Row],[RS financing 2023 (EUR)]]</f>
        <v>822667</v>
      </c>
      <c r="F63" s="140">
        <v>822667</v>
      </c>
      <c r="G63" s="139">
        <v>0</v>
      </c>
    </row>
    <row r="64" spans="1:7" x14ac:dyDescent="0.25">
      <c r="A64" s="10" t="s">
        <v>1147</v>
      </c>
      <c r="B64" s="10" t="s">
        <v>1148</v>
      </c>
      <c r="C64" s="140">
        <v>2000151</v>
      </c>
      <c r="D64" s="140">
        <v>1098080</v>
      </c>
      <c r="E64" s="140">
        <f>+Tabela1345614[[#This Row],[RS financing 2022 (EUR)]]+Tabela1345614[[#This Row],[RS financing 2023 (EUR)]]</f>
        <v>828969</v>
      </c>
      <c r="F64" s="140">
        <v>828969</v>
      </c>
      <c r="G64" s="139">
        <v>0</v>
      </c>
    </row>
    <row r="65" spans="1:7" x14ac:dyDescent="0.25">
      <c r="A65" s="10" t="s">
        <v>1149</v>
      </c>
      <c r="B65" s="10" t="s">
        <v>1150</v>
      </c>
      <c r="C65" s="140">
        <v>2949000</v>
      </c>
      <c r="D65" s="140">
        <v>839115</v>
      </c>
      <c r="E65" s="140">
        <f>+Tabela1345614[[#This Row],[RS financing 2022 (EUR)]]+Tabela1345614[[#This Row],[RS financing 2023 (EUR)]]</f>
        <v>839115</v>
      </c>
      <c r="F65" s="140">
        <v>839115</v>
      </c>
      <c r="G65" s="139">
        <v>0</v>
      </c>
    </row>
    <row r="66" spans="1:7" x14ac:dyDescent="0.25">
      <c r="A66" s="10" t="s">
        <v>1151</v>
      </c>
      <c r="B66" s="10" t="s">
        <v>1152</v>
      </c>
      <c r="C66" s="140">
        <v>2029298</v>
      </c>
      <c r="D66" s="140">
        <v>1144355</v>
      </c>
      <c r="E66" s="140">
        <f>+Tabela1345614[[#This Row],[RS financing 2022 (EUR)]]+Tabela1345614[[#This Row],[RS financing 2023 (EUR)]]</f>
        <v>850000</v>
      </c>
      <c r="F66" s="140">
        <v>500000</v>
      </c>
      <c r="G66" s="140">
        <v>350000</v>
      </c>
    </row>
    <row r="67" spans="1:7" x14ac:dyDescent="0.25">
      <c r="A67" s="10" t="s">
        <v>1153</v>
      </c>
      <c r="B67" s="10" t="s">
        <v>1154</v>
      </c>
      <c r="C67" s="140">
        <v>6104551</v>
      </c>
      <c r="D67" s="140">
        <v>1172667</v>
      </c>
      <c r="E67" s="140">
        <f>+Tabela1345614[[#This Row],[RS financing 2022 (EUR)]]+Tabela1345614[[#This Row],[RS financing 2023 (EUR)]]</f>
        <v>872667</v>
      </c>
      <c r="F67" s="140">
        <v>872667</v>
      </c>
      <c r="G67" s="139">
        <v>0</v>
      </c>
    </row>
    <row r="68" spans="1:7" x14ac:dyDescent="0.25">
      <c r="A68" s="10" t="s">
        <v>1155</v>
      </c>
      <c r="B68" s="10" t="s">
        <v>1156</v>
      </c>
      <c r="C68" s="140">
        <v>1102689</v>
      </c>
      <c r="D68" s="140">
        <v>873566</v>
      </c>
      <c r="E68" s="140">
        <f>+Tabela1345614[[#This Row],[RS financing 2022 (EUR)]]+Tabela1345614[[#This Row],[RS financing 2023 (EUR)]]</f>
        <v>873566</v>
      </c>
      <c r="F68" s="140">
        <v>873566</v>
      </c>
      <c r="G68" s="139">
        <v>0</v>
      </c>
    </row>
    <row r="69" spans="1:7" x14ac:dyDescent="0.25">
      <c r="A69" s="10" t="s">
        <v>1157</v>
      </c>
      <c r="B69" s="10" t="s">
        <v>1158</v>
      </c>
      <c r="C69" s="140">
        <v>1683613</v>
      </c>
      <c r="D69" s="140">
        <v>911304</v>
      </c>
      <c r="E69" s="140">
        <f>+Tabela1345614[[#This Row],[RS financing 2022 (EUR)]]+Tabela1345614[[#This Row],[RS financing 2023 (EUR)]]</f>
        <v>911304</v>
      </c>
      <c r="F69" s="140">
        <v>911304</v>
      </c>
      <c r="G69" s="139">
        <v>0</v>
      </c>
    </row>
    <row r="70" spans="1:7" x14ac:dyDescent="0.25">
      <c r="A70" s="10" t="s">
        <v>1159</v>
      </c>
      <c r="B70" s="10" t="s">
        <v>1160</v>
      </c>
      <c r="C70" s="140">
        <v>2336515</v>
      </c>
      <c r="D70" s="140">
        <v>921193</v>
      </c>
      <c r="E70" s="140">
        <f>+Tabela1345614[[#This Row],[RS financing 2022 (EUR)]]+Tabela1345614[[#This Row],[RS financing 2023 (EUR)]]</f>
        <v>921193</v>
      </c>
      <c r="F70" s="140">
        <v>921193</v>
      </c>
      <c r="G70" s="139">
        <v>0</v>
      </c>
    </row>
    <row r="71" spans="1:7" x14ac:dyDescent="0.25">
      <c r="A71" s="10" t="s">
        <v>1161</v>
      </c>
      <c r="B71" s="10" t="s">
        <v>1162</v>
      </c>
      <c r="C71" s="140">
        <v>2750453</v>
      </c>
      <c r="D71" s="140">
        <v>926838</v>
      </c>
      <c r="E71" s="140">
        <f>+Tabela1345614[[#This Row],[RS financing 2022 (EUR)]]+Tabela1345614[[#This Row],[RS financing 2023 (EUR)]]</f>
        <v>926838</v>
      </c>
      <c r="F71" s="140">
        <v>926838</v>
      </c>
      <c r="G71" s="139">
        <v>0</v>
      </c>
    </row>
    <row r="72" spans="1:7" x14ac:dyDescent="0.25">
      <c r="A72" s="10" t="s">
        <v>1163</v>
      </c>
      <c r="B72" s="10" t="s">
        <v>1164</v>
      </c>
      <c r="C72" s="140">
        <v>1689185</v>
      </c>
      <c r="D72" s="140">
        <v>928504</v>
      </c>
      <c r="E72" s="140">
        <f>+Tabela1345614[[#This Row],[RS financing 2022 (EUR)]]+Tabela1345614[[#This Row],[RS financing 2023 (EUR)]]</f>
        <v>928504</v>
      </c>
      <c r="F72" s="140">
        <v>700000</v>
      </c>
      <c r="G72" s="140">
        <v>228504</v>
      </c>
    </row>
    <row r="73" spans="1:7" x14ac:dyDescent="0.25">
      <c r="A73" s="10" t="s">
        <v>1165</v>
      </c>
      <c r="B73" s="10" t="s">
        <v>1166</v>
      </c>
      <c r="C73" s="140">
        <v>1879742</v>
      </c>
      <c r="D73" s="140">
        <v>973066</v>
      </c>
      <c r="E73" s="140">
        <f>+Tabela1345614[[#This Row],[RS financing 2022 (EUR)]]+Tabela1345614[[#This Row],[RS financing 2023 (EUR)]]</f>
        <v>973066</v>
      </c>
      <c r="F73" s="140">
        <v>475000</v>
      </c>
      <c r="G73" s="140">
        <v>498066</v>
      </c>
    </row>
    <row r="74" spans="1:7" x14ac:dyDescent="0.25">
      <c r="A74" s="10" t="s">
        <v>1167</v>
      </c>
      <c r="B74" s="10" t="s">
        <v>1168</v>
      </c>
      <c r="C74" s="140">
        <v>4007833</v>
      </c>
      <c r="D74" s="140">
        <v>995474</v>
      </c>
      <c r="E74" s="140">
        <f>+Tabela1345614[[#This Row],[RS financing 2022 (EUR)]]+Tabela1345614[[#This Row],[RS financing 2023 (EUR)]]</f>
        <v>995474</v>
      </c>
      <c r="F74" s="140">
        <v>995474</v>
      </c>
      <c r="G74" s="139">
        <v>0</v>
      </c>
    </row>
    <row r="75" spans="1:7" x14ac:dyDescent="0.25">
      <c r="A75" s="10" t="s">
        <v>1169</v>
      </c>
      <c r="B75" s="10" t="s">
        <v>1170</v>
      </c>
      <c r="C75" s="140">
        <v>1974760</v>
      </c>
      <c r="D75" s="140">
        <v>1000627</v>
      </c>
      <c r="E75" s="140">
        <f>+Tabela1345614[[#This Row],[RS financing 2022 (EUR)]]+Tabela1345614[[#This Row],[RS financing 2023 (EUR)]]</f>
        <v>1000627</v>
      </c>
      <c r="F75" s="140">
        <v>800000</v>
      </c>
      <c r="G75" s="140">
        <v>200627</v>
      </c>
    </row>
    <row r="76" spans="1:7" x14ac:dyDescent="0.25">
      <c r="A76" s="10" t="s">
        <v>1171</v>
      </c>
      <c r="B76" s="10" t="s">
        <v>1172</v>
      </c>
      <c r="C76" s="140">
        <v>2250807</v>
      </c>
      <c r="D76" s="140">
        <v>1007440</v>
      </c>
      <c r="E76" s="140">
        <f>+Tabela1345614[[#This Row],[RS financing 2022 (EUR)]]+Tabela1345614[[#This Row],[RS financing 2023 (EUR)]]</f>
        <v>1007440</v>
      </c>
      <c r="F76" s="140">
        <v>1007440</v>
      </c>
      <c r="G76" s="139">
        <v>0</v>
      </c>
    </row>
    <row r="77" spans="1:7" x14ac:dyDescent="0.25">
      <c r="A77" s="10" t="s">
        <v>1173</v>
      </c>
      <c r="B77" s="10" t="s">
        <v>1174</v>
      </c>
      <c r="C77" s="140">
        <v>3194356</v>
      </c>
      <c r="D77" s="140">
        <v>1548826</v>
      </c>
      <c r="E77" s="140">
        <f>+Tabela1345614[[#This Row],[RS financing 2022 (EUR)]]+Tabela1345614[[#This Row],[RS financing 2023 (EUR)]]</f>
        <v>1050000</v>
      </c>
      <c r="F77" s="140">
        <v>300000</v>
      </c>
      <c r="G77" s="140">
        <v>750000</v>
      </c>
    </row>
    <row r="78" spans="1:7" x14ac:dyDescent="0.25">
      <c r="A78" s="10" t="s">
        <v>1175</v>
      </c>
      <c r="B78" s="10" t="s">
        <v>1176</v>
      </c>
      <c r="C78" s="140">
        <v>1798273</v>
      </c>
      <c r="D78" s="140">
        <v>1062845</v>
      </c>
      <c r="E78" s="140">
        <f>+Tabela1345614[[#This Row],[RS financing 2022 (EUR)]]+Tabela1345614[[#This Row],[RS financing 2023 (EUR)]]</f>
        <v>1062845</v>
      </c>
      <c r="F78" s="140">
        <v>500000</v>
      </c>
      <c r="G78" s="140">
        <v>562845</v>
      </c>
    </row>
    <row r="79" spans="1:7" x14ac:dyDescent="0.25">
      <c r="A79" s="10" t="s">
        <v>1177</v>
      </c>
      <c r="B79" s="10" t="s">
        <v>1178</v>
      </c>
      <c r="C79" s="140">
        <v>6565075</v>
      </c>
      <c r="D79" s="140">
        <v>1064038</v>
      </c>
      <c r="E79" s="140">
        <f>+Tabela1345614[[#This Row],[RS financing 2022 (EUR)]]+Tabela1345614[[#This Row],[RS financing 2023 (EUR)]]</f>
        <v>1064038</v>
      </c>
      <c r="F79" s="140">
        <v>350000</v>
      </c>
      <c r="G79" s="140">
        <v>714038</v>
      </c>
    </row>
    <row r="80" spans="1:7" x14ac:dyDescent="0.25">
      <c r="A80" s="10" t="s">
        <v>1179</v>
      </c>
      <c r="B80" s="10" t="s">
        <v>1180</v>
      </c>
      <c r="C80" s="140">
        <v>4153285</v>
      </c>
      <c r="D80" s="140">
        <v>1096897</v>
      </c>
      <c r="E80" s="140">
        <f>+Tabela1345614[[#This Row],[RS financing 2022 (EUR)]]+Tabela1345614[[#This Row],[RS financing 2023 (EUR)]]</f>
        <v>1096897</v>
      </c>
      <c r="F80" s="139">
        <v>0</v>
      </c>
      <c r="G80" s="140">
        <v>1096897</v>
      </c>
    </row>
    <row r="81" spans="1:7" x14ac:dyDescent="0.25">
      <c r="A81" s="10" t="s">
        <v>1181</v>
      </c>
      <c r="B81" s="10" t="s">
        <v>1182</v>
      </c>
      <c r="C81" s="140">
        <v>1260308</v>
      </c>
      <c r="D81" s="140">
        <v>1235511</v>
      </c>
      <c r="E81" s="140">
        <f>+Tabela1345614[[#This Row],[RS financing 2022 (EUR)]]+Tabela1345614[[#This Row],[RS financing 2023 (EUR)]]</f>
        <v>1128064</v>
      </c>
      <c r="F81" s="140">
        <v>1051300</v>
      </c>
      <c r="G81" s="140">
        <v>76764</v>
      </c>
    </row>
    <row r="82" spans="1:7" x14ac:dyDescent="0.25">
      <c r="A82" s="10" t="s">
        <v>1183</v>
      </c>
      <c r="B82" s="10" t="s">
        <v>1184</v>
      </c>
      <c r="C82" s="140">
        <v>2928131</v>
      </c>
      <c r="D82" s="140">
        <v>1157518</v>
      </c>
      <c r="E82" s="140">
        <f>+Tabela1345614[[#This Row],[RS financing 2022 (EUR)]]+Tabela1345614[[#This Row],[RS financing 2023 (EUR)]]</f>
        <v>1157518</v>
      </c>
      <c r="F82" s="140">
        <v>1157518</v>
      </c>
      <c r="G82" s="139">
        <v>0</v>
      </c>
    </row>
    <row r="83" spans="1:7" x14ac:dyDescent="0.25">
      <c r="A83" s="10" t="s">
        <v>1185</v>
      </c>
      <c r="B83" s="10" t="s">
        <v>1186</v>
      </c>
      <c r="C83" s="140">
        <v>2629036</v>
      </c>
      <c r="D83" s="140">
        <v>1172667</v>
      </c>
      <c r="E83" s="140">
        <f>+Tabela1345614[[#This Row],[RS financing 2022 (EUR)]]+Tabela1345614[[#This Row],[RS financing 2023 (EUR)]]</f>
        <v>1172667</v>
      </c>
      <c r="F83" s="140">
        <v>500000</v>
      </c>
      <c r="G83" s="140">
        <v>672667</v>
      </c>
    </row>
    <row r="84" spans="1:7" x14ac:dyDescent="0.25">
      <c r="A84" s="10" t="s">
        <v>1187</v>
      </c>
      <c r="B84" s="10" t="s">
        <v>1188</v>
      </c>
      <c r="C84" s="140">
        <v>3155948</v>
      </c>
      <c r="D84" s="140">
        <v>1548975</v>
      </c>
      <c r="E84" s="140">
        <f>+Tabela1345614[[#This Row],[RS financing 2022 (EUR)]]+Tabela1345614[[#This Row],[RS financing 2023 (EUR)]]</f>
        <v>1172667</v>
      </c>
      <c r="F84" s="140">
        <v>1172667</v>
      </c>
      <c r="G84" s="139">
        <v>0</v>
      </c>
    </row>
    <row r="85" spans="1:7" x14ac:dyDescent="0.25">
      <c r="A85" s="10" t="s">
        <v>1189</v>
      </c>
      <c r="B85" s="10" t="s">
        <v>1190</v>
      </c>
      <c r="C85" s="140">
        <v>4253973</v>
      </c>
      <c r="D85" s="140">
        <v>1740066</v>
      </c>
      <c r="E85" s="140">
        <f>+Tabela1345614[[#This Row],[RS financing 2022 (EUR)]]+Tabela1345614[[#This Row],[RS financing 2023 (EUR)]]</f>
        <v>1172667</v>
      </c>
      <c r="F85" s="140">
        <v>1172667</v>
      </c>
      <c r="G85" s="139">
        <v>0</v>
      </c>
    </row>
    <row r="86" spans="1:7" x14ac:dyDescent="0.25">
      <c r="A86" s="10" t="s">
        <v>1191</v>
      </c>
      <c r="B86" s="10" t="s">
        <v>1192</v>
      </c>
      <c r="C86" s="140">
        <v>4672157</v>
      </c>
      <c r="D86" s="140">
        <v>1172667</v>
      </c>
      <c r="E86" s="140">
        <f>+Tabela1345614[[#This Row],[RS financing 2022 (EUR)]]+Tabela1345614[[#This Row],[RS financing 2023 (EUR)]]</f>
        <v>1172667</v>
      </c>
      <c r="F86" s="140">
        <v>1172667</v>
      </c>
      <c r="G86" s="139">
        <v>0</v>
      </c>
    </row>
    <row r="87" spans="1:7" x14ac:dyDescent="0.25">
      <c r="A87" s="10" t="s">
        <v>1193</v>
      </c>
      <c r="B87" s="10" t="s">
        <v>1194</v>
      </c>
      <c r="C87" s="140">
        <v>8629989</v>
      </c>
      <c r="D87" s="140">
        <v>1172667</v>
      </c>
      <c r="E87" s="140">
        <f>+Tabela1345614[[#This Row],[RS financing 2022 (EUR)]]+Tabela1345614[[#This Row],[RS financing 2023 (EUR)]]</f>
        <v>1172667</v>
      </c>
      <c r="F87" s="140">
        <v>100000</v>
      </c>
      <c r="G87" s="140">
        <v>1072667</v>
      </c>
    </row>
    <row r="88" spans="1:7" x14ac:dyDescent="0.25">
      <c r="A88" s="10" t="s">
        <v>1195</v>
      </c>
      <c r="B88" s="10" t="s">
        <v>1196</v>
      </c>
      <c r="C88" s="140">
        <v>3522748</v>
      </c>
      <c r="D88" s="140">
        <v>1192843</v>
      </c>
      <c r="E88" s="140">
        <f>+Tabela1345614[[#This Row],[RS financing 2022 (EUR)]]+Tabela1345614[[#This Row],[RS financing 2023 (EUR)]]</f>
        <v>1192843</v>
      </c>
      <c r="F88" s="140">
        <v>900000</v>
      </c>
      <c r="G88" s="140">
        <v>292843</v>
      </c>
    </row>
    <row r="89" spans="1:7" x14ac:dyDescent="0.25">
      <c r="A89" s="10" t="s">
        <v>1197</v>
      </c>
      <c r="B89" s="10" t="s">
        <v>1198</v>
      </c>
      <c r="C89" s="140">
        <v>4012355</v>
      </c>
      <c r="D89" s="140">
        <v>1192988</v>
      </c>
      <c r="E89" s="140">
        <f>+Tabela1345614[[#This Row],[RS financing 2022 (EUR)]]+Tabela1345614[[#This Row],[RS financing 2023 (EUR)]]</f>
        <v>1192988</v>
      </c>
      <c r="F89" s="140">
        <v>1192988</v>
      </c>
      <c r="G89" s="139">
        <v>0</v>
      </c>
    </row>
    <row r="90" spans="1:7" x14ac:dyDescent="0.25">
      <c r="A90" s="10" t="s">
        <v>1199</v>
      </c>
      <c r="B90" s="10" t="s">
        <v>1200</v>
      </c>
      <c r="C90" s="140">
        <v>5497769</v>
      </c>
      <c r="D90" s="140">
        <v>1245231</v>
      </c>
      <c r="E90" s="140">
        <f>+Tabela1345614[[#This Row],[RS financing 2022 (EUR)]]+Tabela1345614[[#This Row],[RS financing 2023 (EUR)]]</f>
        <v>1245231</v>
      </c>
      <c r="F90" s="140">
        <v>1245231</v>
      </c>
      <c r="G90" s="139">
        <v>0</v>
      </c>
    </row>
    <row r="91" spans="1:7" x14ac:dyDescent="0.25">
      <c r="A91" s="10" t="s">
        <v>1201</v>
      </c>
      <c r="B91" s="10" t="s">
        <v>1202</v>
      </c>
      <c r="C91" s="140">
        <v>2468217</v>
      </c>
      <c r="D91" s="140">
        <v>1259963</v>
      </c>
      <c r="E91" s="140">
        <f>+Tabela1345614[[#This Row],[RS financing 2022 (EUR)]]+Tabela1345614[[#This Row],[RS financing 2023 (EUR)]]</f>
        <v>1259962</v>
      </c>
      <c r="F91" s="140">
        <v>397188</v>
      </c>
      <c r="G91" s="140">
        <v>862774</v>
      </c>
    </row>
    <row r="92" spans="1:7" x14ac:dyDescent="0.25">
      <c r="A92" s="10" t="s">
        <v>1203</v>
      </c>
      <c r="B92" s="10" t="s">
        <v>1204</v>
      </c>
      <c r="C92" s="140">
        <v>6343024</v>
      </c>
      <c r="D92" s="140">
        <v>2070985</v>
      </c>
      <c r="E92" s="140">
        <f>+Tabela1345614[[#This Row],[RS financing 2022 (EUR)]]+Tabela1345614[[#This Row],[RS financing 2023 (EUR)]]</f>
        <v>1285493</v>
      </c>
      <c r="F92" s="139">
        <v>0</v>
      </c>
      <c r="G92" s="140">
        <v>1285493</v>
      </c>
    </row>
    <row r="93" spans="1:7" x14ac:dyDescent="0.25">
      <c r="A93" s="10" t="s">
        <v>1205</v>
      </c>
      <c r="B93" s="10" t="s">
        <v>1206</v>
      </c>
      <c r="C93" s="140">
        <v>4973292</v>
      </c>
      <c r="D93" s="140">
        <v>1404915</v>
      </c>
      <c r="E93" s="140">
        <f>+Tabela1345614[[#This Row],[RS financing 2022 (EUR)]]+Tabela1345614[[#This Row],[RS financing 2023 (EUR)]]</f>
        <v>1404915</v>
      </c>
      <c r="F93" s="140">
        <v>1404915</v>
      </c>
      <c r="G93" s="139">
        <v>0</v>
      </c>
    </row>
    <row r="94" spans="1:7" x14ac:dyDescent="0.25">
      <c r="A94" s="10" t="s">
        <v>1207</v>
      </c>
      <c r="B94" s="10" t="s">
        <v>1208</v>
      </c>
      <c r="C94" s="140">
        <v>4019567</v>
      </c>
      <c r="D94" s="140">
        <v>2101114</v>
      </c>
      <c r="E94" s="140">
        <f>+Tabela1345614[[#This Row],[RS financing 2022 (EUR)]]+Tabela1345614[[#This Row],[RS financing 2023 (EUR)]]</f>
        <v>1663199</v>
      </c>
      <c r="F94" s="140">
        <v>1663199</v>
      </c>
      <c r="G94" s="139">
        <v>0</v>
      </c>
    </row>
    <row r="95" spans="1:7" x14ac:dyDescent="0.25">
      <c r="A95" s="10" t="s">
        <v>1209</v>
      </c>
      <c r="B95" s="10" t="s">
        <v>1210</v>
      </c>
      <c r="C95" s="140">
        <v>15919694</v>
      </c>
      <c r="D95" s="140">
        <v>2348678</v>
      </c>
      <c r="E95" s="140">
        <f>+Tabela1345614[[#This Row],[RS financing 2022 (EUR)]]+Tabela1345614[[#This Row],[RS financing 2023 (EUR)]]</f>
        <v>2348678</v>
      </c>
      <c r="F95" s="140">
        <v>2348678</v>
      </c>
      <c r="G95" s="139">
        <v>0</v>
      </c>
    </row>
    <row r="96" spans="1:7" x14ac:dyDescent="0.25">
      <c r="A96" s="10" t="s">
        <v>1211</v>
      </c>
      <c r="B96" s="10" t="s">
        <v>1212</v>
      </c>
      <c r="C96" s="140">
        <v>16223383</v>
      </c>
      <c r="D96" s="140">
        <v>2348678</v>
      </c>
      <c r="E96" s="140">
        <f>+Tabela1345614[[#This Row],[RS financing 2022 (EUR)]]+Tabela1345614[[#This Row],[RS financing 2023 (EUR)]]</f>
        <v>2348678</v>
      </c>
      <c r="F96" s="140">
        <v>2348678</v>
      </c>
      <c r="G96" s="139">
        <v>0</v>
      </c>
    </row>
    <row r="97" spans="1:7" x14ac:dyDescent="0.25">
      <c r="A97" s="10" t="s">
        <v>1213</v>
      </c>
      <c r="B97" s="10" t="s">
        <v>1214</v>
      </c>
      <c r="C97" s="140">
        <v>5721634</v>
      </c>
      <c r="D97" s="140">
        <v>2348678</v>
      </c>
      <c r="E97" s="140">
        <f>+Tabela1345614[[#This Row],[RS financing 2022 (EUR)]]+Tabela1345614[[#This Row],[RS financing 2023 (EUR)]]</f>
        <v>2348678</v>
      </c>
      <c r="F97" s="140">
        <v>2348678</v>
      </c>
      <c r="G97" s="139">
        <v>0</v>
      </c>
    </row>
    <row r="98" spans="1:7" x14ac:dyDescent="0.25">
      <c r="A98" s="25"/>
      <c r="B98" s="25"/>
      <c r="C98" s="142">
        <f>SUBTOTAL(109,Tabela1345614[Total project amount (EUR)])</f>
        <v>243324362</v>
      </c>
      <c r="D98" s="142">
        <f>SUBTOTAL(109,Tabela1345614[RS financing amount (EUR)])</f>
        <v>81846338</v>
      </c>
      <c r="E98" s="142">
        <f>SUBTOTAL(109,Tabela1345614[Bond eligible amount (EUR)
Σ 22+23])</f>
        <v>64808145</v>
      </c>
      <c r="F98" s="142">
        <f>SUBTOTAL(109,Tabela1345614[RS financing 2022 (EUR)])</f>
        <v>48950108</v>
      </c>
      <c r="G98" s="142">
        <f>SUBTOTAL(109,Tabela1345614[RS financing 2023 (EUR)])</f>
        <v>15858037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R39"/>
  <sheetViews>
    <sheetView zoomScaleNormal="100" workbookViewId="0">
      <pane xSplit="2" ySplit="1" topLeftCell="K2" activePane="bottomRight" state="frozen"/>
      <selection pane="topRight" activeCell="D1" sqref="D1"/>
      <selection pane="bottomLeft" activeCell="A4" sqref="A4"/>
      <selection pane="bottomRight" activeCell="M4" sqref="M4"/>
    </sheetView>
  </sheetViews>
  <sheetFormatPr defaultRowHeight="54.9" customHeight="1" x14ac:dyDescent="0.25"/>
  <cols>
    <col min="1" max="1" width="11.3984375" customWidth="1"/>
    <col min="2" max="2" width="30.59765625" customWidth="1"/>
    <col min="3" max="3" width="33.09765625" customWidth="1"/>
    <col min="4" max="4" width="52.09765625" customWidth="1"/>
    <col min="5" max="6" width="22.3984375" customWidth="1"/>
    <col min="7" max="8" width="23.8984375" customWidth="1"/>
    <col min="9" max="9" width="23.8984375" hidden="1" customWidth="1"/>
    <col min="10" max="10" width="29.09765625" customWidth="1"/>
    <col min="11" max="11" width="21.59765625" customWidth="1"/>
    <col min="12" max="12" width="22.5" bestFit="1" customWidth="1"/>
    <col min="13" max="13" width="24.8984375" customWidth="1"/>
    <col min="14" max="14" width="25" customWidth="1"/>
    <col min="15" max="15" width="18.19921875" customWidth="1"/>
    <col min="16" max="16" width="22.5" customWidth="1"/>
    <col min="17" max="17" width="23.09765625" customWidth="1"/>
    <col min="18" max="18" width="18.8984375" customWidth="1"/>
  </cols>
  <sheetData>
    <row r="1" spans="1:18" s="23" customFormat="1" ht="54.9" customHeight="1" x14ac:dyDescent="0.25">
      <c r="A1" s="171" t="s">
        <v>0</v>
      </c>
      <c r="B1" s="154" t="s">
        <v>483</v>
      </c>
      <c r="C1" s="154" t="s">
        <v>2</v>
      </c>
      <c r="D1" s="154" t="s">
        <v>484</v>
      </c>
      <c r="E1" s="154" t="s">
        <v>485</v>
      </c>
      <c r="F1" s="154" t="s">
        <v>486</v>
      </c>
      <c r="G1" s="154" t="s">
        <v>6</v>
      </c>
      <c r="H1" s="154" t="s">
        <v>487</v>
      </c>
      <c r="I1" s="154" t="s">
        <v>488</v>
      </c>
      <c r="J1" s="154" t="s">
        <v>7</v>
      </c>
      <c r="K1" s="172" t="s">
        <v>8</v>
      </c>
      <c r="L1" s="172" t="s">
        <v>10</v>
      </c>
      <c r="M1" s="173" t="s">
        <v>11</v>
      </c>
      <c r="N1" s="173" t="s">
        <v>489</v>
      </c>
      <c r="O1" s="173" t="s">
        <v>13</v>
      </c>
      <c r="P1" s="173" t="s">
        <v>14</v>
      </c>
      <c r="Q1" s="173" t="s">
        <v>15</v>
      </c>
      <c r="R1" s="154" t="s">
        <v>16</v>
      </c>
    </row>
    <row r="2" spans="1:18" s="24" customFormat="1" ht="213" customHeight="1" x14ac:dyDescent="0.25">
      <c r="A2" s="160">
        <v>1</v>
      </c>
      <c r="B2" s="157" t="s">
        <v>490</v>
      </c>
      <c r="C2" s="163" t="s">
        <v>491</v>
      </c>
      <c r="D2" s="163" t="s">
        <v>492</v>
      </c>
      <c r="E2" s="161" t="s">
        <v>493</v>
      </c>
      <c r="F2" s="161" t="s">
        <v>494</v>
      </c>
      <c r="G2" s="161" t="s">
        <v>435</v>
      </c>
      <c r="H2" s="161" t="s">
        <v>495</v>
      </c>
      <c r="I2" s="161"/>
      <c r="J2" s="161" t="s">
        <v>23</v>
      </c>
      <c r="K2" s="161" t="s">
        <v>496</v>
      </c>
      <c r="L2" s="161" t="s">
        <v>26</v>
      </c>
      <c r="M2" s="167">
        <v>19387597</v>
      </c>
      <c r="N2" s="167">
        <v>2198804</v>
      </c>
      <c r="O2" s="167">
        <f>+Green[[#This Row],[RS financing 2022 (EUR)]]+Green[[#This Row],[RS financing 2023 (EUR)]]</f>
        <v>1588525</v>
      </c>
      <c r="P2" s="167">
        <v>797458</v>
      </c>
      <c r="Q2" s="167">
        <v>791067</v>
      </c>
      <c r="R2" s="161" t="s">
        <v>497</v>
      </c>
    </row>
    <row r="3" spans="1:18" s="24" customFormat="1" ht="162" customHeight="1" x14ac:dyDescent="0.25">
      <c r="A3" s="160">
        <v>2</v>
      </c>
      <c r="B3" s="157" t="s">
        <v>498</v>
      </c>
      <c r="C3" s="163" t="s">
        <v>499</v>
      </c>
      <c r="D3" s="163" t="s">
        <v>500</v>
      </c>
      <c r="E3" s="161" t="s">
        <v>493</v>
      </c>
      <c r="F3" s="161" t="s">
        <v>494</v>
      </c>
      <c r="G3" s="161" t="s">
        <v>435</v>
      </c>
      <c r="H3" s="161" t="s">
        <v>495</v>
      </c>
      <c r="I3" s="161"/>
      <c r="J3" s="161" t="s">
        <v>23</v>
      </c>
      <c r="K3" s="161" t="s">
        <v>496</v>
      </c>
      <c r="L3" s="161" t="s">
        <v>26</v>
      </c>
      <c r="M3" s="167">
        <v>13204392</v>
      </c>
      <c r="N3" s="167">
        <v>471275</v>
      </c>
      <c r="O3" s="167">
        <f>+Green[[#This Row],[RS financing 2022 (EUR)]]+Green[[#This Row],[RS financing 2023 (EUR)]]</f>
        <v>400456</v>
      </c>
      <c r="P3" s="167">
        <v>100709</v>
      </c>
      <c r="Q3" s="167">
        <v>299747</v>
      </c>
      <c r="R3" s="161" t="s">
        <v>497</v>
      </c>
    </row>
    <row r="4" spans="1:18" s="24" customFormat="1" ht="187.5" customHeight="1" x14ac:dyDescent="0.25">
      <c r="A4" s="160">
        <v>3</v>
      </c>
      <c r="B4" s="157" t="s">
        <v>501</v>
      </c>
      <c r="C4" s="163" t="s">
        <v>502</v>
      </c>
      <c r="D4" s="163" t="s">
        <v>503</v>
      </c>
      <c r="E4" s="161" t="s">
        <v>493</v>
      </c>
      <c r="F4" s="161" t="s">
        <v>504</v>
      </c>
      <c r="G4" s="161" t="s">
        <v>435</v>
      </c>
      <c r="H4" s="161" t="s">
        <v>495</v>
      </c>
      <c r="I4" s="161"/>
      <c r="J4" s="161" t="s">
        <v>23</v>
      </c>
      <c r="K4" s="161" t="s">
        <v>505</v>
      </c>
      <c r="L4" s="161" t="s">
        <v>26</v>
      </c>
      <c r="M4" s="167">
        <v>187536741</v>
      </c>
      <c r="N4" s="167">
        <v>42963466</v>
      </c>
      <c r="O4" s="167">
        <f>+Green[[#This Row],[RS financing 2022 (EUR)]]+Green[[#This Row],[RS financing 2023 (EUR)]]</f>
        <v>30292468</v>
      </c>
      <c r="P4" s="167">
        <v>10449553</v>
      </c>
      <c r="Q4" s="167">
        <v>19842915</v>
      </c>
      <c r="R4" s="161" t="s">
        <v>506</v>
      </c>
    </row>
    <row r="5" spans="1:18" s="24" customFormat="1" ht="191.25" customHeight="1" x14ac:dyDescent="0.25">
      <c r="A5" s="160">
        <v>4</v>
      </c>
      <c r="B5" s="157" t="s">
        <v>507</v>
      </c>
      <c r="C5" s="163" t="s">
        <v>502</v>
      </c>
      <c r="D5" s="163" t="s">
        <v>508</v>
      </c>
      <c r="E5" s="161" t="s">
        <v>493</v>
      </c>
      <c r="F5" s="161" t="s">
        <v>504</v>
      </c>
      <c r="G5" s="161" t="s">
        <v>435</v>
      </c>
      <c r="H5" s="161" t="s">
        <v>495</v>
      </c>
      <c r="I5" s="161"/>
      <c r="J5" s="161" t="s">
        <v>23</v>
      </c>
      <c r="K5" s="161" t="s">
        <v>505</v>
      </c>
      <c r="L5" s="161" t="s">
        <v>26</v>
      </c>
      <c r="M5" s="167">
        <v>188450507</v>
      </c>
      <c r="N5" s="167">
        <v>340989605</v>
      </c>
      <c r="O5" s="167">
        <f>+Green[[#This Row],[RS financing 2022 (EUR)]]+Green[[#This Row],[RS financing 2023 (EUR)]]</f>
        <v>20651873</v>
      </c>
      <c r="P5" s="167">
        <v>5098108</v>
      </c>
      <c r="Q5" s="167">
        <v>15553765</v>
      </c>
      <c r="R5" s="161" t="s">
        <v>506</v>
      </c>
    </row>
    <row r="6" spans="1:18" s="24" customFormat="1" ht="198.75" customHeight="1" x14ac:dyDescent="0.25">
      <c r="A6" s="160">
        <v>5</v>
      </c>
      <c r="B6" s="157" t="s">
        <v>509</v>
      </c>
      <c r="C6" s="163" t="s">
        <v>510</v>
      </c>
      <c r="D6" s="163" t="s">
        <v>511</v>
      </c>
      <c r="E6" s="161" t="s">
        <v>493</v>
      </c>
      <c r="F6" s="161" t="s">
        <v>504</v>
      </c>
      <c r="G6" s="161" t="s">
        <v>435</v>
      </c>
      <c r="H6" s="161" t="s">
        <v>495</v>
      </c>
      <c r="I6" s="161"/>
      <c r="J6" s="161" t="s">
        <v>23</v>
      </c>
      <c r="K6" s="161" t="s">
        <v>512</v>
      </c>
      <c r="L6" s="161" t="s">
        <v>26</v>
      </c>
      <c r="M6" s="167">
        <v>15189338</v>
      </c>
      <c r="N6" s="167">
        <v>4085367</v>
      </c>
      <c r="O6" s="167">
        <f>+Green[[#This Row],[RS financing 2022 (EUR)]]+Green[[#This Row],[RS financing 2023 (EUR)]]</f>
        <v>1322604</v>
      </c>
      <c r="P6" s="167">
        <v>1037218</v>
      </c>
      <c r="Q6" s="167">
        <v>285386</v>
      </c>
      <c r="R6" s="161" t="s">
        <v>506</v>
      </c>
    </row>
    <row r="7" spans="1:18" s="24" customFormat="1" ht="198.75" customHeight="1" x14ac:dyDescent="0.25">
      <c r="A7" s="160">
        <v>6</v>
      </c>
      <c r="B7" s="157" t="s">
        <v>513</v>
      </c>
      <c r="C7" s="163" t="s">
        <v>514</v>
      </c>
      <c r="D7" s="163" t="s">
        <v>511</v>
      </c>
      <c r="E7" s="161" t="s">
        <v>493</v>
      </c>
      <c r="F7" s="161" t="s">
        <v>504</v>
      </c>
      <c r="G7" s="161" t="s">
        <v>435</v>
      </c>
      <c r="H7" s="161" t="s">
        <v>495</v>
      </c>
      <c r="I7" s="161"/>
      <c r="J7" s="161" t="s">
        <v>23</v>
      </c>
      <c r="K7" s="161" t="s">
        <v>512</v>
      </c>
      <c r="L7" s="161" t="s">
        <v>515</v>
      </c>
      <c r="M7" s="167">
        <v>8058933</v>
      </c>
      <c r="N7" s="167">
        <v>3239260</v>
      </c>
      <c r="O7" s="167">
        <f>+Green[[#This Row],[RS financing 2022 (EUR)]]+Green[[#This Row],[RS financing 2023 (EUR)]]</f>
        <v>1587057</v>
      </c>
      <c r="P7" s="167">
        <v>1323024</v>
      </c>
      <c r="Q7" s="167">
        <v>264033</v>
      </c>
      <c r="R7" s="161" t="s">
        <v>506</v>
      </c>
    </row>
    <row r="8" spans="1:18" s="24" customFormat="1" ht="198.75" customHeight="1" x14ac:dyDescent="0.25">
      <c r="A8" s="160">
        <v>7</v>
      </c>
      <c r="B8" s="157" t="s">
        <v>516</v>
      </c>
      <c r="C8" s="163" t="s">
        <v>517</v>
      </c>
      <c r="D8" s="163" t="s">
        <v>518</v>
      </c>
      <c r="E8" s="161" t="s">
        <v>493</v>
      </c>
      <c r="F8" s="161" t="s">
        <v>504</v>
      </c>
      <c r="G8" s="161" t="s">
        <v>435</v>
      </c>
      <c r="H8" s="161" t="s">
        <v>495</v>
      </c>
      <c r="I8" s="161"/>
      <c r="J8" s="161" t="s">
        <v>23</v>
      </c>
      <c r="K8" s="161" t="s">
        <v>512</v>
      </c>
      <c r="L8" s="161" t="s">
        <v>26</v>
      </c>
      <c r="M8" s="167">
        <v>11468568</v>
      </c>
      <c r="N8" s="167">
        <v>236644</v>
      </c>
      <c r="O8" s="167">
        <f>+Green[[#This Row],[RS financing 2022 (EUR)]]+Green[[#This Row],[RS financing 2023 (EUR)]]</f>
        <v>236644</v>
      </c>
      <c r="P8" s="167">
        <v>0</v>
      </c>
      <c r="Q8" s="167">
        <v>236644</v>
      </c>
      <c r="R8" s="161" t="s">
        <v>506</v>
      </c>
    </row>
    <row r="9" spans="1:18" s="24" customFormat="1" ht="198.75" customHeight="1" x14ac:dyDescent="0.25">
      <c r="A9" s="160">
        <v>8</v>
      </c>
      <c r="B9" s="157" t="s">
        <v>519</v>
      </c>
      <c r="C9" s="163" t="s">
        <v>520</v>
      </c>
      <c r="D9" s="163" t="s">
        <v>521</v>
      </c>
      <c r="E9" s="161" t="s">
        <v>493</v>
      </c>
      <c r="F9" s="161" t="s">
        <v>504</v>
      </c>
      <c r="G9" s="161" t="s">
        <v>435</v>
      </c>
      <c r="H9" s="161" t="s">
        <v>495</v>
      </c>
      <c r="I9" s="161"/>
      <c r="J9" s="161" t="s">
        <v>23</v>
      </c>
      <c r="K9" s="161" t="s">
        <v>512</v>
      </c>
      <c r="L9" s="161" t="s">
        <v>26</v>
      </c>
      <c r="M9" s="167">
        <v>4388518</v>
      </c>
      <c r="N9" s="167">
        <v>1020168</v>
      </c>
      <c r="O9" s="167">
        <f>+Green[[#This Row],[RS financing 2022 (EUR)]]+Green[[#This Row],[RS financing 2023 (EUR)]]</f>
        <v>1020168</v>
      </c>
      <c r="P9" s="167">
        <v>0</v>
      </c>
      <c r="Q9" s="167">
        <v>1020168</v>
      </c>
      <c r="R9" s="161" t="s">
        <v>506</v>
      </c>
    </row>
    <row r="10" spans="1:18" s="24" customFormat="1" ht="198.75" customHeight="1" x14ac:dyDescent="0.25">
      <c r="A10" s="160">
        <v>9</v>
      </c>
      <c r="B10" s="157" t="s">
        <v>522</v>
      </c>
      <c r="C10" s="163" t="s">
        <v>523</v>
      </c>
      <c r="D10" s="163" t="s">
        <v>524</v>
      </c>
      <c r="E10" s="161" t="s">
        <v>493</v>
      </c>
      <c r="F10" s="161" t="s">
        <v>504</v>
      </c>
      <c r="G10" s="161" t="s">
        <v>435</v>
      </c>
      <c r="H10" s="161" t="s">
        <v>495</v>
      </c>
      <c r="I10" s="161"/>
      <c r="J10" s="161" t="s">
        <v>23</v>
      </c>
      <c r="K10" s="161" t="s">
        <v>512</v>
      </c>
      <c r="L10" s="161" t="s">
        <v>26</v>
      </c>
      <c r="M10" s="167">
        <v>25305391</v>
      </c>
      <c r="N10" s="167">
        <v>4966362</v>
      </c>
      <c r="O10" s="167">
        <f>+Green[[#This Row],[RS financing 2022 (EUR)]]+Green[[#This Row],[RS financing 2023 (EUR)]]</f>
        <v>1982949</v>
      </c>
      <c r="P10" s="167">
        <v>0</v>
      </c>
      <c r="Q10" s="167">
        <v>1982949</v>
      </c>
      <c r="R10" s="161" t="s">
        <v>506</v>
      </c>
    </row>
    <row r="11" spans="1:18" s="24" customFormat="1" ht="186.75" customHeight="1" x14ac:dyDescent="0.25">
      <c r="A11" s="160">
        <v>10</v>
      </c>
      <c r="B11" s="157" t="s">
        <v>525</v>
      </c>
      <c r="C11" s="163" t="s">
        <v>526</v>
      </c>
      <c r="D11" s="163" t="s">
        <v>527</v>
      </c>
      <c r="E11" s="161" t="s">
        <v>493</v>
      </c>
      <c r="F11" s="161" t="s">
        <v>528</v>
      </c>
      <c r="G11" s="161" t="s">
        <v>22</v>
      </c>
      <c r="H11" s="161" t="s">
        <v>495</v>
      </c>
      <c r="I11" s="161"/>
      <c r="J11" s="161" t="s">
        <v>397</v>
      </c>
      <c r="K11" s="161"/>
      <c r="L11" s="161" t="s">
        <v>26</v>
      </c>
      <c r="M11" s="167">
        <v>160754551</v>
      </c>
      <c r="N11" s="167">
        <v>77576986</v>
      </c>
      <c r="O11" s="167">
        <f>+Green[[#This Row],[RS financing 2022 (EUR)]]+Green[[#This Row],[RS financing 2023 (EUR)]]</f>
        <v>23320066</v>
      </c>
      <c r="P11" s="167">
        <v>11660033</v>
      </c>
      <c r="Q11" s="167">
        <v>11660033</v>
      </c>
      <c r="R11" s="161" t="s">
        <v>506</v>
      </c>
    </row>
    <row r="12" spans="1:18" s="24" customFormat="1" ht="135" customHeight="1" x14ac:dyDescent="0.25">
      <c r="A12" s="160">
        <v>11</v>
      </c>
      <c r="B12" s="157" t="s">
        <v>529</v>
      </c>
      <c r="C12" s="163" t="s">
        <v>530</v>
      </c>
      <c r="D12" s="163" t="s">
        <v>531</v>
      </c>
      <c r="E12" s="161" t="s">
        <v>493</v>
      </c>
      <c r="F12" s="161" t="s">
        <v>532</v>
      </c>
      <c r="G12" s="161" t="s">
        <v>22</v>
      </c>
      <c r="H12" s="161" t="s">
        <v>495</v>
      </c>
      <c r="I12" s="161"/>
      <c r="J12" s="161" t="s">
        <v>397</v>
      </c>
      <c r="K12" s="161"/>
      <c r="L12" s="161" t="s">
        <v>515</v>
      </c>
      <c r="M12" s="167">
        <v>226068847</v>
      </c>
      <c r="N12" s="167">
        <v>121426191</v>
      </c>
      <c r="O12" s="167">
        <f>+Green[[#This Row],[RS financing 2022 (EUR)]]+Green[[#This Row],[RS financing 2023 (EUR)]]</f>
        <v>11780652</v>
      </c>
      <c r="P12" s="167">
        <v>6544717</v>
      </c>
      <c r="Q12" s="167">
        <v>5235935</v>
      </c>
      <c r="R12" s="161" t="s">
        <v>506</v>
      </c>
    </row>
    <row r="13" spans="1:18" s="24" customFormat="1" ht="95.25" customHeight="1" x14ac:dyDescent="0.25">
      <c r="A13" s="160">
        <v>12</v>
      </c>
      <c r="B13" s="157" t="s">
        <v>533</v>
      </c>
      <c r="C13" s="163" t="s">
        <v>534</v>
      </c>
      <c r="D13" s="163" t="s">
        <v>535</v>
      </c>
      <c r="E13" s="161" t="s">
        <v>493</v>
      </c>
      <c r="F13" s="161" t="s">
        <v>532</v>
      </c>
      <c r="G13" s="161" t="s">
        <v>22</v>
      </c>
      <c r="H13" s="161" t="s">
        <v>495</v>
      </c>
      <c r="I13" s="161"/>
      <c r="J13" s="161" t="s">
        <v>397</v>
      </c>
      <c r="K13" s="161"/>
      <c r="L13" s="161" t="s">
        <v>26</v>
      </c>
      <c r="M13" s="167">
        <v>21171349</v>
      </c>
      <c r="N13" s="167">
        <v>10210599</v>
      </c>
      <c r="O13" s="167">
        <f>+Green[[#This Row],[RS financing 2022 (EUR)]]+Green[[#This Row],[RS financing 2023 (EUR)]]</f>
        <v>1562367</v>
      </c>
      <c r="P13" s="167">
        <v>573123</v>
      </c>
      <c r="Q13" s="167">
        <v>989244</v>
      </c>
      <c r="R13" s="161" t="s">
        <v>506</v>
      </c>
    </row>
    <row r="14" spans="1:18" s="24" customFormat="1" ht="106.5" customHeight="1" x14ac:dyDescent="0.25">
      <c r="A14" s="160">
        <v>13</v>
      </c>
      <c r="B14" s="157" t="s">
        <v>536</v>
      </c>
      <c r="C14" s="163" t="s">
        <v>537</v>
      </c>
      <c r="D14" s="163" t="s">
        <v>538</v>
      </c>
      <c r="E14" s="161" t="s">
        <v>493</v>
      </c>
      <c r="F14" s="161" t="s">
        <v>532</v>
      </c>
      <c r="G14" s="161" t="s">
        <v>22</v>
      </c>
      <c r="H14" s="161" t="s">
        <v>495</v>
      </c>
      <c r="I14" s="161"/>
      <c r="J14" s="161" t="s">
        <v>397</v>
      </c>
      <c r="K14" s="161"/>
      <c r="L14" s="161" t="s">
        <v>515</v>
      </c>
      <c r="M14" s="167">
        <v>77048417</v>
      </c>
      <c r="N14" s="167">
        <v>22701849</v>
      </c>
      <c r="O14" s="167">
        <f>+Green[[#This Row],[RS financing 2022 (EUR)]]+Green[[#This Row],[RS financing 2023 (EUR)]]</f>
        <v>8543000</v>
      </c>
      <c r="P14" s="167">
        <v>3828195</v>
      </c>
      <c r="Q14" s="167">
        <v>4714805</v>
      </c>
      <c r="R14" s="161" t="s">
        <v>506</v>
      </c>
    </row>
    <row r="15" spans="1:18" s="24" customFormat="1" ht="122.25" customHeight="1" x14ac:dyDescent="0.25">
      <c r="A15" s="160">
        <v>14</v>
      </c>
      <c r="B15" s="157" t="s">
        <v>539</v>
      </c>
      <c r="C15" s="163" t="s">
        <v>540</v>
      </c>
      <c r="D15" s="163" t="s">
        <v>531</v>
      </c>
      <c r="E15" s="161" t="s">
        <v>493</v>
      </c>
      <c r="F15" s="161" t="s">
        <v>532</v>
      </c>
      <c r="G15" s="161" t="s">
        <v>22</v>
      </c>
      <c r="H15" s="161" t="s">
        <v>495</v>
      </c>
      <c r="I15" s="161"/>
      <c r="J15" s="161" t="s">
        <v>397</v>
      </c>
      <c r="K15" s="161"/>
      <c r="L15" s="161" t="s">
        <v>26</v>
      </c>
      <c r="M15" s="167">
        <v>312176181</v>
      </c>
      <c r="N15" s="167">
        <v>92686038</v>
      </c>
      <c r="O15" s="167">
        <f>+Green[[#This Row],[RS financing 2022 (EUR)]]+Green[[#This Row],[RS financing 2023 (EUR)]]</f>
        <v>56254732</v>
      </c>
      <c r="P15" s="167">
        <v>21981243</v>
      </c>
      <c r="Q15" s="167">
        <v>34273489</v>
      </c>
      <c r="R15" s="161" t="s">
        <v>506</v>
      </c>
    </row>
    <row r="16" spans="1:18" s="24" customFormat="1" ht="105.75" customHeight="1" x14ac:dyDescent="0.25">
      <c r="A16" s="160">
        <v>15</v>
      </c>
      <c r="B16" s="157" t="s">
        <v>541</v>
      </c>
      <c r="C16" s="163" t="s">
        <v>542</v>
      </c>
      <c r="D16" s="163" t="s">
        <v>543</v>
      </c>
      <c r="E16" s="161" t="s">
        <v>493</v>
      </c>
      <c r="F16" s="161" t="s">
        <v>532</v>
      </c>
      <c r="G16" s="161" t="s">
        <v>22</v>
      </c>
      <c r="H16" s="161" t="s">
        <v>495</v>
      </c>
      <c r="I16" s="161"/>
      <c r="J16" s="161" t="s">
        <v>397</v>
      </c>
      <c r="K16" s="161"/>
      <c r="L16" s="161" t="s">
        <v>155</v>
      </c>
      <c r="M16" s="167">
        <v>1077845074</v>
      </c>
      <c r="N16" s="167">
        <v>26965552</v>
      </c>
      <c r="O16" s="167">
        <f>+Green[[#This Row],[RS financing 2022 (EUR)]]+Green[[#This Row],[RS financing 2023 (EUR)]]</f>
        <v>11961018</v>
      </c>
      <c r="P16" s="167">
        <v>3985371</v>
      </c>
      <c r="Q16" s="167">
        <v>7975647</v>
      </c>
      <c r="R16" s="161" t="s">
        <v>506</v>
      </c>
    </row>
    <row r="17" spans="1:18" s="24" customFormat="1" ht="102.75" customHeight="1" x14ac:dyDescent="0.25">
      <c r="A17" s="160">
        <v>16</v>
      </c>
      <c r="B17" s="157" t="s">
        <v>544</v>
      </c>
      <c r="C17" s="163" t="s">
        <v>545</v>
      </c>
      <c r="D17" s="163" t="s">
        <v>546</v>
      </c>
      <c r="E17" s="161" t="s">
        <v>493</v>
      </c>
      <c r="F17" s="161" t="s">
        <v>532</v>
      </c>
      <c r="G17" s="161" t="s">
        <v>22</v>
      </c>
      <c r="H17" s="161" t="s">
        <v>495</v>
      </c>
      <c r="I17" s="161"/>
      <c r="J17" s="161" t="s">
        <v>397</v>
      </c>
      <c r="K17" s="161"/>
      <c r="L17" s="161" t="s">
        <v>26</v>
      </c>
      <c r="M17" s="167">
        <v>107946912</v>
      </c>
      <c r="N17" s="167">
        <v>46985685</v>
      </c>
      <c r="O17" s="167">
        <f>+Green[[#This Row],[RS financing 2022 (EUR)]]+Green[[#This Row],[RS financing 2023 (EUR)]]</f>
        <v>33130460</v>
      </c>
      <c r="P17" s="167">
        <v>17619054</v>
      </c>
      <c r="Q17" s="167">
        <v>15511406</v>
      </c>
      <c r="R17" s="161" t="s">
        <v>506</v>
      </c>
    </row>
    <row r="18" spans="1:18" s="24" customFormat="1" ht="93.75" customHeight="1" x14ac:dyDescent="0.25">
      <c r="A18" s="160">
        <v>17</v>
      </c>
      <c r="B18" s="157" t="s">
        <v>547</v>
      </c>
      <c r="C18" s="163" t="s">
        <v>548</v>
      </c>
      <c r="D18" s="163" t="s">
        <v>546</v>
      </c>
      <c r="E18" s="161" t="s">
        <v>493</v>
      </c>
      <c r="F18" s="161" t="s">
        <v>532</v>
      </c>
      <c r="G18" s="161" t="s">
        <v>22</v>
      </c>
      <c r="H18" s="161" t="s">
        <v>495</v>
      </c>
      <c r="I18" s="161"/>
      <c r="J18" s="161" t="s">
        <v>397</v>
      </c>
      <c r="K18" s="161"/>
      <c r="L18" s="161" t="s">
        <v>26</v>
      </c>
      <c r="M18" s="167">
        <v>18800042</v>
      </c>
      <c r="N18" s="167">
        <v>2434337</v>
      </c>
      <c r="O18" s="167">
        <f>+Green[[#This Row],[RS financing 2022 (EUR)]]+Green[[#This Row],[RS financing 2023 (EUR)]]</f>
        <v>2434338</v>
      </c>
      <c r="P18" s="167">
        <v>1904282</v>
      </c>
      <c r="Q18" s="167">
        <v>530056</v>
      </c>
      <c r="R18" s="161" t="s">
        <v>506</v>
      </c>
    </row>
    <row r="19" spans="1:18" s="24" customFormat="1" ht="90" customHeight="1" x14ac:dyDescent="0.25">
      <c r="A19" s="160">
        <v>18</v>
      </c>
      <c r="B19" s="157" t="s">
        <v>549</v>
      </c>
      <c r="C19" s="163" t="s">
        <v>550</v>
      </c>
      <c r="D19" s="163" t="s">
        <v>551</v>
      </c>
      <c r="E19" s="161" t="s">
        <v>493</v>
      </c>
      <c r="F19" s="161" t="s">
        <v>532</v>
      </c>
      <c r="G19" s="161" t="s">
        <v>22</v>
      </c>
      <c r="H19" s="161" t="s">
        <v>495</v>
      </c>
      <c r="I19" s="161"/>
      <c r="J19" s="161" t="s">
        <v>397</v>
      </c>
      <c r="K19" s="161"/>
      <c r="L19" s="161" t="s">
        <v>45</v>
      </c>
      <c r="M19" s="167">
        <v>108256436</v>
      </c>
      <c r="N19" s="167">
        <v>16295875</v>
      </c>
      <c r="O19" s="167">
        <f>+Green[[#This Row],[RS financing 2022 (EUR)]]+Green[[#This Row],[RS financing 2023 (EUR)]]</f>
        <v>4016739</v>
      </c>
      <c r="P19" s="167">
        <v>852644</v>
      </c>
      <c r="Q19" s="167">
        <v>3164095</v>
      </c>
      <c r="R19" s="161" t="s">
        <v>506</v>
      </c>
    </row>
    <row r="20" spans="1:18" s="24" customFormat="1" ht="87.75" customHeight="1" x14ac:dyDescent="0.25">
      <c r="A20" s="160">
        <v>19</v>
      </c>
      <c r="B20" s="157" t="s">
        <v>552</v>
      </c>
      <c r="C20" s="163" t="s">
        <v>553</v>
      </c>
      <c r="D20" s="163" t="s">
        <v>554</v>
      </c>
      <c r="E20" s="161" t="s">
        <v>493</v>
      </c>
      <c r="F20" s="161" t="s">
        <v>532</v>
      </c>
      <c r="G20" s="161" t="s">
        <v>22</v>
      </c>
      <c r="H20" s="161" t="s">
        <v>495</v>
      </c>
      <c r="I20" s="161"/>
      <c r="J20" s="161" t="s">
        <v>397</v>
      </c>
      <c r="K20" s="161"/>
      <c r="L20" s="161" t="s">
        <v>26</v>
      </c>
      <c r="M20" s="167">
        <v>312945884</v>
      </c>
      <c r="N20" s="167">
        <v>91801945</v>
      </c>
      <c r="O20" s="167">
        <f>+Green[[#This Row],[RS financing 2022 (EUR)]]+Green[[#This Row],[RS financing 2023 (EUR)]]</f>
        <v>57997097</v>
      </c>
      <c r="P20" s="167">
        <v>5419568</v>
      </c>
      <c r="Q20" s="167">
        <v>52577529</v>
      </c>
      <c r="R20" s="161" t="s">
        <v>506</v>
      </c>
    </row>
    <row r="21" spans="1:18" s="24" customFormat="1" ht="67.5" customHeight="1" x14ac:dyDescent="0.25">
      <c r="A21" s="160">
        <v>20</v>
      </c>
      <c r="B21" s="157" t="s">
        <v>555</v>
      </c>
      <c r="C21" s="163" t="s">
        <v>556</v>
      </c>
      <c r="D21" s="163" t="s">
        <v>557</v>
      </c>
      <c r="E21" s="161" t="s">
        <v>493</v>
      </c>
      <c r="F21" s="161" t="s">
        <v>532</v>
      </c>
      <c r="G21" s="161" t="s">
        <v>22</v>
      </c>
      <c r="H21" s="161" t="s">
        <v>495</v>
      </c>
      <c r="I21" s="161"/>
      <c r="J21" s="161" t="s">
        <v>397</v>
      </c>
      <c r="K21" s="161"/>
      <c r="L21" s="161" t="s">
        <v>45</v>
      </c>
      <c r="M21" s="167">
        <v>108609256</v>
      </c>
      <c r="N21" s="167">
        <v>29293066</v>
      </c>
      <c r="O21" s="167">
        <f>+Green[[#This Row],[RS financing 2022 (EUR)]]+Green[[#This Row],[RS financing 2023 (EUR)]]</f>
        <v>12102351</v>
      </c>
      <c r="P21" s="167">
        <v>3234070</v>
      </c>
      <c r="Q21" s="167">
        <v>8868281</v>
      </c>
      <c r="R21" s="161" t="s">
        <v>506</v>
      </c>
    </row>
    <row r="22" spans="1:18" s="24" customFormat="1" ht="54.9" customHeight="1" x14ac:dyDescent="0.25">
      <c r="A22" s="160">
        <v>21</v>
      </c>
      <c r="B22" s="157" t="s">
        <v>558</v>
      </c>
      <c r="C22" s="163" t="s">
        <v>559</v>
      </c>
      <c r="D22" s="163" t="s">
        <v>546</v>
      </c>
      <c r="E22" s="161" t="s">
        <v>493</v>
      </c>
      <c r="F22" s="161" t="s">
        <v>532</v>
      </c>
      <c r="G22" s="161" t="s">
        <v>22</v>
      </c>
      <c r="H22" s="161" t="s">
        <v>495</v>
      </c>
      <c r="I22" s="161"/>
      <c r="J22" s="161" t="s">
        <v>397</v>
      </c>
      <c r="K22" s="161"/>
      <c r="L22" s="161" t="s">
        <v>26</v>
      </c>
      <c r="M22" s="167">
        <v>18332786</v>
      </c>
      <c r="N22" s="167">
        <v>4889601</v>
      </c>
      <c r="O22" s="167">
        <f>+Green[[#This Row],[RS financing 2022 (EUR)]]+Green[[#This Row],[RS financing 2023 (EUR)]]</f>
        <v>4189601</v>
      </c>
      <c r="P22" s="167">
        <v>992436</v>
      </c>
      <c r="Q22" s="167">
        <v>3197165</v>
      </c>
      <c r="R22" s="161" t="s">
        <v>506</v>
      </c>
    </row>
    <row r="23" spans="1:18" s="24" customFormat="1" ht="54.9" customHeight="1" x14ac:dyDescent="0.25">
      <c r="A23" s="160">
        <v>22</v>
      </c>
      <c r="B23" s="157" t="s">
        <v>560</v>
      </c>
      <c r="C23" s="163" t="s">
        <v>561</v>
      </c>
      <c r="D23" s="163" t="s">
        <v>562</v>
      </c>
      <c r="E23" s="161" t="s">
        <v>493</v>
      </c>
      <c r="F23" s="161" t="s">
        <v>532</v>
      </c>
      <c r="G23" s="161" t="s">
        <v>22</v>
      </c>
      <c r="H23" s="161" t="s">
        <v>495</v>
      </c>
      <c r="I23" s="161"/>
      <c r="J23" s="161" t="s">
        <v>397</v>
      </c>
      <c r="K23" s="161"/>
      <c r="L23" s="161" t="s">
        <v>45</v>
      </c>
      <c r="M23" s="167">
        <v>42236225</v>
      </c>
      <c r="N23" s="167">
        <v>2960326</v>
      </c>
      <c r="O23" s="167">
        <f>+Green[[#This Row],[RS financing 2022 (EUR)]]+Green[[#This Row],[RS financing 2023 (EUR)]]</f>
        <v>206334</v>
      </c>
      <c r="P23" s="167">
        <v>24375</v>
      </c>
      <c r="Q23" s="167">
        <v>181959</v>
      </c>
      <c r="R23" s="161" t="s">
        <v>506</v>
      </c>
    </row>
    <row r="24" spans="1:18" s="24" customFormat="1" ht="43.2" x14ac:dyDescent="0.25">
      <c r="A24" s="160">
        <v>23</v>
      </c>
      <c r="B24" s="157" t="s">
        <v>563</v>
      </c>
      <c r="C24" s="163" t="s">
        <v>564</v>
      </c>
      <c r="D24" s="163" t="s">
        <v>562</v>
      </c>
      <c r="E24" s="161" t="s">
        <v>493</v>
      </c>
      <c r="F24" s="161" t="s">
        <v>532</v>
      </c>
      <c r="G24" s="161" t="s">
        <v>22</v>
      </c>
      <c r="H24" s="161" t="s">
        <v>495</v>
      </c>
      <c r="I24" s="161"/>
      <c r="J24" s="161" t="s">
        <v>397</v>
      </c>
      <c r="K24" s="161"/>
      <c r="L24" s="161" t="s">
        <v>45</v>
      </c>
      <c r="M24" s="167">
        <v>47534395</v>
      </c>
      <c r="N24" s="167">
        <v>1526423</v>
      </c>
      <c r="O24" s="167">
        <f>+Green[[#This Row],[RS financing 2022 (EUR)]]+Green[[#This Row],[RS financing 2023 (EUR)]]</f>
        <v>340844</v>
      </c>
      <c r="P24" s="167">
        <v>11735</v>
      </c>
      <c r="Q24" s="167">
        <v>329109</v>
      </c>
      <c r="R24" s="161" t="s">
        <v>506</v>
      </c>
    </row>
    <row r="25" spans="1:18" s="24" customFormat="1" ht="98.25" customHeight="1" x14ac:dyDescent="0.25">
      <c r="A25" s="160">
        <v>24</v>
      </c>
      <c r="B25" s="157" t="s">
        <v>565</v>
      </c>
      <c r="C25" s="163" t="s">
        <v>566</v>
      </c>
      <c r="D25" s="163" t="s">
        <v>567</v>
      </c>
      <c r="E25" s="161" t="s">
        <v>493</v>
      </c>
      <c r="F25" s="161" t="s">
        <v>532</v>
      </c>
      <c r="G25" s="161" t="s">
        <v>22</v>
      </c>
      <c r="H25" s="161" t="s">
        <v>495</v>
      </c>
      <c r="I25" s="161"/>
      <c r="J25" s="161" t="s">
        <v>397</v>
      </c>
      <c r="K25" s="161"/>
      <c r="L25" s="161" t="s">
        <v>45</v>
      </c>
      <c r="M25" s="167">
        <v>15376184</v>
      </c>
      <c r="N25" s="167">
        <v>9501762</v>
      </c>
      <c r="O25" s="167">
        <f>+Green[[#This Row],[RS financing 2022 (EUR)]]+Green[[#This Row],[RS financing 2023 (EUR)]]</f>
        <v>423520</v>
      </c>
      <c r="P25" s="167">
        <v>0</v>
      </c>
      <c r="Q25" s="167">
        <v>423520</v>
      </c>
      <c r="R25" s="161" t="s">
        <v>506</v>
      </c>
    </row>
    <row r="26" spans="1:18" s="24" customFormat="1" ht="98.25" customHeight="1" x14ac:dyDescent="0.25">
      <c r="A26" s="160">
        <v>25</v>
      </c>
      <c r="B26" s="157" t="s">
        <v>568</v>
      </c>
      <c r="C26" s="163" t="s">
        <v>569</v>
      </c>
      <c r="D26" s="163" t="s">
        <v>570</v>
      </c>
      <c r="E26" s="161" t="s">
        <v>493</v>
      </c>
      <c r="F26" s="161" t="s">
        <v>532</v>
      </c>
      <c r="G26" s="161" t="s">
        <v>22</v>
      </c>
      <c r="H26" s="161" t="s">
        <v>495</v>
      </c>
      <c r="I26" s="161"/>
      <c r="J26" s="161" t="s">
        <v>397</v>
      </c>
      <c r="K26" s="161" t="s">
        <v>506</v>
      </c>
      <c r="L26" s="161" t="s">
        <v>45</v>
      </c>
      <c r="M26" s="167">
        <v>6655619</v>
      </c>
      <c r="N26" s="167">
        <v>2514316</v>
      </c>
      <c r="O26" s="167">
        <f>+Green[[#This Row],[RS financing 2022 (EUR)]]+Green[[#This Row],[RS financing 2023 (EUR)]]</f>
        <v>333316</v>
      </c>
      <c r="P26" s="167">
        <v>0</v>
      </c>
      <c r="Q26" s="167">
        <v>333316</v>
      </c>
      <c r="R26" s="161" t="s">
        <v>506</v>
      </c>
    </row>
    <row r="27" spans="1:18" s="24" customFormat="1" ht="165" customHeight="1" x14ac:dyDescent="0.25">
      <c r="A27" s="160">
        <v>26</v>
      </c>
      <c r="B27" s="157" t="s">
        <v>571</v>
      </c>
      <c r="C27" s="163" t="s">
        <v>572</v>
      </c>
      <c r="D27" s="163" t="s">
        <v>573</v>
      </c>
      <c r="E27" s="161" t="s">
        <v>574</v>
      </c>
      <c r="F27" s="161" t="s">
        <v>575</v>
      </c>
      <c r="G27" s="161" t="s">
        <v>576</v>
      </c>
      <c r="H27" s="161" t="s">
        <v>495</v>
      </c>
      <c r="I27" s="161"/>
      <c r="J27" s="161" t="s">
        <v>161</v>
      </c>
      <c r="K27" s="161"/>
      <c r="L27" s="161" t="s">
        <v>26</v>
      </c>
      <c r="M27" s="167">
        <v>735636373</v>
      </c>
      <c r="N27" s="167">
        <v>187662637</v>
      </c>
      <c r="O27" s="167">
        <v>35938148</v>
      </c>
      <c r="P27" s="167">
        <v>21093896</v>
      </c>
      <c r="Q27" s="167">
        <v>14844252</v>
      </c>
      <c r="R27" s="161" t="s">
        <v>577</v>
      </c>
    </row>
    <row r="28" spans="1:18" s="24" customFormat="1" ht="155.25" customHeight="1" x14ac:dyDescent="0.25">
      <c r="A28" s="160">
        <v>27</v>
      </c>
      <c r="B28" s="157" t="s">
        <v>578</v>
      </c>
      <c r="C28" s="163" t="s">
        <v>499</v>
      </c>
      <c r="D28" s="163" t="s">
        <v>579</v>
      </c>
      <c r="E28" s="161" t="s">
        <v>493</v>
      </c>
      <c r="F28" s="161" t="s">
        <v>494</v>
      </c>
      <c r="G28" s="161" t="s">
        <v>435</v>
      </c>
      <c r="H28" s="161" t="s">
        <v>495</v>
      </c>
      <c r="I28" s="161"/>
      <c r="J28" s="161" t="s">
        <v>23</v>
      </c>
      <c r="K28" s="161" t="s">
        <v>496</v>
      </c>
      <c r="L28" s="161" t="s">
        <v>26</v>
      </c>
      <c r="M28" s="167">
        <v>16173935</v>
      </c>
      <c r="N28" s="167">
        <v>1680794</v>
      </c>
      <c r="O28" s="167">
        <f>+Green[[#This Row],[RS financing 2022 (EUR)]]+Green[[#This Row],[RS financing 2023 (EUR)]]</f>
        <v>799309</v>
      </c>
      <c r="P28" s="167">
        <v>477290</v>
      </c>
      <c r="Q28" s="167">
        <v>322019</v>
      </c>
      <c r="R28" s="161" t="s">
        <v>497</v>
      </c>
    </row>
    <row r="29" spans="1:18" s="24" customFormat="1" ht="89.25" customHeight="1" x14ac:dyDescent="0.25">
      <c r="A29" s="160">
        <v>28</v>
      </c>
      <c r="B29" s="157" t="s">
        <v>580</v>
      </c>
      <c r="C29" s="163" t="s">
        <v>581</v>
      </c>
      <c r="D29" s="163" t="s">
        <v>554</v>
      </c>
      <c r="E29" s="161" t="s">
        <v>493</v>
      </c>
      <c r="F29" s="161" t="s">
        <v>532</v>
      </c>
      <c r="G29" s="161" t="s">
        <v>22</v>
      </c>
      <c r="H29" s="161" t="s">
        <v>495</v>
      </c>
      <c r="I29" s="161"/>
      <c r="J29" s="161" t="s">
        <v>23</v>
      </c>
      <c r="K29" s="161" t="s">
        <v>506</v>
      </c>
      <c r="L29" s="161" t="s">
        <v>26</v>
      </c>
      <c r="M29" s="167">
        <v>69144014</v>
      </c>
      <c r="N29" s="167">
        <v>10458957</v>
      </c>
      <c r="O29" s="167">
        <f>+Green[[#This Row],[RS financing 2022 (EUR)]]+Green[[#This Row],[RS financing 2023 (EUR)]]</f>
        <v>10448957</v>
      </c>
      <c r="P29" s="167">
        <v>7952624</v>
      </c>
      <c r="Q29" s="167">
        <v>2496333</v>
      </c>
      <c r="R29" s="161" t="s">
        <v>506</v>
      </c>
    </row>
    <row r="30" spans="1:18" s="24" customFormat="1" ht="186" customHeight="1" x14ac:dyDescent="0.25">
      <c r="A30" s="160">
        <v>29</v>
      </c>
      <c r="B30" s="157" t="s">
        <v>582</v>
      </c>
      <c r="C30" s="163" t="s">
        <v>583</v>
      </c>
      <c r="D30" s="163" t="s">
        <v>570</v>
      </c>
      <c r="E30" s="161" t="s">
        <v>493</v>
      </c>
      <c r="F30" s="161" t="s">
        <v>532</v>
      </c>
      <c r="G30" s="161" t="s">
        <v>22</v>
      </c>
      <c r="H30" s="161" t="s">
        <v>495</v>
      </c>
      <c r="I30" s="161"/>
      <c r="J30" s="161" t="s">
        <v>23</v>
      </c>
      <c r="K30" s="161" t="s">
        <v>506</v>
      </c>
      <c r="L30" s="161" t="s">
        <v>45</v>
      </c>
      <c r="M30" s="167">
        <v>16313094</v>
      </c>
      <c r="N30" s="167">
        <v>9800202</v>
      </c>
      <c r="O30" s="167">
        <f>+Green[[#This Row],[RS financing 2022 (EUR)]]+Green[[#This Row],[RS financing 2023 (EUR)]]</f>
        <v>3209841</v>
      </c>
      <c r="P30" s="167">
        <v>39018</v>
      </c>
      <c r="Q30" s="167">
        <v>3170823</v>
      </c>
      <c r="R30" s="161" t="s">
        <v>584</v>
      </c>
    </row>
    <row r="31" spans="1:18" s="24" customFormat="1" ht="138" customHeight="1" x14ac:dyDescent="0.25">
      <c r="A31" s="160">
        <v>30</v>
      </c>
      <c r="B31" s="157" t="s">
        <v>585</v>
      </c>
      <c r="C31" s="163" t="s">
        <v>586</v>
      </c>
      <c r="D31" s="163" t="s">
        <v>587</v>
      </c>
      <c r="E31" s="161" t="s">
        <v>493</v>
      </c>
      <c r="F31" s="161" t="s">
        <v>532</v>
      </c>
      <c r="G31" s="161" t="s">
        <v>22</v>
      </c>
      <c r="H31" s="161" t="s">
        <v>495</v>
      </c>
      <c r="I31" s="161"/>
      <c r="J31" s="161" t="s">
        <v>23</v>
      </c>
      <c r="K31" s="161" t="s">
        <v>506</v>
      </c>
      <c r="L31" s="161" t="s">
        <v>45</v>
      </c>
      <c r="M31" s="167">
        <v>82345400</v>
      </c>
      <c r="N31" s="167">
        <v>11037358</v>
      </c>
      <c r="O31" s="167">
        <f>+Green[[#This Row],[RS financing 2022 (EUR)]]+Green[[#This Row],[RS financing 2023 (EUR)]]</f>
        <v>289462</v>
      </c>
      <c r="P31" s="167">
        <v>0</v>
      </c>
      <c r="Q31" s="167">
        <v>289462</v>
      </c>
      <c r="R31" s="161" t="s">
        <v>506</v>
      </c>
    </row>
    <row r="32" spans="1:18" s="24" customFormat="1" ht="199.5" customHeight="1" x14ac:dyDescent="0.25">
      <c r="A32" s="160">
        <v>31</v>
      </c>
      <c r="B32" s="157" t="s">
        <v>588</v>
      </c>
      <c r="C32" s="163" t="s">
        <v>589</v>
      </c>
      <c r="D32" s="163" t="s">
        <v>590</v>
      </c>
      <c r="E32" s="161" t="s">
        <v>493</v>
      </c>
      <c r="F32" s="161" t="s">
        <v>532</v>
      </c>
      <c r="G32" s="161" t="s">
        <v>22</v>
      </c>
      <c r="H32" s="161" t="s">
        <v>495</v>
      </c>
      <c r="I32" s="161"/>
      <c r="J32" s="161" t="s">
        <v>23</v>
      </c>
      <c r="K32" s="161" t="s">
        <v>506</v>
      </c>
      <c r="L32" s="161" t="s">
        <v>26</v>
      </c>
      <c r="M32" s="167">
        <v>210130730</v>
      </c>
      <c r="N32" s="167">
        <v>49619367</v>
      </c>
      <c r="O32" s="167">
        <f>+Green[[#This Row],[RS financing 2022 (EUR)]]+Green[[#This Row],[RS financing 2023 (EUR)]]</f>
        <v>13811442</v>
      </c>
      <c r="P32" s="167">
        <v>1140969</v>
      </c>
      <c r="Q32" s="167">
        <v>12670473</v>
      </c>
      <c r="R32" s="161" t="s">
        <v>506</v>
      </c>
    </row>
    <row r="33" spans="1:18" s="24" customFormat="1" ht="95.25" customHeight="1" x14ac:dyDescent="0.25">
      <c r="A33" s="160">
        <v>32</v>
      </c>
      <c r="B33" s="157" t="s">
        <v>591</v>
      </c>
      <c r="C33" s="163" t="s">
        <v>592</v>
      </c>
      <c r="D33" s="163" t="s">
        <v>593</v>
      </c>
      <c r="E33" s="161" t="s">
        <v>493</v>
      </c>
      <c r="F33" s="161" t="s">
        <v>532</v>
      </c>
      <c r="G33" s="161" t="s">
        <v>22</v>
      </c>
      <c r="H33" s="161" t="s">
        <v>495</v>
      </c>
      <c r="I33" s="161"/>
      <c r="J33" s="161" t="s">
        <v>23</v>
      </c>
      <c r="K33" s="161" t="s">
        <v>506</v>
      </c>
      <c r="L33" s="161" t="s">
        <v>515</v>
      </c>
      <c r="M33" s="167">
        <v>72186559</v>
      </c>
      <c r="N33" s="167">
        <v>5707788</v>
      </c>
      <c r="O33" s="167">
        <f>+Green[[#This Row],[RS financing 2022 (EUR)]]+Green[[#This Row],[RS financing 2023 (EUR)]]</f>
        <v>2398288</v>
      </c>
      <c r="P33" s="167">
        <v>876632</v>
      </c>
      <c r="Q33" s="167">
        <v>1521656</v>
      </c>
      <c r="R33" s="161" t="s">
        <v>506</v>
      </c>
    </row>
    <row r="34" spans="1:18" s="24" customFormat="1" ht="102" customHeight="1" x14ac:dyDescent="0.25">
      <c r="A34" s="160">
        <v>33</v>
      </c>
      <c r="B34" s="157" t="s">
        <v>594</v>
      </c>
      <c r="C34" s="163" t="s">
        <v>595</v>
      </c>
      <c r="D34" s="163" t="s">
        <v>596</v>
      </c>
      <c r="E34" s="161" t="s">
        <v>493</v>
      </c>
      <c r="F34" s="161" t="s">
        <v>532</v>
      </c>
      <c r="G34" s="161" t="s">
        <v>22</v>
      </c>
      <c r="H34" s="161" t="s">
        <v>495</v>
      </c>
      <c r="I34" s="161"/>
      <c r="J34" s="161" t="s">
        <v>23</v>
      </c>
      <c r="K34" s="161" t="s">
        <v>506</v>
      </c>
      <c r="L34" s="161" t="s">
        <v>26</v>
      </c>
      <c r="M34" s="167">
        <v>64985080</v>
      </c>
      <c r="N34" s="167">
        <v>29236313</v>
      </c>
      <c r="O34" s="167">
        <f>+Green[[#This Row],[RS financing 2022 (EUR)]]+Green[[#This Row],[RS financing 2023 (EUR)]]</f>
        <v>4696514</v>
      </c>
      <c r="P34" s="167">
        <v>0</v>
      </c>
      <c r="Q34" s="167">
        <v>4696514</v>
      </c>
      <c r="R34" s="161" t="s">
        <v>506</v>
      </c>
    </row>
    <row r="35" spans="1:18" s="24" customFormat="1" ht="54.9" customHeight="1" thickBot="1" x14ac:dyDescent="0.3">
      <c r="A35" s="203" t="s">
        <v>597</v>
      </c>
      <c r="B35" s="204"/>
      <c r="C35" s="205"/>
      <c r="D35" s="205"/>
      <c r="E35" s="205"/>
      <c r="F35" s="205"/>
      <c r="G35" s="205"/>
      <c r="H35" s="205"/>
      <c r="I35" s="204"/>
      <c r="J35" s="204"/>
      <c r="K35" s="204"/>
      <c r="L35" s="206"/>
      <c r="M35" s="175">
        <f>SUM(Green[Total project amount (EUR)])</f>
        <v>4401663328</v>
      </c>
      <c r="N35" s="175">
        <f>SUM(Green[RS financing amount (EUR)])</f>
        <v>1265144918</v>
      </c>
      <c r="O35" s="175">
        <f>SUM(Green[Bond eligible amount (EUR)
Σ 22+23])</f>
        <v>359271140</v>
      </c>
      <c r="P35" s="175">
        <f>SUM(Green[RS financing 2022 (EUR)])</f>
        <v>129017345</v>
      </c>
      <c r="Q35" s="175">
        <f>SUM(Green[RS financing 2023 (EUR)])</f>
        <v>230253795</v>
      </c>
      <c r="R35" s="174"/>
    </row>
    <row r="36" spans="1:18" s="24" customFormat="1" ht="147.75" customHeight="1" x14ac:dyDescent="0.25"/>
    <row r="37" spans="1:18" s="24" customFormat="1" ht="101.25" customHeight="1" x14ac:dyDescent="0.25"/>
    <row r="38" spans="1:18" s="24" customFormat="1" ht="40.35" customHeight="1" x14ac:dyDescent="0.25"/>
    <row r="39" spans="1:18" ht="191.25" customHeight="1" x14ac:dyDescent="0.25"/>
  </sheetData>
  <mergeCells count="1">
    <mergeCell ref="A35:L35"/>
  </mergeCells>
  <phoneticPr fontId="21" type="noConversion"/>
  <pageMargins left="0.7" right="0.7" top="0.75" bottom="0.75" header="0.3" footer="0.3"/>
  <pageSetup paperSize="8" scale="45" fitToHeight="0" orientation="landscape" r:id="rId1"/>
  <headerFooter>
    <oddFooter>&amp;R&amp;1#&amp;"Calibri"&amp;10&amp;K0078D7Classification : Internal</oddFooter>
  </headerFooter>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77C02BBD-F21A-4456-8631-5BE2148F2214}">
          <x14:formula1>
            <xm:f>'Drop list'!$D$2:$D$16</xm:f>
          </x14:formula1>
          <xm:sqref>G2:G34</xm:sqref>
        </x14:dataValidation>
        <x14:dataValidation type="list" allowBlank="1" showInputMessage="1" showErrorMessage="1" xr:uid="{7EC70CCB-5EC1-49BF-BCB9-E39F5B33AD45}">
          <x14:formula1>
            <xm:f>'Drop list'!$A$44:$A$48</xm:f>
          </x14:formula1>
          <xm:sqref>J2:J34</xm:sqref>
        </x14:dataValidation>
        <x14:dataValidation type="list" allowBlank="1" showInputMessage="1" showErrorMessage="1" xr:uid="{438FF8C7-0D3D-48D2-9A50-9511246CD994}">
          <x14:formula1>
            <xm:f>'Drop list'!$A$35:$A$40</xm:f>
          </x14:formula1>
          <xm:sqref>H2:H34</xm:sqref>
        </x14:dataValidation>
        <x14:dataValidation type="list" allowBlank="1" showInputMessage="1" showErrorMessage="1" xr:uid="{10096443-556D-4212-AD8E-B85A7391D8A3}">
          <x14:formula1>
            <xm:f>'Drop list'!$F$14:$F$18</xm:f>
          </x14:formula1>
          <xm:sqref>L2:L34</xm:sqref>
        </x14:dataValidation>
        <x14:dataValidation type="list" allowBlank="1" showInputMessage="1" showErrorMessage="1" xr:uid="{B289652A-3489-4214-B594-A503B85F991C}">
          <x14:formula1>
            <xm:f>'Drop list'!$D$26:$D$122</xm:f>
          </x14:formula1>
          <xm:sqref>I2:I34</xm:sqref>
        </x14:dataValidation>
        <x14:dataValidation type="list" allowBlank="1" showInputMessage="1" showErrorMessage="1" xr:uid="{0CCE564A-EEFA-4748-9126-89B33758B634}">
          <x14:formula1>
            <xm:f>'Drop list'!$F$2:$F$11</xm:f>
          </x14:formula1>
          <xm:sqref>R2:R34</xm:sqref>
        </x14:dataValidation>
        <x14:dataValidation type="list" allowBlank="1" showInputMessage="1" showErrorMessage="1" xr:uid="{692333EA-4482-4DC3-A39E-CF6376129730}">
          <x14:formula1>
            <xm:f>'Drop list'!$A$2:$A$11</xm:f>
          </x14:formula1>
          <xm:sqref>E2:E34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94D58-961A-4A68-A1C2-C4F03E5A6A0B}">
  <sheetPr>
    <tabColor rgb="FFFFC000"/>
  </sheetPr>
  <dimension ref="A3:G93"/>
  <sheetViews>
    <sheetView showGridLines="0" tabSelected="1" zoomScale="70" zoomScaleNormal="70" workbookViewId="0">
      <selection activeCell="F33" sqref="F33"/>
    </sheetView>
  </sheetViews>
  <sheetFormatPr defaultRowHeight="13.8" x14ac:dyDescent="0.25"/>
  <cols>
    <col min="1" max="1" width="53.3984375" bestFit="1" customWidth="1"/>
    <col min="2" max="3" width="23.5" bestFit="1" customWidth="1"/>
    <col min="4" max="4" width="34.69921875" bestFit="1" customWidth="1"/>
    <col min="5" max="5" width="42.3984375" bestFit="1" customWidth="1"/>
    <col min="6" max="6" width="38.59765625" bestFit="1" customWidth="1"/>
    <col min="7" max="7" width="11.09765625" bestFit="1" customWidth="1"/>
    <col min="8" max="8" width="14" bestFit="1" customWidth="1"/>
    <col min="9" max="9" width="16.69921875" bestFit="1" customWidth="1"/>
    <col min="10" max="10" width="15.5" bestFit="1" customWidth="1"/>
    <col min="11" max="11" width="13" bestFit="1" customWidth="1"/>
    <col min="12" max="12" width="48.3984375" bestFit="1" customWidth="1"/>
    <col min="13" max="13" width="13" bestFit="1" customWidth="1"/>
  </cols>
  <sheetData>
    <row r="3" spans="1:7" x14ac:dyDescent="0.25">
      <c r="A3" s="102" t="s">
        <v>598</v>
      </c>
      <c r="B3" t="s">
        <v>599</v>
      </c>
      <c r="C3" t="s">
        <v>600</v>
      </c>
      <c r="D3" t="s">
        <v>601</v>
      </c>
    </row>
    <row r="4" spans="1:7" x14ac:dyDescent="0.25">
      <c r="A4" s="103" t="s">
        <v>493</v>
      </c>
      <c r="B4" s="46">
        <v>107923449</v>
      </c>
      <c r="C4" s="46">
        <v>215409543</v>
      </c>
      <c r="D4" s="46">
        <v>323332992</v>
      </c>
    </row>
    <row r="5" spans="1:7" x14ac:dyDescent="0.25">
      <c r="A5" s="138" t="s">
        <v>504</v>
      </c>
      <c r="B5" s="46">
        <v>17907903</v>
      </c>
      <c r="C5" s="46">
        <v>39185860</v>
      </c>
      <c r="D5" s="46">
        <v>57093763</v>
      </c>
      <c r="F5" s="46"/>
      <c r="G5" s="46"/>
    </row>
    <row r="6" spans="1:7" x14ac:dyDescent="0.25">
      <c r="A6" s="138" t="s">
        <v>532</v>
      </c>
      <c r="B6" s="46">
        <v>76980056</v>
      </c>
      <c r="C6" s="46">
        <v>163150817</v>
      </c>
      <c r="D6" s="46">
        <v>240130873</v>
      </c>
      <c r="F6" s="46"/>
      <c r="G6" s="46"/>
    </row>
    <row r="7" spans="1:7" x14ac:dyDescent="0.25">
      <c r="A7" s="138" t="s">
        <v>528</v>
      </c>
      <c r="B7" s="46">
        <v>11660033</v>
      </c>
      <c r="C7" s="46">
        <v>11660033</v>
      </c>
      <c r="D7" s="46">
        <v>23320066</v>
      </c>
      <c r="F7" s="46"/>
      <c r="G7" s="46"/>
    </row>
    <row r="8" spans="1:7" x14ac:dyDescent="0.25">
      <c r="A8" s="138" t="s">
        <v>494</v>
      </c>
      <c r="B8" s="46">
        <v>1375457</v>
      </c>
      <c r="C8" s="46">
        <v>1412833</v>
      </c>
      <c r="D8" s="46">
        <v>2788290</v>
      </c>
      <c r="F8" s="46"/>
      <c r="G8" s="46"/>
    </row>
    <row r="9" spans="1:7" x14ac:dyDescent="0.25">
      <c r="A9" s="103" t="s">
        <v>574</v>
      </c>
      <c r="B9" s="46">
        <v>21093896</v>
      </c>
      <c r="C9" s="46">
        <v>14844252</v>
      </c>
      <c r="D9" s="46">
        <v>35938148</v>
      </c>
      <c r="F9" s="46"/>
      <c r="G9" s="46"/>
    </row>
    <row r="10" spans="1:7" x14ac:dyDescent="0.25">
      <c r="A10" s="138" t="s">
        <v>575</v>
      </c>
      <c r="B10" s="46">
        <v>21093896</v>
      </c>
      <c r="C10" s="46">
        <v>14844252</v>
      </c>
      <c r="D10" s="46">
        <v>35938148</v>
      </c>
    </row>
    <row r="11" spans="1:7" x14ac:dyDescent="0.25">
      <c r="A11" s="103" t="s">
        <v>602</v>
      </c>
      <c r="B11" s="46">
        <v>129017345</v>
      </c>
      <c r="C11" s="46">
        <v>230253795</v>
      </c>
      <c r="D11" s="46">
        <v>359271140</v>
      </c>
    </row>
    <row r="12" spans="1:7" x14ac:dyDescent="0.25">
      <c r="A12" s="103"/>
      <c r="B12" s="46"/>
      <c r="C12" s="46"/>
      <c r="D12" s="46"/>
    </row>
    <row r="13" spans="1:7" x14ac:dyDescent="0.25">
      <c r="A13" s="103"/>
      <c r="B13" s="46"/>
      <c r="C13" s="46"/>
      <c r="D13" s="46"/>
    </row>
    <row r="15" spans="1:7" x14ac:dyDescent="0.25">
      <c r="A15" s="102" t="s">
        <v>603</v>
      </c>
      <c r="B15" t="s">
        <v>599</v>
      </c>
      <c r="C15" t="s">
        <v>600</v>
      </c>
      <c r="D15" t="s">
        <v>604</v>
      </c>
    </row>
    <row r="16" spans="1:7" x14ac:dyDescent="0.25">
      <c r="A16" s="103" t="s">
        <v>151</v>
      </c>
      <c r="B16" s="46">
        <v>135342430</v>
      </c>
      <c r="C16" s="46">
        <v>118567887</v>
      </c>
      <c r="D16" s="46">
        <v>253910317</v>
      </c>
    </row>
    <row r="17" spans="1:6" x14ac:dyDescent="0.25">
      <c r="A17" s="138" t="s">
        <v>152</v>
      </c>
      <c r="B17" s="46">
        <v>92175601</v>
      </c>
      <c r="C17" s="46">
        <v>66160603</v>
      </c>
      <c r="D17" s="46">
        <v>158336204</v>
      </c>
      <c r="F17" s="143"/>
    </row>
    <row r="18" spans="1:6" x14ac:dyDescent="0.25">
      <c r="A18" s="138" t="s">
        <v>160</v>
      </c>
      <c r="B18" s="46">
        <v>35086444</v>
      </c>
      <c r="C18" s="46">
        <v>43006003</v>
      </c>
      <c r="D18" s="46">
        <v>78092447</v>
      </c>
    </row>
    <row r="19" spans="1:6" x14ac:dyDescent="0.25">
      <c r="A19" s="138" t="s">
        <v>167</v>
      </c>
      <c r="B19" s="46">
        <v>8080385</v>
      </c>
      <c r="C19" s="46">
        <v>9401281</v>
      </c>
      <c r="D19" s="46">
        <v>17481666</v>
      </c>
    </row>
    <row r="20" spans="1:6" x14ac:dyDescent="0.25">
      <c r="A20" s="103" t="s">
        <v>20</v>
      </c>
      <c r="B20" s="46">
        <v>194542464</v>
      </c>
      <c r="C20" s="46">
        <v>218616140</v>
      </c>
      <c r="D20" s="46">
        <v>413158604</v>
      </c>
    </row>
    <row r="21" spans="1:6" x14ac:dyDescent="0.25">
      <c r="A21" s="138" t="s">
        <v>35</v>
      </c>
      <c r="B21" s="46">
        <v>3944067</v>
      </c>
      <c r="C21" s="46">
        <v>122058858</v>
      </c>
      <c r="D21" s="46">
        <v>126002925</v>
      </c>
    </row>
    <row r="22" spans="1:6" x14ac:dyDescent="0.25">
      <c r="A22" s="138" t="s">
        <v>21</v>
      </c>
      <c r="B22" s="46">
        <v>40893922</v>
      </c>
      <c r="C22" s="46">
        <v>43067466</v>
      </c>
      <c r="D22" s="46">
        <v>83961388</v>
      </c>
    </row>
    <row r="23" spans="1:6" x14ac:dyDescent="0.25">
      <c r="A23" s="138" t="s">
        <v>87</v>
      </c>
      <c r="B23" s="46">
        <v>86061257</v>
      </c>
      <c r="C23" s="46">
        <v>2240</v>
      </c>
      <c r="D23" s="46">
        <v>86063497</v>
      </c>
    </row>
    <row r="24" spans="1:6" x14ac:dyDescent="0.25">
      <c r="A24" s="138" t="s">
        <v>60</v>
      </c>
      <c r="B24" s="46">
        <v>63643218</v>
      </c>
      <c r="C24" s="46">
        <v>53487576</v>
      </c>
      <c r="D24" s="46">
        <v>117130794</v>
      </c>
    </row>
    <row r="25" spans="1:6" x14ac:dyDescent="0.25">
      <c r="A25" s="103" t="s">
        <v>142</v>
      </c>
      <c r="B25" s="46">
        <v>3132467</v>
      </c>
      <c r="C25" s="46">
        <v>220527472</v>
      </c>
      <c r="D25" s="46">
        <v>223659939</v>
      </c>
    </row>
    <row r="26" spans="1:6" x14ac:dyDescent="0.25">
      <c r="A26" s="138" t="s">
        <v>429</v>
      </c>
      <c r="B26" s="46">
        <v>0</v>
      </c>
      <c r="C26" s="46">
        <v>213358446</v>
      </c>
      <c r="D26" s="46">
        <v>213358446</v>
      </c>
    </row>
    <row r="27" spans="1:6" x14ac:dyDescent="0.25">
      <c r="A27" s="138" t="s">
        <v>143</v>
      </c>
      <c r="B27" s="46">
        <v>3132467</v>
      </c>
      <c r="C27" s="46">
        <v>7169026</v>
      </c>
      <c r="D27" s="46">
        <v>10301493</v>
      </c>
    </row>
    <row r="28" spans="1:6" x14ac:dyDescent="0.25">
      <c r="A28" s="103" t="s">
        <v>605</v>
      </c>
      <c r="B28" s="46">
        <v>333017361</v>
      </c>
      <c r="C28" s="46">
        <v>557711499</v>
      </c>
      <c r="D28" s="46">
        <v>890728860</v>
      </c>
    </row>
    <row r="29" spans="1:6" x14ac:dyDescent="0.25">
      <c r="A29" s="103"/>
      <c r="B29" s="46"/>
      <c r="C29" s="46"/>
      <c r="D29" s="46"/>
    </row>
    <row r="30" spans="1:6" x14ac:dyDescent="0.25">
      <c r="A30" s="103"/>
      <c r="B30" s="46"/>
      <c r="C30" s="46"/>
      <c r="D30" s="46"/>
    </row>
    <row r="31" spans="1:6" x14ac:dyDescent="0.25">
      <c r="F31" s="46"/>
    </row>
    <row r="32" spans="1:6" x14ac:dyDescent="0.25">
      <c r="A32" t="s">
        <v>606</v>
      </c>
      <c r="B32" t="s">
        <v>607</v>
      </c>
      <c r="C32" t="s">
        <v>608</v>
      </c>
      <c r="D32" t="s">
        <v>13</v>
      </c>
    </row>
    <row r="33" spans="1:6" x14ac:dyDescent="0.25">
      <c r="A33" t="s">
        <v>609</v>
      </c>
      <c r="B33" s="47">
        <f>+GETPIVOTDATA(" RS financing 2022 (EUR)",$A$3)</f>
        <v>129017345</v>
      </c>
      <c r="C33" s="47">
        <f>+GETPIVOTDATA(" RS financing 2023 (EUR)",$A$3)</f>
        <v>230253795</v>
      </c>
      <c r="D33" s="47">
        <f>+GETPIVOTDATA(" Bond eligible amount (EUR)
Σ 22+23",$A$3)</f>
        <v>359271140</v>
      </c>
    </row>
    <row r="34" spans="1:6" x14ac:dyDescent="0.25">
      <c r="A34" t="s">
        <v>610</v>
      </c>
      <c r="B34" s="47">
        <f>+GETPIVOTDATA(" RS financing 2022 (EUR)",$A$15)</f>
        <v>333017361</v>
      </c>
      <c r="C34" s="47">
        <f>+GETPIVOTDATA(" RS financing 2023 (EUR)",$A$15)</f>
        <v>557711499</v>
      </c>
      <c r="D34" s="47">
        <f>+GETPIVOTDATA("  Bond eligible amount (EUR)
Σ 22+23",$A$15)</f>
        <v>890728860</v>
      </c>
    </row>
    <row r="35" spans="1:6" x14ac:dyDescent="0.25">
      <c r="A35" s="48" t="s">
        <v>611</v>
      </c>
      <c r="B35" s="49">
        <f>SUM(B33:B34)</f>
        <v>462034706</v>
      </c>
      <c r="C35" s="49">
        <f t="shared" ref="C35" si="0">SUM(C33:C34)</f>
        <v>787965294</v>
      </c>
      <c r="D35" s="49">
        <f>SUM(D33:D34)</f>
        <v>1250000000</v>
      </c>
      <c r="F35" s="46"/>
    </row>
    <row r="38" spans="1:6" x14ac:dyDescent="0.25">
      <c r="A38" s="207" t="s">
        <v>612</v>
      </c>
      <c r="B38" s="207"/>
      <c r="C38" s="207"/>
      <c r="D38" s="207"/>
      <c r="E38" s="207"/>
      <c r="F38" s="207"/>
    </row>
    <row r="40" spans="1:6" x14ac:dyDescent="0.25">
      <c r="A40" t="s">
        <v>613</v>
      </c>
      <c r="B40" t="s">
        <v>614</v>
      </c>
      <c r="C40" t="s">
        <v>615</v>
      </c>
      <c r="D40" t="s">
        <v>613</v>
      </c>
      <c r="E40" t="s">
        <v>616</v>
      </c>
    </row>
    <row r="41" spans="1:6" x14ac:dyDescent="0.25">
      <c r="A41" t="s">
        <v>493</v>
      </c>
      <c r="B41" s="46">
        <f>+GETPIVOTDATA(" Bond eligible amount (EUR)
Σ 22+23",$A$2," GBP Category","Low carbon transportation")</f>
        <v>323332992</v>
      </c>
      <c r="C41" s="46">
        <v>323547575.39999992</v>
      </c>
      <c r="D41" t="s">
        <v>617</v>
      </c>
      <c r="E41" s="46">
        <f>+GETPIVOTDATA(" Bond eligible amount (EUR)
Σ 22+23",$A$2)</f>
        <v>359271140</v>
      </c>
    </row>
    <row r="42" spans="1:6" x14ac:dyDescent="0.25">
      <c r="A42" t="s">
        <v>574</v>
      </c>
      <c r="B42" s="46">
        <f>+GETPIVOTDATA(" Bond eligible amount (EUR)
Σ 22+23",$A$2," GBP Category","Sustainable Envrionmental Management ")</f>
        <v>35938148</v>
      </c>
      <c r="C42" s="46">
        <v>35938147.909999996</v>
      </c>
      <c r="D42" t="s">
        <v>618</v>
      </c>
      <c r="E42" s="46">
        <f>+GETPIVOTDATA("  Bond eligible amount (EUR)
Σ 22+23",$A$15)</f>
        <v>890728860</v>
      </c>
    </row>
    <row r="43" spans="1:6" x14ac:dyDescent="0.25">
      <c r="A43" t="s">
        <v>151</v>
      </c>
      <c r="B43" s="46">
        <f>+GETPIVOTDATA("  Bond eligible amount (EUR)
Σ 22+23",$A$15," 
SBP Category","Access to Essential Services - Education ")</f>
        <v>253910317</v>
      </c>
      <c r="C43" s="46">
        <v>253910316.97000003</v>
      </c>
      <c r="E43" s="46">
        <f>+E41+E42</f>
        <v>1250000000</v>
      </c>
    </row>
    <row r="44" spans="1:6" x14ac:dyDescent="0.25">
      <c r="A44" t="s">
        <v>20</v>
      </c>
      <c r="B44" s="46">
        <f>+GETPIVOTDATA("  Bond eligible amount (EUR)
Σ 22+23",$A$15," 
SBP Category","Access to Essential Services - Healthcare ")</f>
        <v>413158604</v>
      </c>
      <c r="C44" s="46">
        <v>413158601.26999986</v>
      </c>
    </row>
    <row r="45" spans="1:6" x14ac:dyDescent="0.25">
      <c r="A45" t="s">
        <v>142</v>
      </c>
      <c r="B45" s="46">
        <f>+GETPIVOTDATA("  Bond eligible amount (EUR)
Σ 22+23",$A$15," 
SBP Category","Access to Essential Services - Social Inclusion")</f>
        <v>223659939</v>
      </c>
      <c r="C45" s="46">
        <f>+B45</f>
        <v>223659939</v>
      </c>
    </row>
    <row r="46" spans="1:6" x14ac:dyDescent="0.25">
      <c r="B46" s="46">
        <f>SUM(B41:B45)</f>
        <v>1250000000</v>
      </c>
      <c r="C46" s="46"/>
    </row>
    <row r="87" spans="1:2" x14ac:dyDescent="0.25">
      <c r="A87" s="24"/>
      <c r="B87" s="24"/>
    </row>
    <row r="88" spans="1:2" x14ac:dyDescent="0.25">
      <c r="A88" s="103"/>
      <c r="B88" s="143"/>
    </row>
    <row r="89" spans="1:2" x14ac:dyDescent="0.25">
      <c r="A89" s="103"/>
      <c r="B89" s="143"/>
    </row>
    <row r="90" spans="1:2" x14ac:dyDescent="0.25">
      <c r="A90" s="103"/>
      <c r="B90" s="143"/>
    </row>
    <row r="91" spans="1:2" x14ac:dyDescent="0.25">
      <c r="A91" s="103"/>
      <c r="B91" s="143"/>
    </row>
    <row r="92" spans="1:2" x14ac:dyDescent="0.25">
      <c r="A92" s="103"/>
      <c r="B92" s="143"/>
    </row>
    <row r="93" spans="1:2" x14ac:dyDescent="0.25">
      <c r="A93" s="103"/>
    </row>
  </sheetData>
  <mergeCells count="1">
    <mergeCell ref="A38:F38"/>
  </mergeCells>
  <pageMargins left="0.7" right="0.7" top="0.75" bottom="0.75" header="0.3" footer="0.3"/>
  <pageSetup paperSize="9" orientation="portrait" r:id="rId3"/>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1788D-DCA4-466E-87CA-88FC17D8DFE6}">
  <sheetPr>
    <tabColor theme="0"/>
  </sheetPr>
  <dimension ref="A1:F122"/>
  <sheetViews>
    <sheetView workbookViewId="0">
      <selection activeCell="F35" sqref="F35"/>
    </sheetView>
  </sheetViews>
  <sheetFormatPr defaultRowHeight="13.8" x14ac:dyDescent="0.25"/>
  <cols>
    <col min="1" max="1" width="46" customWidth="1"/>
    <col min="4" max="4" width="48" customWidth="1"/>
    <col min="6" max="6" width="45.09765625" customWidth="1"/>
  </cols>
  <sheetData>
    <row r="1" spans="1:6" x14ac:dyDescent="0.25">
      <c r="A1" s="3" t="s">
        <v>619</v>
      </c>
      <c r="D1" s="4" t="s">
        <v>620</v>
      </c>
      <c r="F1" s="2" t="s">
        <v>621</v>
      </c>
    </row>
    <row r="2" spans="1:6" x14ac:dyDescent="0.25">
      <c r="A2" t="s">
        <v>622</v>
      </c>
      <c r="D2" t="s">
        <v>623</v>
      </c>
      <c r="F2" t="s">
        <v>577</v>
      </c>
    </row>
    <row r="3" spans="1:6" x14ac:dyDescent="0.25">
      <c r="A3" t="s">
        <v>624</v>
      </c>
      <c r="D3" t="s">
        <v>625</v>
      </c>
      <c r="F3" t="s">
        <v>399</v>
      </c>
    </row>
    <row r="4" spans="1:6" x14ac:dyDescent="0.25">
      <c r="A4" t="s">
        <v>574</v>
      </c>
      <c r="D4" t="s">
        <v>54</v>
      </c>
      <c r="F4" t="s">
        <v>626</v>
      </c>
    </row>
    <row r="5" spans="1:6" x14ac:dyDescent="0.25">
      <c r="A5" t="s">
        <v>627</v>
      </c>
      <c r="D5" t="s">
        <v>628</v>
      </c>
      <c r="F5" t="s">
        <v>629</v>
      </c>
    </row>
    <row r="6" spans="1:6" x14ac:dyDescent="0.25">
      <c r="A6" t="s">
        <v>493</v>
      </c>
      <c r="D6" t="s">
        <v>630</v>
      </c>
      <c r="F6" t="s">
        <v>506</v>
      </c>
    </row>
    <row r="7" spans="1:6" x14ac:dyDescent="0.25">
      <c r="A7" t="s">
        <v>631</v>
      </c>
      <c r="D7" t="s">
        <v>632</v>
      </c>
      <c r="F7" t="s">
        <v>147</v>
      </c>
    </row>
    <row r="8" spans="1:6" x14ac:dyDescent="0.25">
      <c r="A8" t="s">
        <v>633</v>
      </c>
      <c r="D8" t="s">
        <v>634</v>
      </c>
      <c r="F8" t="s">
        <v>474</v>
      </c>
    </row>
    <row r="9" spans="1:6" x14ac:dyDescent="0.25">
      <c r="A9" t="s">
        <v>635</v>
      </c>
      <c r="D9" t="s">
        <v>430</v>
      </c>
      <c r="F9" t="s">
        <v>405</v>
      </c>
    </row>
    <row r="10" spans="1:6" x14ac:dyDescent="0.25">
      <c r="A10" t="s">
        <v>636</v>
      </c>
      <c r="D10" t="s">
        <v>22</v>
      </c>
      <c r="F10" t="s">
        <v>637</v>
      </c>
    </row>
    <row r="11" spans="1:6" x14ac:dyDescent="0.25">
      <c r="A11" t="s">
        <v>638</v>
      </c>
      <c r="D11" t="s">
        <v>144</v>
      </c>
      <c r="F11" t="s">
        <v>497</v>
      </c>
    </row>
    <row r="12" spans="1:6" x14ac:dyDescent="0.25">
      <c r="D12" t="s">
        <v>435</v>
      </c>
    </row>
    <row r="13" spans="1:6" x14ac:dyDescent="0.25">
      <c r="D13" t="s">
        <v>576</v>
      </c>
      <c r="F13" s="5" t="s">
        <v>639</v>
      </c>
    </row>
    <row r="14" spans="1:6" x14ac:dyDescent="0.25">
      <c r="D14" t="s">
        <v>640</v>
      </c>
      <c r="F14" t="s">
        <v>253</v>
      </c>
    </row>
    <row r="15" spans="1:6" x14ac:dyDescent="0.25">
      <c r="A15" s="2" t="s">
        <v>641</v>
      </c>
      <c r="D15" t="s">
        <v>642</v>
      </c>
      <c r="F15" t="s">
        <v>45</v>
      </c>
    </row>
    <row r="16" spans="1:6" x14ac:dyDescent="0.25">
      <c r="A16" t="s">
        <v>151</v>
      </c>
      <c r="D16" t="s">
        <v>643</v>
      </c>
      <c r="F16" t="s">
        <v>26</v>
      </c>
    </row>
    <row r="17" spans="1:6" x14ac:dyDescent="0.25">
      <c r="A17" t="s">
        <v>20</v>
      </c>
      <c r="F17" t="s">
        <v>155</v>
      </c>
    </row>
    <row r="18" spans="1:6" x14ac:dyDescent="0.25">
      <c r="A18" t="s">
        <v>644</v>
      </c>
      <c r="F18" t="s">
        <v>515</v>
      </c>
    </row>
    <row r="19" spans="1:6" x14ac:dyDescent="0.25">
      <c r="A19" t="s">
        <v>645</v>
      </c>
    </row>
    <row r="20" spans="1:6" x14ac:dyDescent="0.25">
      <c r="A20" t="s">
        <v>142</v>
      </c>
    </row>
    <row r="25" spans="1:6" x14ac:dyDescent="0.25">
      <c r="A25" s="6" t="s">
        <v>646</v>
      </c>
      <c r="D25" s="7" t="s">
        <v>488</v>
      </c>
    </row>
    <row r="26" spans="1:6" x14ac:dyDescent="0.25">
      <c r="A26" s="1" t="s">
        <v>647</v>
      </c>
      <c r="D26" t="s">
        <v>648</v>
      </c>
    </row>
    <row r="27" spans="1:6" x14ac:dyDescent="0.25">
      <c r="A27" s="1" t="s">
        <v>649</v>
      </c>
      <c r="D27" t="s">
        <v>650</v>
      </c>
    </row>
    <row r="28" spans="1:6" ht="27.6" x14ac:dyDescent="0.25">
      <c r="A28" s="1" t="s">
        <v>651</v>
      </c>
      <c r="D28" t="s">
        <v>652</v>
      </c>
    </row>
    <row r="29" spans="1:6" x14ac:dyDescent="0.25">
      <c r="A29" s="1" t="s">
        <v>653</v>
      </c>
      <c r="D29" t="s">
        <v>654</v>
      </c>
    </row>
    <row r="30" spans="1:6" ht="27.6" x14ac:dyDescent="0.25">
      <c r="A30" s="1" t="s">
        <v>655</v>
      </c>
      <c r="D30" t="s">
        <v>656</v>
      </c>
    </row>
    <row r="31" spans="1:6" x14ac:dyDescent="0.25">
      <c r="D31" t="s">
        <v>657</v>
      </c>
    </row>
    <row r="32" spans="1:6" x14ac:dyDescent="0.25">
      <c r="D32" t="s">
        <v>658</v>
      </c>
    </row>
    <row r="33" spans="1:4" x14ac:dyDescent="0.25">
      <c r="D33" t="s">
        <v>659</v>
      </c>
    </row>
    <row r="34" spans="1:4" x14ac:dyDescent="0.25">
      <c r="A34" s="7" t="s">
        <v>487</v>
      </c>
      <c r="D34" t="s">
        <v>660</v>
      </c>
    </row>
    <row r="35" spans="1:4" ht="15" x14ac:dyDescent="0.25">
      <c r="A35" s="8" t="s">
        <v>495</v>
      </c>
      <c r="D35" t="s">
        <v>661</v>
      </c>
    </row>
    <row r="36" spans="1:4" ht="15" x14ac:dyDescent="0.25">
      <c r="A36" s="8" t="s">
        <v>633</v>
      </c>
      <c r="D36" t="s">
        <v>662</v>
      </c>
    </row>
    <row r="37" spans="1:4" ht="15" x14ac:dyDescent="0.25">
      <c r="A37" s="9" t="s">
        <v>663</v>
      </c>
      <c r="D37" t="s">
        <v>664</v>
      </c>
    </row>
    <row r="38" spans="1:4" ht="15" x14ac:dyDescent="0.25">
      <c r="A38" s="9" t="s">
        <v>665</v>
      </c>
      <c r="D38" t="s">
        <v>666</v>
      </c>
    </row>
    <row r="39" spans="1:4" ht="15" x14ac:dyDescent="0.25">
      <c r="A39" s="8" t="s">
        <v>624</v>
      </c>
      <c r="D39" t="s">
        <v>667</v>
      </c>
    </row>
    <row r="40" spans="1:4" ht="15" x14ac:dyDescent="0.25">
      <c r="A40" s="9" t="s">
        <v>668</v>
      </c>
      <c r="D40" t="s">
        <v>669</v>
      </c>
    </row>
    <row r="41" spans="1:4" x14ac:dyDescent="0.25">
      <c r="D41" t="s">
        <v>670</v>
      </c>
    </row>
    <row r="42" spans="1:4" x14ac:dyDescent="0.25">
      <c r="D42" t="s">
        <v>671</v>
      </c>
    </row>
    <row r="43" spans="1:4" x14ac:dyDescent="0.25">
      <c r="A43" s="6" t="s">
        <v>7</v>
      </c>
      <c r="D43" t="s">
        <v>672</v>
      </c>
    </row>
    <row r="44" spans="1:4" x14ac:dyDescent="0.25">
      <c r="A44" t="s">
        <v>23</v>
      </c>
      <c r="D44" t="s">
        <v>673</v>
      </c>
    </row>
    <row r="45" spans="1:4" x14ac:dyDescent="0.25">
      <c r="A45" t="s">
        <v>161</v>
      </c>
      <c r="D45" t="s">
        <v>674</v>
      </c>
    </row>
    <row r="46" spans="1:4" x14ac:dyDescent="0.25">
      <c r="A46" t="s">
        <v>55</v>
      </c>
      <c r="D46" t="s">
        <v>675</v>
      </c>
    </row>
    <row r="47" spans="1:4" x14ac:dyDescent="0.25">
      <c r="A47" t="s">
        <v>49</v>
      </c>
      <c r="D47" t="s">
        <v>676</v>
      </c>
    </row>
    <row r="48" spans="1:4" x14ac:dyDescent="0.25">
      <c r="A48" t="s">
        <v>677</v>
      </c>
      <c r="D48" t="s">
        <v>678</v>
      </c>
    </row>
    <row r="49" spans="4:4" x14ac:dyDescent="0.25">
      <c r="D49" t="s">
        <v>679</v>
      </c>
    </row>
    <row r="50" spans="4:4" x14ac:dyDescent="0.25">
      <c r="D50" t="s">
        <v>680</v>
      </c>
    </row>
    <row r="51" spans="4:4" x14ac:dyDescent="0.25">
      <c r="D51" t="s">
        <v>681</v>
      </c>
    </row>
    <row r="52" spans="4:4" x14ac:dyDescent="0.25">
      <c r="D52" t="s">
        <v>682</v>
      </c>
    </row>
    <row r="53" spans="4:4" x14ac:dyDescent="0.25">
      <c r="D53" t="s">
        <v>683</v>
      </c>
    </row>
    <row r="54" spans="4:4" x14ac:dyDescent="0.25">
      <c r="D54" t="s">
        <v>684</v>
      </c>
    </row>
    <row r="55" spans="4:4" x14ac:dyDescent="0.25">
      <c r="D55" t="s">
        <v>685</v>
      </c>
    </row>
    <row r="56" spans="4:4" x14ac:dyDescent="0.25">
      <c r="D56" t="s">
        <v>686</v>
      </c>
    </row>
    <row r="57" spans="4:4" x14ac:dyDescent="0.25">
      <c r="D57" t="s">
        <v>687</v>
      </c>
    </row>
    <row r="58" spans="4:4" x14ac:dyDescent="0.25">
      <c r="D58" t="s">
        <v>688</v>
      </c>
    </row>
    <row r="59" spans="4:4" x14ac:dyDescent="0.25">
      <c r="D59" t="s">
        <v>689</v>
      </c>
    </row>
    <row r="60" spans="4:4" x14ac:dyDescent="0.25">
      <c r="D60" t="s">
        <v>690</v>
      </c>
    </row>
    <row r="61" spans="4:4" x14ac:dyDescent="0.25">
      <c r="D61" t="s">
        <v>691</v>
      </c>
    </row>
    <row r="62" spans="4:4" x14ac:dyDescent="0.25">
      <c r="D62" t="s">
        <v>692</v>
      </c>
    </row>
    <row r="63" spans="4:4" x14ac:dyDescent="0.25">
      <c r="D63" t="s">
        <v>693</v>
      </c>
    </row>
    <row r="64" spans="4:4" x14ac:dyDescent="0.25">
      <c r="D64" t="s">
        <v>694</v>
      </c>
    </row>
    <row r="65" spans="4:4" x14ac:dyDescent="0.25">
      <c r="D65" t="s">
        <v>695</v>
      </c>
    </row>
    <row r="66" spans="4:4" x14ac:dyDescent="0.25">
      <c r="D66" t="s">
        <v>696</v>
      </c>
    </row>
    <row r="67" spans="4:4" x14ac:dyDescent="0.25">
      <c r="D67" t="s">
        <v>697</v>
      </c>
    </row>
    <row r="68" spans="4:4" x14ac:dyDescent="0.25">
      <c r="D68" t="s">
        <v>698</v>
      </c>
    </row>
    <row r="69" spans="4:4" x14ac:dyDescent="0.25">
      <c r="D69" t="s">
        <v>699</v>
      </c>
    </row>
    <row r="70" spans="4:4" x14ac:dyDescent="0.25">
      <c r="D70" t="s">
        <v>700</v>
      </c>
    </row>
    <row r="71" spans="4:4" x14ac:dyDescent="0.25">
      <c r="D71" t="s">
        <v>701</v>
      </c>
    </row>
    <row r="72" spans="4:4" x14ac:dyDescent="0.25">
      <c r="D72" t="s">
        <v>702</v>
      </c>
    </row>
    <row r="73" spans="4:4" x14ac:dyDescent="0.25">
      <c r="D73" t="s">
        <v>703</v>
      </c>
    </row>
    <row r="74" spans="4:4" x14ac:dyDescent="0.25">
      <c r="D74" t="s">
        <v>704</v>
      </c>
    </row>
    <row r="75" spans="4:4" x14ac:dyDescent="0.25">
      <c r="D75" t="s">
        <v>705</v>
      </c>
    </row>
    <row r="76" spans="4:4" x14ac:dyDescent="0.25">
      <c r="D76" t="s">
        <v>706</v>
      </c>
    </row>
    <row r="77" spans="4:4" x14ac:dyDescent="0.25">
      <c r="D77" t="s">
        <v>707</v>
      </c>
    </row>
    <row r="78" spans="4:4" x14ac:dyDescent="0.25">
      <c r="D78" t="s">
        <v>708</v>
      </c>
    </row>
    <row r="79" spans="4:4" x14ac:dyDescent="0.25">
      <c r="D79" t="s">
        <v>709</v>
      </c>
    </row>
    <row r="80" spans="4:4" x14ac:dyDescent="0.25">
      <c r="D80" t="s">
        <v>710</v>
      </c>
    </row>
    <row r="81" spans="4:4" x14ac:dyDescent="0.25">
      <c r="D81" t="s">
        <v>711</v>
      </c>
    </row>
    <row r="82" spans="4:4" x14ac:dyDescent="0.25">
      <c r="D82" t="s">
        <v>712</v>
      </c>
    </row>
    <row r="83" spans="4:4" x14ac:dyDescent="0.25">
      <c r="D83" t="s">
        <v>713</v>
      </c>
    </row>
    <row r="84" spans="4:4" x14ac:dyDescent="0.25">
      <c r="D84" t="s">
        <v>714</v>
      </c>
    </row>
    <row r="85" spans="4:4" x14ac:dyDescent="0.25">
      <c r="D85" t="s">
        <v>715</v>
      </c>
    </row>
    <row r="86" spans="4:4" x14ac:dyDescent="0.25">
      <c r="D86" t="s">
        <v>716</v>
      </c>
    </row>
    <row r="87" spans="4:4" x14ac:dyDescent="0.25">
      <c r="D87" t="s">
        <v>717</v>
      </c>
    </row>
    <row r="88" spans="4:4" x14ac:dyDescent="0.25">
      <c r="D88" t="s">
        <v>718</v>
      </c>
    </row>
    <row r="89" spans="4:4" x14ac:dyDescent="0.25">
      <c r="D89" t="s">
        <v>719</v>
      </c>
    </row>
    <row r="90" spans="4:4" x14ac:dyDescent="0.25">
      <c r="D90" t="s">
        <v>720</v>
      </c>
    </row>
    <row r="91" spans="4:4" x14ac:dyDescent="0.25">
      <c r="D91" t="s">
        <v>721</v>
      </c>
    </row>
    <row r="92" spans="4:4" x14ac:dyDescent="0.25">
      <c r="D92" t="s">
        <v>722</v>
      </c>
    </row>
    <row r="93" spans="4:4" x14ac:dyDescent="0.25">
      <c r="D93" t="s">
        <v>723</v>
      </c>
    </row>
    <row r="94" spans="4:4" x14ac:dyDescent="0.25">
      <c r="D94" t="s">
        <v>724</v>
      </c>
    </row>
    <row r="95" spans="4:4" x14ac:dyDescent="0.25">
      <c r="D95" t="s">
        <v>725</v>
      </c>
    </row>
    <row r="96" spans="4:4" x14ac:dyDescent="0.25">
      <c r="D96" t="s">
        <v>726</v>
      </c>
    </row>
    <row r="97" spans="4:4" x14ac:dyDescent="0.25">
      <c r="D97" t="s">
        <v>727</v>
      </c>
    </row>
    <row r="98" spans="4:4" x14ac:dyDescent="0.25">
      <c r="D98" t="s">
        <v>728</v>
      </c>
    </row>
    <row r="99" spans="4:4" x14ac:dyDescent="0.25">
      <c r="D99" t="s">
        <v>729</v>
      </c>
    </row>
    <row r="100" spans="4:4" x14ac:dyDescent="0.25">
      <c r="D100" t="s">
        <v>730</v>
      </c>
    </row>
    <row r="101" spans="4:4" x14ac:dyDescent="0.25">
      <c r="D101" t="s">
        <v>731</v>
      </c>
    </row>
    <row r="102" spans="4:4" x14ac:dyDescent="0.25">
      <c r="D102" t="s">
        <v>732</v>
      </c>
    </row>
    <row r="103" spans="4:4" x14ac:dyDescent="0.25">
      <c r="D103" t="s">
        <v>733</v>
      </c>
    </row>
    <row r="104" spans="4:4" x14ac:dyDescent="0.25">
      <c r="D104" t="s">
        <v>734</v>
      </c>
    </row>
    <row r="105" spans="4:4" x14ac:dyDescent="0.25">
      <c r="D105" t="s">
        <v>735</v>
      </c>
    </row>
    <row r="106" spans="4:4" x14ac:dyDescent="0.25">
      <c r="D106" t="s">
        <v>736</v>
      </c>
    </row>
    <row r="107" spans="4:4" x14ac:dyDescent="0.25">
      <c r="D107" t="s">
        <v>737</v>
      </c>
    </row>
    <row r="108" spans="4:4" x14ac:dyDescent="0.25">
      <c r="D108" t="s">
        <v>738</v>
      </c>
    </row>
    <row r="109" spans="4:4" x14ac:dyDescent="0.25">
      <c r="D109" t="s">
        <v>739</v>
      </c>
    </row>
    <row r="110" spans="4:4" x14ac:dyDescent="0.25">
      <c r="D110" t="s">
        <v>740</v>
      </c>
    </row>
    <row r="111" spans="4:4" x14ac:dyDescent="0.25">
      <c r="D111" t="s">
        <v>741</v>
      </c>
    </row>
    <row r="112" spans="4:4" x14ac:dyDescent="0.25">
      <c r="D112" t="s">
        <v>742</v>
      </c>
    </row>
    <row r="113" spans="4:4" x14ac:dyDescent="0.25">
      <c r="D113" t="s">
        <v>743</v>
      </c>
    </row>
    <row r="114" spans="4:4" x14ac:dyDescent="0.25">
      <c r="D114" t="s">
        <v>744</v>
      </c>
    </row>
    <row r="115" spans="4:4" x14ac:dyDescent="0.25">
      <c r="D115" t="s">
        <v>745</v>
      </c>
    </row>
    <row r="116" spans="4:4" x14ac:dyDescent="0.25">
      <c r="D116" t="s">
        <v>746</v>
      </c>
    </row>
    <row r="117" spans="4:4" x14ac:dyDescent="0.25">
      <c r="D117" t="s">
        <v>747</v>
      </c>
    </row>
    <row r="118" spans="4:4" x14ac:dyDescent="0.25">
      <c r="D118" t="s">
        <v>748</v>
      </c>
    </row>
    <row r="119" spans="4:4" x14ac:dyDescent="0.25">
      <c r="D119" t="s">
        <v>749</v>
      </c>
    </row>
    <row r="120" spans="4:4" x14ac:dyDescent="0.25">
      <c r="D120" t="s">
        <v>750</v>
      </c>
    </row>
    <row r="121" spans="4:4" x14ac:dyDescent="0.25">
      <c r="D121" t="s">
        <v>751</v>
      </c>
    </row>
    <row r="122" spans="4:4" x14ac:dyDescent="0.25">
      <c r="D122" t="s">
        <v>752</v>
      </c>
    </row>
  </sheetData>
  <pageMargins left="0.7" right="0.7" top="0.75" bottom="0.75" header="0.3" footer="0.3"/>
  <pageSetup paperSize="9" orientation="portrait" r:id="rId1"/>
  <headerFooter>
    <oddFooter>&amp;R&amp;1#&amp;"Calibri"&amp;10&amp;K0078D7Classification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AF8A4-4C77-4D1B-BC83-B2A723221412}">
  <dimension ref="A1:H87"/>
  <sheetViews>
    <sheetView showGridLines="0" zoomScale="85" zoomScaleNormal="85" workbookViewId="0">
      <selection activeCell="P24" sqref="P24"/>
    </sheetView>
  </sheetViews>
  <sheetFormatPr defaultColWidth="8.19921875" defaultRowHeight="13.8" x14ac:dyDescent="0.25"/>
  <cols>
    <col min="1" max="1" width="20.5" style="60" bestFit="1" customWidth="1"/>
    <col min="2" max="2" width="42.09765625" style="60" bestFit="1" customWidth="1"/>
    <col min="3" max="3" width="19.5" style="60" customWidth="1"/>
    <col min="4" max="4" width="21" style="60" bestFit="1" customWidth="1"/>
    <col min="5" max="5" width="42.09765625" style="60" bestFit="1" customWidth="1"/>
    <col min="6" max="7" width="10.19921875" style="60" bestFit="1" customWidth="1"/>
    <col min="8" max="8" width="11.59765625" style="60" bestFit="1" customWidth="1"/>
    <col min="9" max="16384" width="8.19921875" style="60"/>
  </cols>
  <sheetData>
    <row r="1" spans="1:8" s="63" customFormat="1" ht="25.5" customHeight="1" thickBot="1" x14ac:dyDescent="0.4">
      <c r="A1" s="77" t="s">
        <v>753</v>
      </c>
      <c r="B1" s="76" t="s">
        <v>754</v>
      </c>
      <c r="C1" s="76" t="s">
        <v>755</v>
      </c>
      <c r="D1" s="76" t="s">
        <v>756</v>
      </c>
      <c r="E1" s="75" t="s">
        <v>757</v>
      </c>
    </row>
    <row r="2" spans="1:8" s="63" customFormat="1" ht="18" x14ac:dyDescent="0.35">
      <c r="A2" s="74" t="s">
        <v>758</v>
      </c>
      <c r="B2" s="73">
        <v>107923449</v>
      </c>
      <c r="C2" s="73">
        <v>215409543</v>
      </c>
      <c r="D2" s="73">
        <f>+B2+C2</f>
        <v>323332992</v>
      </c>
      <c r="E2" s="81">
        <f>+D2/$D$7</f>
        <v>0.25866639359999999</v>
      </c>
    </row>
    <row r="3" spans="1:8" s="63" customFormat="1" ht="18" x14ac:dyDescent="0.35">
      <c r="A3" s="72" t="s">
        <v>574</v>
      </c>
      <c r="B3" s="67">
        <v>21093896</v>
      </c>
      <c r="C3" s="67">
        <v>14844252</v>
      </c>
      <c r="D3" s="67">
        <f t="shared" ref="D3:D6" si="0">+B3+C3</f>
        <v>35938148</v>
      </c>
      <c r="E3" s="80">
        <f>+D3/$D$7</f>
        <v>2.8750518400000001E-2</v>
      </c>
    </row>
    <row r="4" spans="1:8" s="63" customFormat="1" ht="31.8" x14ac:dyDescent="0.35">
      <c r="A4" s="71" t="s">
        <v>759</v>
      </c>
      <c r="B4" s="70">
        <v>135342430</v>
      </c>
      <c r="C4" s="70">
        <v>118567887</v>
      </c>
      <c r="D4" s="67">
        <f t="shared" si="0"/>
        <v>253910317</v>
      </c>
      <c r="E4" s="80">
        <f>+D4/$D$7</f>
        <v>0.2031282536</v>
      </c>
    </row>
    <row r="5" spans="1:8" s="63" customFormat="1" ht="47.4" x14ac:dyDescent="0.35">
      <c r="A5" s="69" t="s">
        <v>142</v>
      </c>
      <c r="B5" s="68">
        <v>3132467</v>
      </c>
      <c r="C5" s="68">
        <v>220527472</v>
      </c>
      <c r="D5" s="67">
        <f t="shared" si="0"/>
        <v>223659939</v>
      </c>
      <c r="E5" s="80">
        <f>+D5/$D$7</f>
        <v>0.17892795119999999</v>
      </c>
    </row>
    <row r="6" spans="1:8" s="63" customFormat="1" ht="18.600000000000001" thickBot="1" x14ac:dyDescent="0.4">
      <c r="A6" s="66" t="s">
        <v>760</v>
      </c>
      <c r="B6" s="65">
        <v>194542464</v>
      </c>
      <c r="C6" s="65">
        <v>218616140</v>
      </c>
      <c r="D6" s="65">
        <f t="shared" si="0"/>
        <v>413158604</v>
      </c>
      <c r="E6" s="79">
        <f>+D6/$D$7</f>
        <v>0.33052688320000001</v>
      </c>
    </row>
    <row r="7" spans="1:8" s="63" customFormat="1" ht="18" x14ac:dyDescent="0.35">
      <c r="A7" s="64" t="s">
        <v>761</v>
      </c>
      <c r="B7" s="64">
        <f>SUM(B2:B6)</f>
        <v>462034706</v>
      </c>
      <c r="C7" s="64">
        <f>SUM(C2:C6)</f>
        <v>787965294</v>
      </c>
      <c r="D7" s="64">
        <f>SUM(D2:D6)</f>
        <v>1250000000</v>
      </c>
      <c r="E7" s="78">
        <f>SUM(E2:E6)</f>
        <v>0.99999999999999989</v>
      </c>
    </row>
    <row r="8" spans="1:8" x14ac:dyDescent="0.25">
      <c r="E8" s="62"/>
    </row>
    <row r="9" spans="1:8" x14ac:dyDescent="0.25">
      <c r="D9" s="61"/>
    </row>
    <row r="14" spans="1:8" x14ac:dyDescent="0.25">
      <c r="F14" s="60" t="s">
        <v>762</v>
      </c>
      <c r="G14" s="60" t="s">
        <v>763</v>
      </c>
      <c r="H14" s="60" t="s">
        <v>602</v>
      </c>
    </row>
    <row r="15" spans="1:8" x14ac:dyDescent="0.25">
      <c r="F15" s="61">
        <f>+B7</f>
        <v>462034706</v>
      </c>
      <c r="G15" s="61">
        <f>+C7</f>
        <v>787965294</v>
      </c>
      <c r="H15" s="61">
        <f>+F15+G15</f>
        <v>1250000000</v>
      </c>
    </row>
    <row r="59" spans="1:6" x14ac:dyDescent="0.25">
      <c r="A59" s="102" t="s">
        <v>485</v>
      </c>
      <c r="B59" t="s">
        <v>764</v>
      </c>
      <c r="C59"/>
      <c r="D59" s="102" t="s">
        <v>4</v>
      </c>
      <c r="E59" t="s">
        <v>764</v>
      </c>
      <c r="F59"/>
    </row>
    <row r="60" spans="1:6" x14ac:dyDescent="0.25">
      <c r="A60"/>
      <c r="B60"/>
      <c r="C60"/>
      <c r="D60"/>
      <c r="E60"/>
      <c r="F60"/>
    </row>
    <row r="61" spans="1:6" x14ac:dyDescent="0.25">
      <c r="A61" s="102" t="s">
        <v>765</v>
      </c>
      <c r="B61" t="s">
        <v>766</v>
      </c>
      <c r="C61"/>
      <c r="D61" s="102" t="s">
        <v>765</v>
      </c>
      <c r="E61" t="s">
        <v>766</v>
      </c>
      <c r="F61"/>
    </row>
    <row r="62" spans="1:6" x14ac:dyDescent="0.25">
      <c r="A62" s="103" t="s">
        <v>23</v>
      </c>
      <c r="B62" s="149">
        <v>323332992</v>
      </c>
      <c r="C62"/>
      <c r="D62" s="103" t="s">
        <v>49</v>
      </c>
      <c r="E62" s="149">
        <v>212535966</v>
      </c>
      <c r="F62"/>
    </row>
    <row r="63" spans="1:6" x14ac:dyDescent="0.25">
      <c r="A63" s="103" t="s">
        <v>161</v>
      </c>
      <c r="B63" s="149">
        <v>35938148</v>
      </c>
      <c r="C63"/>
      <c r="D63" s="103" t="s">
        <v>23</v>
      </c>
      <c r="E63" s="149">
        <v>318177342</v>
      </c>
      <c r="F63"/>
    </row>
    <row r="64" spans="1:6" x14ac:dyDescent="0.25">
      <c r="A64" s="103" t="s">
        <v>605</v>
      </c>
      <c r="B64" s="149">
        <v>359271140</v>
      </c>
      <c r="C64"/>
      <c r="D64" s="103" t="s">
        <v>55</v>
      </c>
      <c r="E64" s="149">
        <v>260299873</v>
      </c>
      <c r="F64"/>
    </row>
    <row r="65" spans="1:6" x14ac:dyDescent="0.25">
      <c r="A65"/>
      <c r="B65"/>
      <c r="C65"/>
      <c r="D65" s="103" t="s">
        <v>161</v>
      </c>
      <c r="E65" s="149">
        <v>99715679</v>
      </c>
      <c r="F65"/>
    </row>
    <row r="66" spans="1:6" x14ac:dyDescent="0.25">
      <c r="A66"/>
      <c r="B66"/>
      <c r="C66"/>
      <c r="D66" s="103" t="s">
        <v>605</v>
      </c>
      <c r="E66" s="149">
        <v>890728860</v>
      </c>
      <c r="F66"/>
    </row>
    <row r="67" spans="1:6" x14ac:dyDescent="0.25">
      <c r="A67"/>
      <c r="B67"/>
      <c r="C67"/>
      <c r="D67"/>
      <c r="E67"/>
      <c r="F67"/>
    </row>
    <row r="68" spans="1:6" x14ac:dyDescent="0.25">
      <c r="A68" s="24" t="s">
        <v>7</v>
      </c>
      <c r="B68" s="24" t="s">
        <v>767</v>
      </c>
      <c r="C68"/>
      <c r="D68"/>
      <c r="E68"/>
      <c r="F68"/>
    </row>
    <row r="69" spans="1:6" x14ac:dyDescent="0.25">
      <c r="A69" s="103" t="s">
        <v>23</v>
      </c>
      <c r="B69" s="148">
        <f>+GETPIVOTDATA("Bond eligible amount (EUR)
Σ 22+23",$A$61,"Type of expenditure","investment expenditure ")+GETPIVOTDATA("Bond eligible amount (EUR)
Σ 22+23",$D$61,"Type of expenditure","investment expenditure ")</f>
        <v>641510334</v>
      </c>
      <c r="C69"/>
      <c r="D69"/>
      <c r="E69"/>
      <c r="F69"/>
    </row>
    <row r="70" spans="1:6" x14ac:dyDescent="0.25">
      <c r="A70" s="103" t="s">
        <v>161</v>
      </c>
      <c r="B70" s="148">
        <f>+GETPIVOTDATA("Bond eligible amount (EUR)
Σ 22+23",$A$61,"Type of expenditure","subsidies, grant, loans")+GETPIVOTDATA("Bond eligible amount (EUR)
Σ 22+23",$D$61,"Type of expenditure","subsidies, grant, loans")</f>
        <v>135653827</v>
      </c>
      <c r="C70"/>
      <c r="D70"/>
      <c r="E70"/>
      <c r="F70"/>
    </row>
    <row r="71" spans="1:6" x14ac:dyDescent="0.25">
      <c r="A71" s="103" t="s">
        <v>49</v>
      </c>
      <c r="B71" s="148">
        <f>+GETPIVOTDATA("Bond eligible amount (EUR)
Σ 22+23",$D$61,"Type of expenditure","intervention expenditure ")</f>
        <v>212535966</v>
      </c>
      <c r="C71"/>
      <c r="D71"/>
      <c r="E71"/>
      <c r="F71"/>
    </row>
    <row r="72" spans="1:6" x14ac:dyDescent="0.25">
      <c r="A72" s="103" t="s">
        <v>55</v>
      </c>
      <c r="B72" s="148">
        <f>+GETPIVOTDATA("Bond eligible amount (EUR)
Σ 22+23",$D$61,"Type of expenditure","operating expenditure ")</f>
        <v>260299873</v>
      </c>
      <c r="C72"/>
      <c r="D72"/>
      <c r="E72"/>
      <c r="F72"/>
    </row>
    <row r="73" spans="1:6" x14ac:dyDescent="0.25">
      <c r="A73" s="103" t="s">
        <v>602</v>
      </c>
      <c r="B73" s="148">
        <f>SUM(B69:B72)</f>
        <v>1250000000</v>
      </c>
      <c r="C73"/>
      <c r="D73"/>
      <c r="E73"/>
      <c r="F73"/>
    </row>
    <row r="74" spans="1:6" x14ac:dyDescent="0.25">
      <c r="A74" s="103"/>
      <c r="B74"/>
      <c r="C74"/>
      <c r="D74"/>
      <c r="E74"/>
      <c r="F74"/>
    </row>
    <row r="75" spans="1:6" x14ac:dyDescent="0.25">
      <c r="A75"/>
      <c r="B75"/>
      <c r="C75"/>
      <c r="D75"/>
      <c r="E75"/>
      <c r="F75"/>
    </row>
    <row r="76" spans="1:6" x14ac:dyDescent="0.25">
      <c r="A76"/>
      <c r="B76"/>
      <c r="C76"/>
      <c r="D76"/>
      <c r="E76"/>
      <c r="F76"/>
    </row>
    <row r="77" spans="1:6" x14ac:dyDescent="0.25">
      <c r="A77"/>
      <c r="B77"/>
      <c r="C77"/>
      <c r="D77"/>
      <c r="E77"/>
      <c r="F77"/>
    </row>
    <row r="78" spans="1:6" x14ac:dyDescent="0.25">
      <c r="A78"/>
      <c r="B78"/>
      <c r="C78"/>
      <c r="D78"/>
      <c r="E78"/>
      <c r="F78"/>
    </row>
    <row r="79" spans="1:6" x14ac:dyDescent="0.25">
      <c r="A79"/>
      <c r="B79"/>
      <c r="C79"/>
      <c r="D79"/>
      <c r="E79"/>
      <c r="F79"/>
    </row>
    <row r="80" spans="1:6" x14ac:dyDescent="0.25">
      <c r="A80"/>
      <c r="B80"/>
      <c r="C80"/>
      <c r="D80"/>
      <c r="E80"/>
      <c r="F80"/>
    </row>
    <row r="81" spans="1:6" x14ac:dyDescent="0.25">
      <c r="A81"/>
      <c r="B81"/>
      <c r="C81"/>
      <c r="D81"/>
      <c r="E81"/>
      <c r="F81"/>
    </row>
    <row r="82" spans="1:6" x14ac:dyDescent="0.25">
      <c r="A82"/>
      <c r="B82"/>
      <c r="C82"/>
      <c r="D82"/>
      <c r="E82"/>
      <c r="F82"/>
    </row>
    <row r="83" spans="1:6" x14ac:dyDescent="0.25">
      <c r="A83"/>
      <c r="B83"/>
      <c r="C83"/>
      <c r="D83"/>
      <c r="E83"/>
      <c r="F83"/>
    </row>
    <row r="84" spans="1:6" x14ac:dyDescent="0.25">
      <c r="A84"/>
      <c r="B84"/>
      <c r="C84"/>
      <c r="D84"/>
      <c r="E84"/>
      <c r="F84"/>
    </row>
    <row r="85" spans="1:6" x14ac:dyDescent="0.25">
      <c r="A85"/>
      <c r="B85"/>
      <c r="C85"/>
      <c r="D85"/>
      <c r="E85"/>
      <c r="F85"/>
    </row>
    <row r="86" spans="1:6" x14ac:dyDescent="0.25">
      <c r="A86"/>
      <c r="B86"/>
      <c r="C86"/>
      <c r="D86"/>
      <c r="E86"/>
      <c r="F86"/>
    </row>
    <row r="87" spans="1:6" x14ac:dyDescent="0.25">
      <c r="A87"/>
      <c r="B87"/>
      <c r="C87"/>
      <c r="D87"/>
      <c r="E87"/>
      <c r="F87"/>
    </row>
  </sheetData>
  <pageMargins left="0.7" right="0.7" top="0.75" bottom="0.75" header="0.3" footer="0.3"/>
  <pageSetup paperSize="9" orientation="portrait" r:id="rId3"/>
  <drawing r:id="rId4"/>
  <tableParts count="1">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DA797-4DD9-498F-A48E-AA51C61AE615}">
  <dimension ref="A2:F18"/>
  <sheetViews>
    <sheetView showGridLines="0" zoomScale="70" zoomScaleNormal="70" workbookViewId="0">
      <selection activeCell="O5" sqref="O5"/>
    </sheetView>
  </sheetViews>
  <sheetFormatPr defaultColWidth="8" defaultRowHeight="14.4" x14ac:dyDescent="0.3"/>
  <cols>
    <col min="1" max="1" width="39.59765625" style="87" customWidth="1"/>
    <col min="2" max="2" width="36.09765625" style="87" customWidth="1"/>
    <col min="3" max="6" width="16.19921875" style="87" customWidth="1"/>
    <col min="7" max="16384" width="8" style="87"/>
  </cols>
  <sheetData>
    <row r="2" spans="1:6" ht="15" thickBot="1" x14ac:dyDescent="0.35"/>
    <row r="3" spans="1:6" ht="36.6" thickBot="1" x14ac:dyDescent="0.35">
      <c r="A3" s="176" t="s">
        <v>768</v>
      </c>
      <c r="B3" s="176" t="s">
        <v>769</v>
      </c>
      <c r="C3" s="176" t="s">
        <v>754</v>
      </c>
      <c r="D3" s="176" t="s">
        <v>755</v>
      </c>
      <c r="E3" s="176" t="s">
        <v>756</v>
      </c>
      <c r="F3" s="176" t="s">
        <v>757</v>
      </c>
    </row>
    <row r="4" spans="1:6" ht="141.6" customHeight="1" x14ac:dyDescent="0.3">
      <c r="A4" s="177" t="s">
        <v>758</v>
      </c>
      <c r="B4" s="178" t="s">
        <v>770</v>
      </c>
      <c r="C4" s="192">
        <v>107923449</v>
      </c>
      <c r="D4" s="192">
        <v>215409543</v>
      </c>
      <c r="E4" s="192">
        <f>+C4+D4</f>
        <v>323332992</v>
      </c>
      <c r="F4" s="193">
        <f>+E4/E9*100</f>
        <v>25.866639360000001</v>
      </c>
    </row>
    <row r="5" spans="1:6" ht="141.6" customHeight="1" x14ac:dyDescent="0.3">
      <c r="A5" s="179" t="s">
        <v>574</v>
      </c>
      <c r="B5" s="180" t="s">
        <v>771</v>
      </c>
      <c r="C5" s="183">
        <v>21093896</v>
      </c>
      <c r="D5" s="183">
        <v>14844252</v>
      </c>
      <c r="E5" s="183">
        <f>+C5+D5</f>
        <v>35938148</v>
      </c>
      <c r="F5" s="194">
        <f>+E5/$E$9*100</f>
        <v>2.8750518400000002</v>
      </c>
    </row>
    <row r="6" spans="1:6" ht="90.6" customHeight="1" x14ac:dyDescent="0.3">
      <c r="A6" s="181" t="s">
        <v>759</v>
      </c>
      <c r="B6" s="182"/>
      <c r="C6" s="183">
        <f>+Analysis!$B$4</f>
        <v>135342430</v>
      </c>
      <c r="D6" s="183">
        <f>+Analysis!$C$4</f>
        <v>118567887</v>
      </c>
      <c r="E6" s="183">
        <f t="shared" ref="E6:E7" si="0">+C6+D6</f>
        <v>253910317</v>
      </c>
      <c r="F6" s="194">
        <f t="shared" ref="F6:F8" si="1">+E6/$E$9*100</f>
        <v>20.312825360000001</v>
      </c>
    </row>
    <row r="7" spans="1:6" ht="90.6" customHeight="1" x14ac:dyDescent="0.3">
      <c r="A7" s="184" t="s">
        <v>142</v>
      </c>
      <c r="B7" s="185"/>
      <c r="C7" s="195">
        <f>+Analysis!$B$5</f>
        <v>3132467</v>
      </c>
      <c r="D7" s="196">
        <v>220527472</v>
      </c>
      <c r="E7" s="196">
        <f t="shared" si="0"/>
        <v>223659939</v>
      </c>
      <c r="F7" s="197">
        <f t="shared" si="1"/>
        <v>17.892795119999999</v>
      </c>
    </row>
    <row r="8" spans="1:6" ht="90.6" customHeight="1" thickBot="1" x14ac:dyDescent="0.35">
      <c r="A8" s="186" t="s">
        <v>760</v>
      </c>
      <c r="B8" s="187"/>
      <c r="C8" s="188">
        <f>+Analysis!$B$6</f>
        <v>194542464</v>
      </c>
      <c r="D8" s="188">
        <f>+Analysis!$C$6</f>
        <v>218616140</v>
      </c>
      <c r="E8" s="188">
        <f>+C8+D8</f>
        <v>413158604</v>
      </c>
      <c r="F8" s="191">
        <f t="shared" si="1"/>
        <v>33.052688320000001</v>
      </c>
    </row>
    <row r="9" spans="1:6" ht="18" x14ac:dyDescent="0.3">
      <c r="A9" s="189" t="s">
        <v>761</v>
      </c>
      <c r="B9" s="190"/>
      <c r="C9" s="198">
        <f>SUM(C4:C8)</f>
        <v>462034706</v>
      </c>
      <c r="D9" s="198">
        <f t="shared" ref="D9:E9" si="2">SUM(D4:D8)</f>
        <v>787965294</v>
      </c>
      <c r="E9" s="198">
        <f t="shared" si="2"/>
        <v>1250000000</v>
      </c>
      <c r="F9" s="199">
        <v>100</v>
      </c>
    </row>
    <row r="13" spans="1:6" x14ac:dyDescent="0.3">
      <c r="E13" s="145"/>
    </row>
    <row r="14" spans="1:6" x14ac:dyDescent="0.3">
      <c r="C14" s="145"/>
    </row>
    <row r="18" spans="3:3" x14ac:dyDescent="0.3">
      <c r="C18" s="14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B52BE-FA10-49C5-80B2-4504ECE9606D}">
  <sheetPr>
    <tabColor rgb="FFE1F6F5"/>
  </sheetPr>
  <dimension ref="A1:K67"/>
  <sheetViews>
    <sheetView showGridLines="0" topLeftCell="A13" zoomScale="115" zoomScaleNormal="115" workbookViewId="0">
      <selection activeCell="B29" sqref="B29"/>
    </sheetView>
  </sheetViews>
  <sheetFormatPr defaultColWidth="8.19921875" defaultRowHeight="13.8" x14ac:dyDescent="0.25"/>
  <cols>
    <col min="1" max="1" width="24.59765625" style="60" customWidth="1"/>
    <col min="2" max="2" width="37.8984375" style="89" customWidth="1"/>
    <col min="3" max="4" width="11.69921875" style="60" customWidth="1"/>
    <col min="5" max="5" width="13.19921875" style="60" customWidth="1"/>
    <col min="6" max="6" width="10" style="88" bestFit="1" customWidth="1"/>
    <col min="7" max="7" width="11.69921875" style="88" bestFit="1" customWidth="1"/>
    <col min="8" max="8" width="33.59765625" style="60" customWidth="1"/>
    <col min="9" max="16384" width="8.19921875" style="60"/>
  </cols>
  <sheetData>
    <row r="1" spans="1:11" s="93" customFormat="1" ht="13.95" customHeight="1" x14ac:dyDescent="0.25">
      <c r="A1" s="211" t="s">
        <v>772</v>
      </c>
      <c r="B1" s="213" t="s">
        <v>5</v>
      </c>
      <c r="C1" s="215" t="s">
        <v>773</v>
      </c>
      <c r="D1" s="216"/>
      <c r="E1" s="104" t="s">
        <v>774</v>
      </c>
      <c r="F1" s="95"/>
      <c r="G1" s="95"/>
      <c r="H1" s="95"/>
      <c r="I1" s="95"/>
      <c r="J1" s="95"/>
      <c r="K1" s="95"/>
    </row>
    <row r="2" spans="1:11" s="93" customFormat="1" ht="15" thickBot="1" x14ac:dyDescent="0.3">
      <c r="A2" s="212"/>
      <c r="B2" s="214"/>
      <c r="C2" s="105" t="s">
        <v>775</v>
      </c>
      <c r="D2" s="105" t="s">
        <v>776</v>
      </c>
      <c r="E2" s="106" t="s">
        <v>777</v>
      </c>
      <c r="F2" s="95"/>
      <c r="G2" s="95"/>
      <c r="H2" s="95"/>
      <c r="I2" s="95"/>
      <c r="J2" s="95"/>
      <c r="K2" s="95"/>
    </row>
    <row r="3" spans="1:11" s="93" customFormat="1" ht="14.4" x14ac:dyDescent="0.25">
      <c r="A3" s="208" t="s">
        <v>758</v>
      </c>
      <c r="B3" s="107" t="s">
        <v>528</v>
      </c>
      <c r="C3" s="108">
        <v>11660033</v>
      </c>
      <c r="D3" s="108">
        <v>11660033</v>
      </c>
      <c r="E3" s="109">
        <f>+C3+D3</f>
        <v>23320066</v>
      </c>
      <c r="F3" s="94">
        <f>+C3</f>
        <v>11660033</v>
      </c>
      <c r="G3" s="94">
        <f>+D3</f>
        <v>11660033</v>
      </c>
    </row>
    <row r="4" spans="1:11" ht="14.4" x14ac:dyDescent="0.3">
      <c r="A4" s="209"/>
      <c r="B4" s="110" t="s">
        <v>504</v>
      </c>
      <c r="C4" s="111">
        <v>17907903</v>
      </c>
      <c r="D4" s="111">
        <v>39185860</v>
      </c>
      <c r="E4" s="112">
        <f t="shared" ref="E4:E6" si="0">+C4+D4</f>
        <v>57093763</v>
      </c>
    </row>
    <row r="5" spans="1:11" ht="14.4" x14ac:dyDescent="0.3">
      <c r="A5" s="209"/>
      <c r="B5" s="110" t="s">
        <v>532</v>
      </c>
      <c r="C5" s="111">
        <v>76980056</v>
      </c>
      <c r="D5" s="111">
        <v>163150817</v>
      </c>
      <c r="E5" s="112">
        <f t="shared" si="0"/>
        <v>240130873</v>
      </c>
    </row>
    <row r="6" spans="1:11" ht="16.5" customHeight="1" thickBot="1" x14ac:dyDescent="0.35">
      <c r="A6" s="210"/>
      <c r="B6" s="113" t="s">
        <v>494</v>
      </c>
      <c r="C6" s="114">
        <v>1375457</v>
      </c>
      <c r="D6" s="114">
        <v>1412833</v>
      </c>
      <c r="E6" s="115">
        <f t="shared" si="0"/>
        <v>2788290</v>
      </c>
    </row>
    <row r="7" spans="1:11" ht="13.95" customHeight="1" x14ac:dyDescent="0.3">
      <c r="A7" s="116"/>
      <c r="B7" s="117" t="s">
        <v>778</v>
      </c>
      <c r="C7" s="118">
        <f>SUM(C3:C6)</f>
        <v>107923449</v>
      </c>
      <c r="D7" s="118">
        <f t="shared" ref="D7" si="1">SUM(D3:D6)</f>
        <v>215409543</v>
      </c>
      <c r="E7" s="118">
        <f>SUM(E3:E6)</f>
        <v>323332992</v>
      </c>
      <c r="G7" s="150"/>
    </row>
    <row r="8" spans="1:11" ht="13.95" customHeight="1" x14ac:dyDescent="0.25">
      <c r="B8" s="92"/>
      <c r="C8" s="91"/>
      <c r="D8" s="91"/>
      <c r="E8" s="91"/>
    </row>
    <row r="9" spans="1:11" ht="13.95" customHeight="1" x14ac:dyDescent="0.25">
      <c r="B9" s="92"/>
      <c r="C9" s="91"/>
      <c r="D9" s="91"/>
      <c r="E9" s="91"/>
    </row>
    <row r="10" spans="1:11" ht="13.95" customHeight="1" thickBot="1" x14ac:dyDescent="0.3">
      <c r="B10" s="92"/>
      <c r="C10" s="91"/>
      <c r="D10" s="91"/>
      <c r="E10" s="91"/>
    </row>
    <row r="11" spans="1:11" ht="25.5" customHeight="1" x14ac:dyDescent="0.25">
      <c r="A11" s="217" t="s">
        <v>772</v>
      </c>
      <c r="B11" s="213" t="s">
        <v>5</v>
      </c>
      <c r="C11" s="219" t="s">
        <v>773</v>
      </c>
      <c r="D11" s="219"/>
      <c r="E11" s="220" t="s">
        <v>779</v>
      </c>
      <c r="G11" s="151"/>
      <c r="H11" s="151"/>
    </row>
    <row r="12" spans="1:11" ht="25.5" customHeight="1" thickBot="1" x14ac:dyDescent="0.3">
      <c r="A12" s="218"/>
      <c r="B12" s="214"/>
      <c r="C12" s="119" t="s">
        <v>775</v>
      </c>
      <c r="D12" s="119" t="s">
        <v>776</v>
      </c>
      <c r="E12" s="221"/>
      <c r="G12" s="151"/>
      <c r="H12" s="151"/>
    </row>
    <row r="13" spans="1:11" ht="38.4" customHeight="1" thickBot="1" x14ac:dyDescent="0.35">
      <c r="A13" s="120" t="s">
        <v>574</v>
      </c>
      <c r="B13" s="121" t="s">
        <v>780</v>
      </c>
      <c r="C13" s="122">
        <v>21093896</v>
      </c>
      <c r="D13" s="122">
        <v>14844252</v>
      </c>
      <c r="E13" s="112">
        <f>+C13+D13</f>
        <v>35938148</v>
      </c>
      <c r="G13" s="150"/>
      <c r="H13" s="150"/>
    </row>
    <row r="14" spans="1:11" ht="18.600000000000001" customHeight="1" x14ac:dyDescent="0.3">
      <c r="A14" s="116"/>
      <c r="B14" s="123" t="s">
        <v>574</v>
      </c>
      <c r="C14" s="124">
        <f>+C13</f>
        <v>21093896</v>
      </c>
      <c r="D14" s="124">
        <f>+D13</f>
        <v>14844252</v>
      </c>
      <c r="E14" s="124">
        <f>+E13</f>
        <v>35938148</v>
      </c>
      <c r="G14" s="150"/>
      <c r="H14" s="151"/>
    </row>
    <row r="15" spans="1:11" x14ac:dyDescent="0.25">
      <c r="G15" s="151"/>
      <c r="H15" s="151"/>
    </row>
    <row r="16" spans="1:11" x14ac:dyDescent="0.25">
      <c r="G16" s="151"/>
      <c r="H16" s="151"/>
    </row>
    <row r="17" spans="1:11" ht="14.4" thickBot="1" x14ac:dyDescent="0.3">
      <c r="G17" s="151"/>
      <c r="H17" s="151"/>
    </row>
    <row r="18" spans="1:11" ht="14.4" x14ac:dyDescent="0.25">
      <c r="A18" s="225" t="s">
        <v>772</v>
      </c>
      <c r="B18" s="227" t="s">
        <v>5</v>
      </c>
      <c r="C18" s="229" t="s">
        <v>773</v>
      </c>
      <c r="D18" s="229"/>
      <c r="E18" s="230" t="s">
        <v>779</v>
      </c>
    </row>
    <row r="19" spans="1:11" ht="15" thickBot="1" x14ac:dyDescent="0.3">
      <c r="A19" s="226"/>
      <c r="B19" s="228"/>
      <c r="C19" s="129" t="s">
        <v>775</v>
      </c>
      <c r="D19" s="129" t="s">
        <v>776</v>
      </c>
      <c r="E19" s="231"/>
    </row>
    <row r="20" spans="1:11" ht="13.95" customHeight="1" x14ac:dyDescent="0.25">
      <c r="A20" s="222" t="s">
        <v>781</v>
      </c>
      <c r="B20" s="107" t="s">
        <v>152</v>
      </c>
      <c r="C20" s="108">
        <v>92175601</v>
      </c>
      <c r="D20" s="108">
        <v>66160603</v>
      </c>
      <c r="E20" s="109">
        <f>+C20+D20</f>
        <v>158336204</v>
      </c>
      <c r="F20" s="90">
        <f t="shared" ref="F20:F22" si="2">+C20</f>
        <v>92175601</v>
      </c>
      <c r="G20" s="90"/>
    </row>
    <row r="21" spans="1:11" ht="14.4" x14ac:dyDescent="0.25">
      <c r="A21" s="223"/>
      <c r="B21" s="110" t="s">
        <v>160</v>
      </c>
      <c r="C21" s="125">
        <v>35086444</v>
      </c>
      <c r="D21" s="125">
        <v>43006003</v>
      </c>
      <c r="E21" s="126">
        <f t="shared" ref="E21:E22" si="3">+C21+D21</f>
        <v>78092447</v>
      </c>
      <c r="F21" s="90">
        <f t="shared" si="2"/>
        <v>35086444</v>
      </c>
      <c r="G21" s="90"/>
      <c r="H21" s="61"/>
    </row>
    <row r="22" spans="1:11" ht="14.4" x14ac:dyDescent="0.25">
      <c r="A22" s="235"/>
      <c r="B22" s="110" t="s">
        <v>167</v>
      </c>
      <c r="C22" s="125">
        <v>8080385</v>
      </c>
      <c r="D22" s="125">
        <v>9401281</v>
      </c>
      <c r="E22" s="126">
        <f t="shared" si="3"/>
        <v>17481666</v>
      </c>
      <c r="F22" s="90">
        <f t="shared" si="2"/>
        <v>8080385</v>
      </c>
      <c r="G22" s="90"/>
    </row>
    <row r="23" spans="1:11" ht="14.4" x14ac:dyDescent="0.3">
      <c r="A23" s="116"/>
      <c r="B23" s="127" t="s">
        <v>782</v>
      </c>
      <c r="C23" s="128">
        <f>SUM(C20:C22)</f>
        <v>135342430</v>
      </c>
      <c r="D23" s="128">
        <f>SUM(D20:D22)</f>
        <v>118567887</v>
      </c>
      <c r="E23" s="128">
        <f>SUM(E20:E22)</f>
        <v>253910317</v>
      </c>
    </row>
    <row r="26" spans="1:11" ht="14.4" thickBot="1" x14ac:dyDescent="0.3"/>
    <row r="27" spans="1:11" ht="14.4" x14ac:dyDescent="0.25">
      <c r="A27" s="225" t="s">
        <v>772</v>
      </c>
      <c r="B27" s="227" t="s">
        <v>5</v>
      </c>
      <c r="C27" s="229" t="s">
        <v>773</v>
      </c>
      <c r="D27" s="229"/>
      <c r="E27" s="230" t="s">
        <v>779</v>
      </c>
    </row>
    <row r="28" spans="1:11" ht="14.4" x14ac:dyDescent="0.25">
      <c r="A28" s="232"/>
      <c r="B28" s="233"/>
      <c r="C28" s="130" t="s">
        <v>775</v>
      </c>
      <c r="D28" s="130" t="s">
        <v>776</v>
      </c>
      <c r="E28" s="234"/>
    </row>
    <row r="29" spans="1:11" ht="13.95" customHeight="1" x14ac:dyDescent="0.25">
      <c r="A29" s="236" t="s">
        <v>142</v>
      </c>
      <c r="B29" s="110" t="s">
        <v>429</v>
      </c>
      <c r="C29" s="131">
        <v>0</v>
      </c>
      <c r="D29" s="125">
        <v>213358446</v>
      </c>
      <c r="E29" s="126">
        <f>+D29+C29</f>
        <v>213358446</v>
      </c>
    </row>
    <row r="30" spans="1:11" s="88" customFormat="1" ht="15" thickBot="1" x14ac:dyDescent="0.3">
      <c r="A30" s="224"/>
      <c r="B30" s="113" t="s">
        <v>143</v>
      </c>
      <c r="C30" s="132">
        <v>3132467</v>
      </c>
      <c r="D30" s="132">
        <v>7169026</v>
      </c>
      <c r="E30" s="133">
        <f>+C30+D30</f>
        <v>10301493</v>
      </c>
      <c r="H30" s="60"/>
      <c r="I30" s="60"/>
      <c r="J30" s="60"/>
      <c r="K30" s="60"/>
    </row>
    <row r="31" spans="1:11" s="88" customFormat="1" ht="14.4" x14ac:dyDescent="0.3">
      <c r="A31" s="116"/>
      <c r="B31" s="127" t="s">
        <v>783</v>
      </c>
      <c r="C31" s="128">
        <f>SUM(C29:C30)</f>
        <v>3132467</v>
      </c>
      <c r="D31" s="128">
        <f>SUM(D29:D30)</f>
        <v>220527472</v>
      </c>
      <c r="E31" s="128">
        <f>SUM(E29:E30)</f>
        <v>223659939</v>
      </c>
      <c r="F31" s="90">
        <f>+C31+D31</f>
        <v>223659939</v>
      </c>
      <c r="H31" s="60"/>
      <c r="I31" s="60"/>
      <c r="J31" s="60"/>
      <c r="K31" s="60"/>
    </row>
    <row r="32" spans="1:11" ht="14.4" x14ac:dyDescent="0.3">
      <c r="A32" s="116"/>
      <c r="B32" s="134"/>
      <c r="C32" s="116"/>
      <c r="D32" s="116"/>
      <c r="E32" s="116"/>
    </row>
    <row r="33" spans="1:11" ht="14.4" x14ac:dyDescent="0.3">
      <c r="A33" s="116"/>
      <c r="B33" s="134"/>
      <c r="C33" s="116"/>
      <c r="D33" s="116"/>
      <c r="E33" s="152"/>
      <c r="G33" s="150"/>
    </row>
    <row r="34" spans="1:11" s="88" customFormat="1" ht="15" thickBot="1" x14ac:dyDescent="0.35">
      <c r="A34" s="116"/>
      <c r="B34" s="134"/>
      <c r="C34" s="116"/>
      <c r="D34" s="116"/>
      <c r="E34" s="116"/>
      <c r="H34" s="60"/>
      <c r="I34" s="60"/>
      <c r="J34" s="60"/>
      <c r="K34" s="60"/>
    </row>
    <row r="35" spans="1:11" s="88" customFormat="1" ht="14.4" x14ac:dyDescent="0.25">
      <c r="A35" s="225" t="s">
        <v>772</v>
      </c>
      <c r="B35" s="227" t="s">
        <v>5</v>
      </c>
      <c r="C35" s="229" t="s">
        <v>773</v>
      </c>
      <c r="D35" s="229"/>
      <c r="E35" s="230" t="s">
        <v>779</v>
      </c>
      <c r="H35" s="60"/>
      <c r="I35" s="60"/>
      <c r="J35" s="60"/>
      <c r="K35" s="60"/>
    </row>
    <row r="36" spans="1:11" s="88" customFormat="1" ht="15" thickBot="1" x14ac:dyDescent="0.3">
      <c r="A36" s="232"/>
      <c r="B36" s="233"/>
      <c r="C36" s="130" t="s">
        <v>775</v>
      </c>
      <c r="D36" s="130" t="s">
        <v>776</v>
      </c>
      <c r="E36" s="234"/>
      <c r="H36" s="60"/>
      <c r="I36" s="60"/>
      <c r="J36" s="60"/>
      <c r="K36" s="60"/>
    </row>
    <row r="37" spans="1:11" s="88" customFormat="1" ht="16.5" customHeight="1" x14ac:dyDescent="0.25">
      <c r="A37" s="222" t="s">
        <v>760</v>
      </c>
      <c r="B37" s="107" t="s">
        <v>35</v>
      </c>
      <c r="C37" s="108">
        <v>3944067</v>
      </c>
      <c r="D37" s="108">
        <v>122058858</v>
      </c>
      <c r="E37" s="109">
        <f>+C37+D37</f>
        <v>126002925</v>
      </c>
      <c r="H37" s="60"/>
      <c r="I37" s="60"/>
      <c r="J37" s="60"/>
      <c r="K37" s="60"/>
    </row>
    <row r="38" spans="1:11" s="88" customFormat="1" ht="28.8" x14ac:dyDescent="0.25">
      <c r="A38" s="223"/>
      <c r="B38" s="135" t="s">
        <v>21</v>
      </c>
      <c r="C38" s="136">
        <v>40893922</v>
      </c>
      <c r="D38" s="136">
        <v>43067466</v>
      </c>
      <c r="E38" s="137">
        <f t="shared" ref="E38:E40" si="4">+C38+D38</f>
        <v>83961388</v>
      </c>
      <c r="H38" s="60"/>
      <c r="I38" s="60"/>
      <c r="J38" s="60"/>
      <c r="K38" s="60"/>
    </row>
    <row r="39" spans="1:11" s="88" customFormat="1" ht="16.5" customHeight="1" x14ac:dyDescent="0.25">
      <c r="A39" s="223"/>
      <c r="B39" s="135" t="s">
        <v>60</v>
      </c>
      <c r="C39" s="136">
        <v>63643218</v>
      </c>
      <c r="D39" s="136">
        <v>53487576</v>
      </c>
      <c r="E39" s="137">
        <f>+C39+D39</f>
        <v>117130794</v>
      </c>
      <c r="H39" s="60"/>
      <c r="I39" s="60"/>
      <c r="J39" s="60"/>
      <c r="K39" s="60"/>
    </row>
    <row r="40" spans="1:11" s="88" customFormat="1" ht="16.5" customHeight="1" thickBot="1" x14ac:dyDescent="0.3">
      <c r="A40" s="224"/>
      <c r="B40" s="113" t="s">
        <v>87</v>
      </c>
      <c r="C40" s="132">
        <v>86061257</v>
      </c>
      <c r="D40" s="132">
        <v>2240</v>
      </c>
      <c r="E40" s="133">
        <f t="shared" si="4"/>
        <v>86063497</v>
      </c>
      <c r="H40" s="60"/>
      <c r="I40" s="60"/>
      <c r="J40" s="60"/>
      <c r="K40" s="60"/>
    </row>
    <row r="41" spans="1:11" ht="14.4" x14ac:dyDescent="0.3">
      <c r="A41" s="116"/>
      <c r="B41" s="127" t="s">
        <v>784</v>
      </c>
      <c r="C41" s="128">
        <f>SUM(C37:C40)</f>
        <v>194542464</v>
      </c>
      <c r="D41" s="128">
        <f>SUM(D37:D40)</f>
        <v>218616140</v>
      </c>
      <c r="E41" s="128">
        <f>SUM(E37:E40)</f>
        <v>413158604</v>
      </c>
    </row>
    <row r="42" spans="1:11" ht="14.4" x14ac:dyDescent="0.3">
      <c r="A42" s="116"/>
      <c r="B42" s="134"/>
      <c r="C42" s="116"/>
      <c r="D42" s="116"/>
      <c r="E42" s="152"/>
    </row>
    <row r="43" spans="1:11" s="87" customFormat="1" ht="14.4" x14ac:dyDescent="0.3">
      <c r="A43" s="116"/>
      <c r="B43" s="116"/>
      <c r="C43" s="116"/>
      <c r="D43" s="116"/>
      <c r="E43" s="145"/>
    </row>
    <row r="44" spans="1:11" s="87" customFormat="1" ht="14.4" x14ac:dyDescent="0.3">
      <c r="A44" s="116"/>
      <c r="B44" s="116"/>
      <c r="C44" s="116"/>
      <c r="D44" s="116"/>
      <c r="E44" s="116"/>
    </row>
    <row r="45" spans="1:11" s="87" customFormat="1" ht="14.4" x14ac:dyDescent="0.3"/>
    <row r="46" spans="1:11" s="87" customFormat="1" ht="15" customHeight="1" x14ac:dyDescent="0.3"/>
    <row r="47" spans="1:11" s="87" customFormat="1" ht="14.4" x14ac:dyDescent="0.3"/>
    <row r="48" spans="1:11" s="87" customFormat="1" ht="14.4" x14ac:dyDescent="0.3"/>
    <row r="49" s="87" customFormat="1" ht="14.4" x14ac:dyDescent="0.3"/>
    <row r="50" s="87" customFormat="1" ht="14.4" x14ac:dyDescent="0.3"/>
    <row r="51" s="87" customFormat="1" ht="14.4" x14ac:dyDescent="0.3"/>
    <row r="52" s="87" customFormat="1" ht="14.4" x14ac:dyDescent="0.3"/>
    <row r="53" s="87" customFormat="1" ht="14.4" x14ac:dyDescent="0.3"/>
    <row r="54" s="87" customFormat="1" ht="14.4" x14ac:dyDescent="0.3"/>
    <row r="55" s="87" customFormat="1" ht="14.4" x14ac:dyDescent="0.3"/>
    <row r="56" s="87" customFormat="1" ht="14.4" x14ac:dyDescent="0.3"/>
    <row r="57" s="87" customFormat="1" ht="14.4" x14ac:dyDescent="0.3"/>
    <row r="58" s="87" customFormat="1" ht="14.4" x14ac:dyDescent="0.3"/>
    <row r="59" s="87" customFormat="1" ht="14.4" x14ac:dyDescent="0.3"/>
    <row r="60" s="87" customFormat="1" ht="14.4" x14ac:dyDescent="0.3"/>
    <row r="61" s="87" customFormat="1" ht="14.4" x14ac:dyDescent="0.3"/>
    <row r="62" s="87" customFormat="1" ht="14.4" x14ac:dyDescent="0.3"/>
    <row r="63" s="87" customFormat="1" ht="14.4" x14ac:dyDescent="0.3"/>
    <row r="64" s="87" customFormat="1" ht="14.4" x14ac:dyDescent="0.3"/>
    <row r="65" s="87" customFormat="1" ht="14.4" x14ac:dyDescent="0.3"/>
    <row r="66" s="87" customFormat="1" ht="14.4" x14ac:dyDescent="0.3"/>
    <row r="67" s="87" customFormat="1" ht="14.4" x14ac:dyDescent="0.3"/>
  </sheetData>
  <mergeCells count="23">
    <mergeCell ref="E11:E12"/>
    <mergeCell ref="A37:A40"/>
    <mergeCell ref="A18:A19"/>
    <mergeCell ref="B18:B19"/>
    <mergeCell ref="C18:D18"/>
    <mergeCell ref="E18:E19"/>
    <mergeCell ref="A27:A28"/>
    <mergeCell ref="B27:B28"/>
    <mergeCell ref="C27:D27"/>
    <mergeCell ref="E27:E28"/>
    <mergeCell ref="A20:A22"/>
    <mergeCell ref="A35:A36"/>
    <mergeCell ref="B35:B36"/>
    <mergeCell ref="C35:D35"/>
    <mergeCell ref="E35:E36"/>
    <mergeCell ref="A29:A30"/>
    <mergeCell ref="A3:A6"/>
    <mergeCell ref="A1:A2"/>
    <mergeCell ref="B1:B2"/>
    <mergeCell ref="C1:D1"/>
    <mergeCell ref="A11:A12"/>
    <mergeCell ref="B11:B12"/>
    <mergeCell ref="C11:D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68686-E45F-435C-B095-9C3F6E8FE76D}">
  <dimension ref="A1:J16"/>
  <sheetViews>
    <sheetView workbookViewId="0">
      <pane xSplit="2" ySplit="1" topLeftCell="C2" activePane="bottomRight" state="frozen"/>
      <selection pane="topRight" activeCell="L30" sqref="L30"/>
      <selection pane="bottomLeft" activeCell="L30" sqref="L30"/>
      <selection pane="bottomRight" activeCell="A2" sqref="A2:A15"/>
    </sheetView>
  </sheetViews>
  <sheetFormatPr defaultColWidth="8.69921875" defaultRowHeight="13.8" x14ac:dyDescent="0.25"/>
  <cols>
    <col min="1" max="1" width="15.69921875" customWidth="1"/>
    <col min="2" max="2" width="42.19921875" customWidth="1"/>
    <col min="3" max="4" width="25.09765625" customWidth="1"/>
    <col min="5" max="5" width="22.09765625" customWidth="1"/>
    <col min="6" max="6" width="22.69921875" customWidth="1"/>
    <col min="7" max="7" width="26.3984375" customWidth="1"/>
    <col min="8" max="8" width="18.8984375" customWidth="1"/>
  </cols>
  <sheetData>
    <row r="1" spans="1:10" ht="39.6" x14ac:dyDescent="0.25">
      <c r="A1" s="36" t="s">
        <v>483</v>
      </c>
      <c r="B1" s="36" t="s">
        <v>785</v>
      </c>
      <c r="C1" s="37" t="s">
        <v>11</v>
      </c>
      <c r="D1" s="37" t="s">
        <v>489</v>
      </c>
      <c r="E1" s="37" t="s">
        <v>13</v>
      </c>
      <c r="F1" s="38" t="s">
        <v>14</v>
      </c>
      <c r="G1" s="38" t="s">
        <v>15</v>
      </c>
      <c r="H1" s="39" t="s">
        <v>16</v>
      </c>
    </row>
    <row r="2" spans="1:10" ht="39.6" x14ac:dyDescent="0.25">
      <c r="A2" s="58" t="s">
        <v>786</v>
      </c>
      <c r="B2" s="58" t="s">
        <v>787</v>
      </c>
      <c r="C2" s="98">
        <v>90777401</v>
      </c>
      <c r="D2" s="98">
        <v>4643630</v>
      </c>
      <c r="E2" s="98">
        <f>+Tabela136[[#This Row],[RS financing 2022 (EUR)]]+Tabela136[[#This Row],[RS financing 2023 (EUR)]]</f>
        <v>4490722</v>
      </c>
      <c r="F2" s="96">
        <v>0</v>
      </c>
      <c r="G2" s="100">
        <f>4276136+182417+32169</f>
        <v>4490722</v>
      </c>
      <c r="H2" s="41" t="s">
        <v>474</v>
      </c>
      <c r="J2" s="46"/>
    </row>
    <row r="3" spans="1:10" ht="39.6" x14ac:dyDescent="0.25">
      <c r="A3" s="58" t="s">
        <v>788</v>
      </c>
      <c r="B3" s="58" t="s">
        <v>789</v>
      </c>
      <c r="C3" s="98">
        <v>30967000</v>
      </c>
      <c r="D3" s="98">
        <v>4733480</v>
      </c>
      <c r="E3" s="98">
        <f>+Tabela136[[#This Row],[RS financing 2022 (EUR)]]+Tabela136[[#This Row],[RS financing 2023 (EUR)]]</f>
        <v>4733480</v>
      </c>
      <c r="F3" s="96">
        <v>0</v>
      </c>
      <c r="G3" s="100">
        <v>4733480</v>
      </c>
      <c r="H3" s="41" t="s">
        <v>474</v>
      </c>
    </row>
    <row r="4" spans="1:10" ht="39.6" x14ac:dyDescent="0.25">
      <c r="A4" s="58" t="s">
        <v>790</v>
      </c>
      <c r="B4" s="58" t="s">
        <v>791</v>
      </c>
      <c r="C4" s="98">
        <v>12639112</v>
      </c>
      <c r="D4" s="98">
        <v>5055644</v>
      </c>
      <c r="E4" s="98">
        <f>+Tabela136[[#This Row],[RS financing 2022 (EUR)]]+Tabela136[[#This Row],[RS financing 2023 (EUR)]]</f>
        <v>5055644</v>
      </c>
      <c r="F4" s="96">
        <v>0</v>
      </c>
      <c r="G4" s="100">
        <v>5055644</v>
      </c>
      <c r="H4" s="41" t="s">
        <v>474</v>
      </c>
    </row>
    <row r="5" spans="1:10" ht="39.6" x14ac:dyDescent="0.25">
      <c r="A5" s="19" t="s">
        <v>792</v>
      </c>
      <c r="B5" s="34" t="s">
        <v>793</v>
      </c>
      <c r="C5" s="99">
        <v>53690000</v>
      </c>
      <c r="D5" s="99">
        <v>5164000</v>
      </c>
      <c r="E5" s="98">
        <f>+Tabela136[[#This Row],[RS financing 2022 (EUR)]]+Tabela136[[#This Row],[RS financing 2023 (EUR)]]</f>
        <v>5164000</v>
      </c>
      <c r="F5" s="96">
        <v>0</v>
      </c>
      <c r="G5" s="101">
        <v>5164000</v>
      </c>
      <c r="H5" s="41" t="s">
        <v>474</v>
      </c>
    </row>
    <row r="6" spans="1:10" ht="39.6" x14ac:dyDescent="0.25">
      <c r="A6" s="19" t="s">
        <v>794</v>
      </c>
      <c r="B6" s="34" t="s">
        <v>795</v>
      </c>
      <c r="C6" s="99">
        <v>207452669</v>
      </c>
      <c r="D6" s="99">
        <v>5627962</v>
      </c>
      <c r="E6" s="98">
        <f>+Tabela136[[#This Row],[RS financing 2022 (EUR)]]+Tabela136[[#This Row],[RS financing 2023 (EUR)]]</f>
        <v>5627962</v>
      </c>
      <c r="F6" s="96">
        <v>0</v>
      </c>
      <c r="G6" s="101">
        <v>5627962</v>
      </c>
      <c r="H6" s="41" t="s">
        <v>474</v>
      </c>
    </row>
    <row r="7" spans="1:10" ht="39.6" x14ac:dyDescent="0.25">
      <c r="A7" s="19" t="s">
        <v>796</v>
      </c>
      <c r="B7" s="34" t="s">
        <v>797</v>
      </c>
      <c r="C7" s="99">
        <v>19824676</v>
      </c>
      <c r="D7" s="99">
        <v>7929870</v>
      </c>
      <c r="E7" s="98">
        <f>+Tabela136[[#This Row],[RS financing 2022 (EUR)]]+Tabela136[[#This Row],[RS financing 2023 (EUR)]]</f>
        <v>7929870</v>
      </c>
      <c r="F7" s="96">
        <v>0</v>
      </c>
      <c r="G7" s="101">
        <v>7929870</v>
      </c>
      <c r="H7" s="41" t="s">
        <v>474</v>
      </c>
    </row>
    <row r="8" spans="1:10" ht="39.6" x14ac:dyDescent="0.25">
      <c r="A8" s="43" t="s">
        <v>798</v>
      </c>
      <c r="B8" s="97" t="s">
        <v>799</v>
      </c>
      <c r="C8" s="99">
        <v>20567200</v>
      </c>
      <c r="D8" s="99">
        <v>8226880</v>
      </c>
      <c r="E8" s="98">
        <f>+Tabela136[[#This Row],[RS financing 2022 (EUR)]]+Tabela136[[#This Row],[RS financing 2023 (EUR)]]</f>
        <v>8226880</v>
      </c>
      <c r="F8" s="96">
        <f t="shared" ref="F8:F15" si="0">SUM(F2:F7)</f>
        <v>0</v>
      </c>
      <c r="G8" s="101">
        <v>8226880</v>
      </c>
      <c r="H8" s="41" t="s">
        <v>474</v>
      </c>
    </row>
    <row r="9" spans="1:10" ht="39.6" x14ac:dyDescent="0.25">
      <c r="A9" s="43" t="s">
        <v>800</v>
      </c>
      <c r="B9" s="97" t="s">
        <v>801</v>
      </c>
      <c r="C9" s="98">
        <v>154846000</v>
      </c>
      <c r="D9" s="99">
        <v>9285406</v>
      </c>
      <c r="E9" s="98">
        <f>+Tabela136[[#This Row],[RS financing 2022 (EUR)]]+Tabela136[[#This Row],[RS financing 2023 (EUR)]]</f>
        <v>9285406</v>
      </c>
      <c r="F9" s="96">
        <f t="shared" si="0"/>
        <v>0</v>
      </c>
      <c r="G9" s="101">
        <v>9285406</v>
      </c>
      <c r="H9" s="41" t="s">
        <v>474</v>
      </c>
    </row>
    <row r="10" spans="1:10" ht="39.6" x14ac:dyDescent="0.25">
      <c r="A10" s="43" t="s">
        <v>802</v>
      </c>
      <c r="B10" s="97" t="s">
        <v>803</v>
      </c>
      <c r="C10" s="98">
        <v>44294771</v>
      </c>
      <c r="D10" s="99">
        <v>12385746</v>
      </c>
      <c r="E10" s="98">
        <f>+Tabela136[[#This Row],[RS financing 2022 (EUR)]]+Tabela136[[#This Row],[RS financing 2023 (EUR)]]</f>
        <v>12385746</v>
      </c>
      <c r="F10" s="96">
        <f t="shared" si="0"/>
        <v>0</v>
      </c>
      <c r="G10" s="101">
        <v>12385746</v>
      </c>
      <c r="H10" s="41" t="s">
        <v>474</v>
      </c>
    </row>
    <row r="11" spans="1:10" ht="39.6" x14ac:dyDescent="0.25">
      <c r="A11" s="43" t="s">
        <v>804</v>
      </c>
      <c r="B11" s="97" t="s">
        <v>805</v>
      </c>
      <c r="C11" s="98">
        <v>31671272</v>
      </c>
      <c r="D11" s="99">
        <v>12668508</v>
      </c>
      <c r="E11" s="98">
        <f>+Tabela136[[#This Row],[RS financing 2022 (EUR)]]+Tabela136[[#This Row],[RS financing 2023 (EUR)]]</f>
        <v>12668508</v>
      </c>
      <c r="F11" s="96">
        <f t="shared" si="0"/>
        <v>0</v>
      </c>
      <c r="G11" s="101">
        <v>12668508</v>
      </c>
      <c r="H11" s="41" t="s">
        <v>474</v>
      </c>
    </row>
    <row r="12" spans="1:10" ht="39.6" x14ac:dyDescent="0.25">
      <c r="A12" s="43" t="s">
        <v>806</v>
      </c>
      <c r="B12" s="97" t="s">
        <v>807</v>
      </c>
      <c r="C12" s="99">
        <v>37741631</v>
      </c>
      <c r="D12" s="99">
        <v>12826920</v>
      </c>
      <c r="E12" s="98">
        <f>+Tabela136[[#This Row],[RS financing 2022 (EUR)]]+Tabela136[[#This Row],[RS financing 2023 (EUR)]]</f>
        <v>12826920</v>
      </c>
      <c r="F12" s="96">
        <f t="shared" si="0"/>
        <v>0</v>
      </c>
      <c r="G12" s="101">
        <v>12826920</v>
      </c>
      <c r="H12" s="41" t="s">
        <v>474</v>
      </c>
    </row>
    <row r="13" spans="1:10" ht="39.6" x14ac:dyDescent="0.25">
      <c r="A13" s="43" t="s">
        <v>808</v>
      </c>
      <c r="B13" s="97" t="s">
        <v>809</v>
      </c>
      <c r="C13" s="99">
        <v>30623000</v>
      </c>
      <c r="D13" s="99">
        <v>12249200</v>
      </c>
      <c r="E13" s="98">
        <f>+Tabela136[[#This Row],[RS financing 2022 (EUR)]]+Tabela136[[#This Row],[RS financing 2023 (EUR)]]</f>
        <v>12249200</v>
      </c>
      <c r="F13" s="96">
        <f t="shared" si="0"/>
        <v>0</v>
      </c>
      <c r="G13" s="101">
        <v>12249200</v>
      </c>
      <c r="H13" s="41" t="s">
        <v>474</v>
      </c>
    </row>
    <row r="14" spans="1:10" ht="39.6" x14ac:dyDescent="0.25">
      <c r="A14" s="43" t="s">
        <v>810</v>
      </c>
      <c r="B14" s="97" t="s">
        <v>811</v>
      </c>
      <c r="C14" s="99">
        <v>48952706</v>
      </c>
      <c r="D14" s="99">
        <v>14608962</v>
      </c>
      <c r="E14" s="98">
        <f>+Tabela136[[#This Row],[RS financing 2022 (EUR)]]+Tabela136[[#This Row],[RS financing 2023 (EUR)]]</f>
        <v>14608962</v>
      </c>
      <c r="F14" s="96">
        <f t="shared" si="0"/>
        <v>0</v>
      </c>
      <c r="G14" s="101">
        <v>14608962</v>
      </c>
      <c r="H14" s="41" t="s">
        <v>474</v>
      </c>
    </row>
    <row r="15" spans="1:10" ht="39.6" x14ac:dyDescent="0.25">
      <c r="A15" s="43" t="s">
        <v>812</v>
      </c>
      <c r="B15" s="97" t="s">
        <v>813</v>
      </c>
      <c r="C15" s="98">
        <v>53530425</v>
      </c>
      <c r="D15" s="99">
        <v>21412170</v>
      </c>
      <c r="E15" s="98">
        <f>+Tabela136[[#This Row],[RS financing 2022 (EUR)]]+Tabela136[[#This Row],[RS financing 2023 (EUR)]]</f>
        <v>21412170</v>
      </c>
      <c r="F15" s="96">
        <f t="shared" si="0"/>
        <v>0</v>
      </c>
      <c r="G15" s="101">
        <v>21412170</v>
      </c>
      <c r="H15" s="41" t="s">
        <v>474</v>
      </c>
    </row>
    <row r="16" spans="1:10" x14ac:dyDescent="0.25">
      <c r="C16" s="46">
        <f>SUBTOTAL(109,Tabela136[Total project amount (EUR)])</f>
        <v>837577863</v>
      </c>
      <c r="D16" s="46">
        <f>SUBTOTAL(109,Tabela136[RS financing amount (EUR)])</f>
        <v>136818378</v>
      </c>
      <c r="E16" s="46">
        <f>SUBTOTAL(109,Tabela136[Bond eligible amount (EUR)
Σ 22+23])</f>
        <v>136665470</v>
      </c>
      <c r="G16" s="46">
        <f>SUBTOTAL(109,Tabela136[RS financing 2023 (EUR)])</f>
        <v>136665470</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C2C2-F4F3-407E-96F4-C23AC11948FE}">
  <dimension ref="A1:H4"/>
  <sheetViews>
    <sheetView workbookViewId="0">
      <pane xSplit="2" ySplit="1" topLeftCell="C2" activePane="bottomRight" state="frozen"/>
      <selection pane="topRight" activeCell="L30" sqref="L30"/>
      <selection pane="bottomLeft" activeCell="L30" sqref="L30"/>
      <selection pane="bottomRight" activeCell="A2" sqref="A2:A3"/>
    </sheetView>
  </sheetViews>
  <sheetFormatPr defaultColWidth="8.69921875" defaultRowHeight="13.8" x14ac:dyDescent="0.25"/>
  <cols>
    <col min="1" max="1" width="15.69921875" customWidth="1"/>
    <col min="2" max="2" width="42.19921875" bestFit="1" customWidth="1"/>
    <col min="3" max="4" width="25.09765625" customWidth="1"/>
    <col min="5" max="5" width="22.09765625" customWidth="1"/>
    <col min="6" max="6" width="22.69921875" customWidth="1"/>
    <col min="7" max="7" width="26.3984375" customWidth="1"/>
    <col min="8" max="8" width="18.8984375" customWidth="1"/>
  </cols>
  <sheetData>
    <row r="1" spans="1:8" ht="39.6" x14ac:dyDescent="0.25">
      <c r="A1" s="36" t="s">
        <v>483</v>
      </c>
      <c r="B1" s="36" t="s">
        <v>785</v>
      </c>
      <c r="C1" s="37" t="s">
        <v>11</v>
      </c>
      <c r="D1" s="37" t="s">
        <v>489</v>
      </c>
      <c r="E1" s="37" t="s">
        <v>13</v>
      </c>
      <c r="F1" s="38" t="s">
        <v>14</v>
      </c>
      <c r="G1" s="38" t="s">
        <v>15</v>
      </c>
      <c r="H1" s="39" t="s">
        <v>16</v>
      </c>
    </row>
    <row r="2" spans="1:8" ht="39.6" x14ac:dyDescent="0.25">
      <c r="A2" s="43" t="s">
        <v>814</v>
      </c>
      <c r="B2" s="40" t="s">
        <v>815</v>
      </c>
      <c r="C2" s="82">
        <v>2051530</v>
      </c>
      <c r="D2" s="83">
        <v>820610</v>
      </c>
      <c r="E2" s="83">
        <v>820610</v>
      </c>
      <c r="F2" s="44" t="s">
        <v>816</v>
      </c>
      <c r="G2" s="44">
        <v>820610</v>
      </c>
      <c r="H2" s="41" t="s">
        <v>474</v>
      </c>
    </row>
    <row r="3" spans="1:8" ht="39.6" x14ac:dyDescent="0.25">
      <c r="A3" s="52" t="s">
        <v>817</v>
      </c>
      <c r="B3" s="35" t="s">
        <v>818</v>
      </c>
      <c r="C3" s="84">
        <v>1363360</v>
      </c>
      <c r="D3" s="45">
        <v>545340</v>
      </c>
      <c r="E3" s="45">
        <v>545340</v>
      </c>
      <c r="F3" s="45" t="s">
        <v>816</v>
      </c>
      <c r="G3" s="45">
        <v>545310</v>
      </c>
      <c r="H3" s="42" t="s">
        <v>474</v>
      </c>
    </row>
    <row r="4" spans="1:8" x14ac:dyDescent="0.25">
      <c r="A4" s="20"/>
      <c r="B4" s="20"/>
      <c r="C4" s="85">
        <f>+C2+C3</f>
        <v>3414890</v>
      </c>
      <c r="D4" s="86">
        <f>+D2+D3</f>
        <v>1365950</v>
      </c>
      <c r="E4" s="86">
        <f>+E2+E3</f>
        <v>1365950</v>
      </c>
      <c r="F4" s="86" t="s">
        <v>816</v>
      </c>
      <c r="G4" s="86" t="s">
        <v>819</v>
      </c>
      <c r="H4" s="54"/>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ttachment2 xmlns="f016ebea-e21a-472c-94ed-541d7bd0669d">
      <Url xsi:nil="true"/>
      <Description xsi:nil="true"/>
    </Attachment2>
    <lcf76f155ced4ddcb4097134ff3c332f xmlns="f016ebea-e21a-472c-94ed-541d7bd0669d">
      <Terms xmlns="http://schemas.microsoft.com/office/infopath/2007/PartnerControls"/>
    </lcf76f155ced4ddcb4097134ff3c332f>
    <Attachment xmlns="f016ebea-e21a-472c-94ed-541d7bd0669d">
      <Url xsi:nil="true"/>
      <Description xsi:nil="true"/>
    </Attachment>
    <TaxCatchAll xmlns="6e78ff2e-7cd1-4db1-a5aa-e80c3081f3be" xsi:nil="true"/>
    <Description0 xmlns="f016ebea-e21a-472c-94ed-541d7bd0669d" xsi:nil="true"/>
    <Index xmlns="f016ebea-e21a-472c-94ed-541d7bd0669d" xsi:nil="true"/>
    <_ip_UnifiedCompliancePolicyUIAction xmlns="6190d666-f4d8-4735-95f5-ac271db94982" xsi:nil="true"/>
    <_ip_UnifiedCompliancePolicyProperties xmlns="6190d666-f4d8-4735-95f5-ac271db9498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FCCACABF3D6E4288FAA94952BF1762" ma:contentTypeVersion="49" ma:contentTypeDescription="Create a new document." ma:contentTypeScope="" ma:versionID="1ad7e7997fd14cb468efecd8939bb3ba">
  <xsd:schema xmlns:xsd="http://www.w3.org/2001/XMLSchema" xmlns:xs="http://www.w3.org/2001/XMLSchema" xmlns:p="http://schemas.microsoft.com/office/2006/metadata/properties" xmlns:ns2="f016ebea-e21a-472c-94ed-541d7bd0669d" xmlns:ns3="6190d666-f4d8-4735-95f5-ac271db94982" xmlns:ns4="6e78ff2e-7cd1-4db1-a5aa-e80c3081f3be" targetNamespace="http://schemas.microsoft.com/office/2006/metadata/properties" ma:root="true" ma:fieldsID="7df5bae44b32b70dac670758291642a9" ns2:_="" ns3:_="" ns4:_="">
    <xsd:import namespace="f016ebea-e21a-472c-94ed-541d7bd0669d"/>
    <xsd:import namespace="6190d666-f4d8-4735-95f5-ac271db94982"/>
    <xsd:import namespace="6e78ff2e-7cd1-4db1-a5aa-e80c3081f3b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Description0" minOccurs="0"/>
                <xsd:element ref="ns2:MediaServiceGenerationTime" minOccurs="0"/>
                <xsd:element ref="ns2:MediaServiceEventHashCode" minOccurs="0"/>
                <xsd:element ref="ns2:Index" minOccurs="0"/>
                <xsd:element ref="ns2:MediaServiceAutoKeyPoints" minOccurs="0"/>
                <xsd:element ref="ns2:MediaServiceKeyPoints" minOccurs="0"/>
                <xsd:element ref="ns2:Attachment" minOccurs="0"/>
                <xsd:element ref="ns2:Attachment2" minOccurs="0"/>
                <xsd:element ref="ns3:_dlc_DocId" minOccurs="0"/>
                <xsd:element ref="ns3:_dlc_DocIdUrl" minOccurs="0"/>
                <xsd:element ref="ns3:_dlc_DocIdPersistId" minOccurs="0"/>
                <xsd:element ref="ns2:MediaServiceLocation" minOccurs="0"/>
                <xsd:element ref="ns2:MediaLengthInSeconds" minOccurs="0"/>
                <xsd:element ref="ns4:TaxCatchAll" minOccurs="0"/>
                <xsd:element ref="ns2:lcf76f155ced4ddcb4097134ff3c332f" minOccurs="0"/>
                <xsd:element ref="ns3:_ip_UnifiedCompliancePolicyProperties" minOccurs="0"/>
                <xsd:element ref="ns3: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6ebea-e21a-472c-94ed-541d7bd0669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Tags" ma:index="6" nillable="true" ma:displayName="Tags" ma:description="" ma:hidden="true" ma:internalName="MediaServiceAutoTags" ma:readOnly="true">
      <xsd:simpleType>
        <xsd:restriction base="dms:Text"/>
      </xsd:simpleType>
    </xsd:element>
    <xsd:element name="MediaServiceOCR" ma:index="7" nillable="true" ma:displayName="Extracted Text" ma:description="" ma:hidden="true" ma:internalName="MediaServiceOCR" ma:readOnly="true">
      <xsd:simpleType>
        <xsd:restriction base="dms:Note"/>
      </xsd:simpleType>
    </xsd:element>
    <xsd:element name="MediaServiceDateTaken" ma:index="8" nillable="true" ma:displayName="MediaServiceDateTaken" ma:hidden="true" ma:internalName="MediaServiceDateTaken" ma:readOnly="true">
      <xsd:simpleType>
        <xsd:restriction base="dms:Text"/>
      </xsd:simpleType>
    </xsd:element>
    <xsd:element name="Description0" ma:index="11" nillable="true" ma:displayName="Document Description" ma:format="Dropdown" ma:internalName="Description0">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Index" ma:index="14" nillable="true" ma:displayName="Index" ma:format="Dropdown" ma:internalName="Index" ma:readOnly="false">
      <xsd:simpleType>
        <xsd:restriction base="dms:Choice">
          <xsd:enumeration value="Legal"/>
          <xsd:enumeration value="Processes"/>
          <xsd:enumeration value="SPO Sales"/>
          <xsd:enumeration value="ESG Sales"/>
          <xsd:enumeration value="Disqualify"/>
          <xsd:enumeration value="Sustainability Linked Loan"/>
          <xsd:enumeration value="Competitive Intelligence Sales"/>
          <xsd:enumeration value="Sustainable Eligibility Guide Sales"/>
          <xsd:enumeration value="Marketing"/>
          <xsd:enumeration value="Attachment"/>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description="" ma:hidden="true" ma:internalName="MediaServiceKeyPoints" ma:readOnly="true">
      <xsd:simpleType>
        <xsd:restriction base="dms:Note"/>
      </xsd:simpleType>
    </xsd:element>
    <xsd:element name="Attachment" ma:index="17" nillable="true" ma:displayName="Attachment 1" ma:format="Hyperlink" ma:internalName="Attachment"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ttachment2" ma:index="18" nillable="true" ma:displayName="Attachment 2 " ma:format="Hyperlink" ma:internalName="Attachment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957a171-654f-4563-9f59-7d53f9f4325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90d666-f4d8-4735-95f5-ac271db94982" elementFormDefault="qualified">
    <xsd:import namespace="http://schemas.microsoft.com/office/2006/documentManagement/types"/>
    <xsd:import namespace="http://schemas.microsoft.com/office/infopath/2007/PartnerControls"/>
    <xsd:element name="SharedWithUsers" ma:index="9" nillable="true" ma:displayName="Shared With" ma:description="" ma:hidden="true"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hidden="true" ma:internalName="SharedWithDetails" ma:readOnly="true">
      <xsd:simpleType>
        <xsd:restriction base="dms:Not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_ip_UnifiedCompliancePolicyProperties" ma:index="31" nillable="true" ma:displayName="Unified Compliance Policy Properties" ma:internalName="_ip_UnifiedCompliancePolicyProperties" ma:readOnly="false">
      <xsd:simpleType>
        <xsd:restriction base="dms:Note"/>
      </xsd:simpleType>
    </xsd:element>
    <xsd:element name="_ip_UnifiedCompliancePolicyUIAction" ma:index="32"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78ff2e-7cd1-4db1-a5aa-e80c3081f3be"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af29951c-86ca-4d55-9ace-384e8b246067}" ma:internalName="TaxCatchAll" ma:showField="CatchAllData" ma:web="6190d666-f4d8-4735-95f5-ac271db949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E55074-CD92-49DA-A7FA-963B1B6D03AC}">
  <ds:schemaRefs>
    <ds:schemaRef ds:uri="http://schemas.microsoft.com/office/2006/metadata/properties"/>
    <ds:schemaRef ds:uri="http://schemas.microsoft.com/office/infopath/2007/PartnerControls"/>
    <ds:schemaRef ds:uri="f016ebea-e21a-472c-94ed-541d7bd0669d"/>
    <ds:schemaRef ds:uri="6e78ff2e-7cd1-4db1-a5aa-e80c3081f3be"/>
    <ds:schemaRef ds:uri="6190d666-f4d8-4735-95f5-ac271db94982"/>
  </ds:schemaRefs>
</ds:datastoreItem>
</file>

<file path=customXml/itemProps2.xml><?xml version="1.0" encoding="utf-8"?>
<ds:datastoreItem xmlns:ds="http://schemas.openxmlformats.org/officeDocument/2006/customXml" ds:itemID="{6B419F84-4F57-410A-8F6B-D8DF846015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6ebea-e21a-472c-94ed-541d7bd0669d"/>
    <ds:schemaRef ds:uri="6190d666-f4d8-4735-95f5-ac271db94982"/>
    <ds:schemaRef ds:uri="6e78ff2e-7cd1-4db1-a5aa-e80c3081f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71F5BB-7FDC-45A8-8512-3F7608615D24}">
  <ds:schemaRefs>
    <ds:schemaRef ds:uri="http://schemas.microsoft.com/sharepoint/events"/>
  </ds:schemaRefs>
</ds:datastoreItem>
</file>

<file path=customXml/itemProps4.xml><?xml version="1.0" encoding="utf-8"?>
<ds:datastoreItem xmlns:ds="http://schemas.openxmlformats.org/officeDocument/2006/customXml" ds:itemID="{A4991EF4-37BB-4841-940F-F78DEF3F17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18</vt:i4>
      </vt:variant>
    </vt:vector>
  </HeadingPairs>
  <TitlesOfParts>
    <vt:vector size="18" baseType="lpstr">
      <vt:lpstr>Social projects (SP)</vt:lpstr>
      <vt:lpstr>Green projects (GP)</vt:lpstr>
      <vt:lpstr>Summary 2022+2023 </vt:lpstr>
      <vt:lpstr>Drop list</vt:lpstr>
      <vt:lpstr>Analysis</vt:lpstr>
      <vt:lpstr>Allocation aggregate</vt:lpstr>
      <vt:lpstr>Allocation report contracted</vt:lpstr>
      <vt:lpstr>Portfolio nr. 1</vt:lpstr>
      <vt:lpstr>Portfolio nr. 2</vt:lpstr>
      <vt:lpstr>Portfolio nr. 3</vt:lpstr>
      <vt:lpstr>Portfolio nr. 4</vt:lpstr>
      <vt:lpstr>Portfolio nr. 5</vt:lpstr>
      <vt:lpstr>Portfolio nr. 92</vt:lpstr>
      <vt:lpstr>Portfolio nr. 93</vt:lpstr>
      <vt:lpstr>Portfolio nr. 94</vt:lpstr>
      <vt:lpstr>Portfolio nr. 95</vt:lpstr>
      <vt:lpstr>Portfolio nr. 96</vt:lpstr>
      <vt:lpstr>Portfolio nr.156</vt:lpstr>
    </vt:vector>
  </TitlesOfParts>
  <Manager/>
  <Company>MFRS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Anja Gartner</cp:lastModifiedBy>
  <cp:revision/>
  <dcterms:created xsi:type="dcterms:W3CDTF">2019-03-22T12:46:21Z</dcterms:created>
  <dcterms:modified xsi:type="dcterms:W3CDTF">2024-06-11T09:29:49Z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2022-11-16T15:25:29Z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fcd98ab6-3f34-48d5-b306-7bb66459639d</vt:lpwstr>
  </property>
  <property fmtid="{D5CDD505-2E9C-101B-9397-08002B2CF9AE}" pid="8" name="MSIP_Label_8ffbc0b8-e97b-47d1-beac-cb0955d66f3b_ContentBits">
    <vt:lpwstr>2</vt:lpwstr>
  </property>
  <property fmtid="{D5CDD505-2E9C-101B-9397-08002B2CF9AE}" pid="9" name="ContentTypeId">
    <vt:lpwstr>0x010100D3FCCACABF3D6E4288FAA94952BF1762</vt:lpwstr>
  </property>
</Properties>
</file>