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tables/table1.xml" ContentType="application/vnd.openxmlformats-officedocument.spreadsheetml.table+xml"/>
  <Override PartName="/xl/charts/chartEx1.xml" ContentType="application/vnd.ms-office.chartex+xml"/>
  <Override PartName="/xl/charts/style2.xml" ContentType="application/vnd.ms-office.chartstyle+xml"/>
  <Override PartName="/xl/charts/colors2.xml" ContentType="application/vnd.ms-office.chartcolorstyle+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3.xml" ContentType="application/vnd.openxmlformats-officedocument.drawing+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ad.sigov.si\dat\MF\DZ-SAUTFS-FRONT\Obveznice\YEN 2024\3 SAMURAI 2025\ALLOCATION, IMPACT\Za objavo\"/>
    </mc:Choice>
  </mc:AlternateContent>
  <xr:revisionPtr revIDLastSave="0" documentId="13_ncr:1_{3E0F4C6A-173E-4BCD-B5E0-341800B98319}" xr6:coauthVersionLast="47" xr6:coauthVersionMax="47" xr10:uidLastSave="{00000000-0000-0000-0000-000000000000}"/>
  <bookViews>
    <workbookView xWindow="-28920" yWindow="-450" windowWidth="29040" windowHeight="15720" tabRatio="571" firstSheet="1" activeTab="4" xr2:uid="{00000000-000D-0000-FFFF-FFFF00000000}"/>
  </bookViews>
  <sheets>
    <sheet name="Drop list" sheetId="8" state="hidden" r:id="rId1"/>
    <sheet name="Summary 2024-2025" sheetId="31" r:id="rId2"/>
    <sheet name="Analysis" sheetId="36" r:id="rId3"/>
    <sheet name="Allocation aggregate" sheetId="37" r:id="rId4"/>
    <sheet name="Allocation report contracted" sheetId="38" r:id="rId5"/>
    <sheet name="Social projects (SP)" sheetId="1" r:id="rId6"/>
    <sheet name="Portfolio 1" sheetId="32" r:id="rId7"/>
    <sheet name="Portfolio 2" sheetId="33" r:id="rId8"/>
    <sheet name="Portfolio 3" sheetId="34" r:id="rId9"/>
    <sheet name="Portfolio 4" sheetId="42" r:id="rId10"/>
    <sheet name="Impact Education" sheetId="39" r:id="rId11"/>
    <sheet name="Impact Social inclusion" sheetId="41" r:id="rId12"/>
  </sheets>
  <definedNames>
    <definedName name="_xlnm._FilterDatabase" localSheetId="5" hidden="1">'Social projects (SP)'!$A$1:$R$20</definedName>
    <definedName name="_xlchart.v1.0" hidden="1">Analysis!$A$2:$A$3</definedName>
    <definedName name="_xlchart.v1.1" hidden="1">Analysis!$E$2:$E$3</definedName>
    <definedName name="Country_List">#REF!</definedName>
    <definedName name="EIB_list_of_sludge_disposal">#REF!</definedName>
    <definedName name="EIB_list_of_WWTP">#REF!</definedName>
  </definedNames>
  <calcPr calcId="191029"/>
  <pivotCaches>
    <pivotCache cacheId="0" r:id="rId13"/>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 i="39" l="1"/>
  <c r="P4" i="39"/>
  <c r="O4" i="39"/>
  <c r="D3" i="41"/>
  <c r="O3" i="39" l="1"/>
  <c r="K4" i="39"/>
  <c r="K5" i="39"/>
  <c r="K6" i="39"/>
  <c r="L3" i="39"/>
  <c r="I6" i="39"/>
  <c r="I5" i="39"/>
  <c r="J3" i="42"/>
  <c r="H3" i="42"/>
  <c r="G3" i="42"/>
  <c r="F3" i="42"/>
  <c r="E3" i="42"/>
  <c r="C3" i="42"/>
  <c r="D2" i="42"/>
  <c r="D3" i="42" s="1"/>
  <c r="E98" i="32" l="1"/>
  <c r="E99" i="32"/>
  <c r="E100" i="32"/>
  <c r="E101" i="32"/>
  <c r="E102" i="32"/>
  <c r="E103" i="32"/>
  <c r="E104" i="32"/>
  <c r="E105" i="32"/>
  <c r="E106" i="32"/>
  <c r="E107" i="32"/>
  <c r="E108" i="32"/>
  <c r="E109" i="32"/>
  <c r="E110" i="32"/>
  <c r="E111" i="32"/>
  <c r="E112" i="32"/>
  <c r="E113" i="32"/>
  <c r="E114" i="32"/>
  <c r="C3" i="41" l="1"/>
  <c r="C5" i="39"/>
  <c r="C4" i="39"/>
  <c r="E3" i="34"/>
  <c r="E2" i="34"/>
  <c r="B22" i="31"/>
  <c r="B21" i="31"/>
  <c r="B23" i="31" l="1"/>
  <c r="D6" i="38"/>
  <c r="C6" i="38"/>
  <c r="E4" i="38"/>
  <c r="E5" i="38"/>
  <c r="E3" i="38"/>
  <c r="D6" i="37"/>
  <c r="C6" i="37"/>
  <c r="E4" i="37"/>
  <c r="D3" i="36"/>
  <c r="B67" i="36"/>
  <c r="B68" i="36"/>
  <c r="B66" i="36"/>
  <c r="E6" i="38" l="1"/>
  <c r="B69" i="36"/>
  <c r="O7" i="1"/>
  <c r="N2" i="1"/>
  <c r="N4" i="1"/>
  <c r="N5" i="1"/>
  <c r="G5" i="39" s="1"/>
  <c r="J5" i="39" s="1"/>
  <c r="O5" i="39" s="1"/>
  <c r="N6" i="1"/>
  <c r="G6" i="39" s="1"/>
  <c r="J6" i="39" l="1"/>
  <c r="J4" i="39"/>
  <c r="Q2" i="1"/>
  <c r="E3" i="41"/>
  <c r="E11" i="38"/>
  <c r="E12" i="38" s="1"/>
  <c r="C12" i="38"/>
  <c r="D12" i="38"/>
  <c r="E5" i="37"/>
  <c r="C4" i="36"/>
  <c r="G12" i="36" s="1"/>
  <c r="B4" i="36"/>
  <c r="F12" i="36" s="1"/>
  <c r="H12" i="36" s="1"/>
  <c r="D2" i="36"/>
  <c r="G3" i="41" l="1"/>
  <c r="F3" i="41"/>
  <c r="I3" i="41" s="1"/>
  <c r="E6" i="37"/>
  <c r="F4" i="37" s="1"/>
  <c r="F12" i="38"/>
  <c r="D4" i="36"/>
  <c r="F5" i="37" l="1"/>
  <c r="E2" i="36"/>
  <c r="E3" i="36"/>
  <c r="E4" i="36" l="1"/>
  <c r="E3" i="33"/>
  <c r="E3" i="32"/>
  <c r="E4" i="32"/>
  <c r="E5" i="32"/>
  <c r="E10" i="32"/>
  <c r="E12" i="32"/>
  <c r="E13" i="32"/>
  <c r="E15" i="32"/>
  <c r="E16" i="32"/>
  <c r="E18" i="32"/>
  <c r="E20" i="32"/>
  <c r="E21" i="32"/>
  <c r="E28" i="32"/>
  <c r="E29" i="32"/>
  <c r="E30" i="32"/>
  <c r="E31" i="32"/>
  <c r="E32" i="32"/>
  <c r="E33" i="32"/>
  <c r="E34" i="32"/>
  <c r="E35" i="32"/>
  <c r="E37" i="32"/>
  <c r="E38" i="32"/>
  <c r="E40" i="32"/>
  <c r="E42" i="32"/>
  <c r="E44" i="32"/>
  <c r="E45" i="32"/>
  <c r="E48" i="32"/>
  <c r="E53" i="32"/>
  <c r="E55" i="32"/>
  <c r="E56" i="32"/>
  <c r="E57" i="32"/>
  <c r="E61" i="32"/>
  <c r="E62" i="32"/>
  <c r="E63" i="32"/>
  <c r="E64" i="32"/>
  <c r="E66" i="32"/>
  <c r="E67" i="32"/>
  <c r="E69" i="32"/>
  <c r="E72" i="32"/>
  <c r="E74" i="32"/>
  <c r="E76" i="32"/>
  <c r="E77" i="32"/>
  <c r="E78" i="32"/>
  <c r="E80" i="32"/>
  <c r="E83" i="32"/>
  <c r="E84" i="32"/>
  <c r="E85" i="32"/>
  <c r="E87" i="32"/>
  <c r="E90" i="32"/>
  <c r="E93" i="32"/>
  <c r="E96" i="32"/>
  <c r="E97" i="32"/>
  <c r="E52" i="32" l="1"/>
  <c r="E22" i="32"/>
  <c r="E86" i="32"/>
  <c r="E81" i="32"/>
  <c r="E59" i="32"/>
  <c r="E54" i="32"/>
  <c r="E49" i="32"/>
  <c r="E27" i="32"/>
  <c r="E89" i="32"/>
  <c r="E17" i="32"/>
  <c r="E7" i="32"/>
  <c r="E91" i="32"/>
  <c r="E88" i="32"/>
  <c r="E71" i="32"/>
  <c r="E39" i="32"/>
  <c r="E24" i="32"/>
  <c r="E19" i="32"/>
  <c r="E14" i="32"/>
  <c r="E9" i="32"/>
  <c r="E94" i="32"/>
  <c r="E79" i="32"/>
  <c r="E47" i="32"/>
  <c r="E73" i="32"/>
  <c r="E68" i="32"/>
  <c r="E58" i="32"/>
  <c r="E51" i="32"/>
  <c r="E46" i="32"/>
  <c r="E41" i="32"/>
  <c r="E36" i="32"/>
  <c r="E6" i="32"/>
  <c r="E26" i="32"/>
  <c r="E23" i="32"/>
  <c r="E11" i="32"/>
  <c r="E8" i="32"/>
  <c r="E95" i="32"/>
  <c r="E82" i="32"/>
  <c r="E75" i="32"/>
  <c r="E70" i="32"/>
  <c r="E65" i="32"/>
  <c r="E60" i="32"/>
  <c r="E50" i="32"/>
  <c r="E43" i="32"/>
  <c r="E92" i="32"/>
  <c r="E25" i="32"/>
  <c r="N3" i="1"/>
  <c r="Q3" i="1" l="1"/>
  <c r="P7" i="1"/>
  <c r="F4" i="34"/>
  <c r="F4" i="33"/>
  <c r="D4" i="33"/>
  <c r="N7" i="1" l="1"/>
  <c r="G4" i="33"/>
  <c r="E2" i="32"/>
  <c r="G4" i="34"/>
  <c r="C115" i="32"/>
  <c r="Q6" i="1" s="1"/>
  <c r="C4" i="34"/>
  <c r="Q5" i="1" s="1"/>
  <c r="E2" i="33"/>
  <c r="E4" i="33" s="1"/>
  <c r="C4" i="33"/>
  <c r="Q4" i="1" s="1"/>
  <c r="D4" i="34"/>
  <c r="E4" i="34"/>
  <c r="D115" i="32"/>
  <c r="F115" i="32"/>
  <c r="G115" i="32"/>
  <c r="D6" i="39" l="1"/>
  <c r="L6" i="39" s="1"/>
  <c r="D5" i="39"/>
  <c r="L5" i="39" s="1"/>
  <c r="D4" i="39"/>
  <c r="L4" i="39" s="1"/>
  <c r="E115" i="32"/>
  <c r="L7" i="1"/>
  <c r="M7" i="1" l="1"/>
</calcChain>
</file>

<file path=xl/sharedStrings.xml><?xml version="1.0" encoding="utf-8"?>
<sst xmlns="http://schemas.openxmlformats.org/spreadsheetml/2006/main" count="625" uniqueCount="505">
  <si>
    <t xml:space="preserve">Project nr. </t>
  </si>
  <si>
    <t xml:space="preserve">NRP nr. </t>
  </si>
  <si>
    <t xml:space="preserve">Project name </t>
  </si>
  <si>
    <t xml:space="preserve">Description and rationale for social eligibility </t>
  </si>
  <si>
    <t xml:space="preserve"> 
SBP Category</t>
  </si>
  <si>
    <t>Sub-category</t>
  </si>
  <si>
    <t>UN SDG goal</t>
  </si>
  <si>
    <t>Type of expenditure</t>
  </si>
  <si>
    <t>Beneficiary</t>
  </si>
  <si>
    <t xml:space="preserve">Target Population </t>
  </si>
  <si>
    <t>Phase of the project</t>
  </si>
  <si>
    <t>Total project amount (EUR)</t>
  </si>
  <si>
    <t>Total RS financing amount (EUR)</t>
  </si>
  <si>
    <t>Responsible Ministry</t>
  </si>
  <si>
    <t xml:space="preserve">Access to Essential Services - Healthcare </t>
  </si>
  <si>
    <t>Industry, innovation and infrastructure</t>
  </si>
  <si>
    <t xml:space="preserve">investment expenditure </t>
  </si>
  <si>
    <t>Execution</t>
  </si>
  <si>
    <t>11. All population</t>
  </si>
  <si>
    <t>Planning</t>
  </si>
  <si>
    <t xml:space="preserve">intervention expenditure </t>
  </si>
  <si>
    <t>Good health and well-being</t>
  </si>
  <si>
    <t xml:space="preserve">operating expenditure </t>
  </si>
  <si>
    <t>Access to Essential Services - Social Inclusion</t>
  </si>
  <si>
    <t>Social activation</t>
  </si>
  <si>
    <t>Reduced inequalities</t>
  </si>
  <si>
    <t>Ministry of Labour, Family, Social Affairs and Equal Opportunities</t>
  </si>
  <si>
    <t xml:space="preserve">Access to Essential Services - Education </t>
  </si>
  <si>
    <t>Performance/monitoring</t>
  </si>
  <si>
    <t>subsidies, grant, loans</t>
  </si>
  <si>
    <t>Conception and initiation</t>
  </si>
  <si>
    <t>Ministry of Education</t>
  </si>
  <si>
    <t>Ministry of Solidarity-Based Future</t>
  </si>
  <si>
    <t>Decent work and economic growth</t>
  </si>
  <si>
    <t>Sustainable cities and communities</t>
  </si>
  <si>
    <t>Ministry of Natural Resources and Spatial Planning</t>
  </si>
  <si>
    <t>EU taxonomy goal</t>
  </si>
  <si>
    <t>EU taxonomy clasification</t>
  </si>
  <si>
    <t>Low carbon transportation</t>
  </si>
  <si>
    <t>Climate change mitigation</t>
  </si>
  <si>
    <t>Ministry of the Environment, Climate and Energy</t>
  </si>
  <si>
    <t>Ministry of Infrastructure</t>
  </si>
  <si>
    <t>Project closure</t>
  </si>
  <si>
    <t xml:space="preserve">Sustainable Envrionmental Management </t>
  </si>
  <si>
    <t>Responsible consumption and production</t>
  </si>
  <si>
    <t>Ministry of Agriculture, Forestry and Food</t>
  </si>
  <si>
    <t>SBC</t>
  </si>
  <si>
    <t>Skupna vsota</t>
  </si>
  <si>
    <t>GBP</t>
  </si>
  <si>
    <t>SDG</t>
  </si>
  <si>
    <t>Ministry</t>
  </si>
  <si>
    <t xml:space="preserve">Energy Transition </t>
  </si>
  <si>
    <t>No poverty</t>
  </si>
  <si>
    <t>Pollution prevention and control</t>
  </si>
  <si>
    <t>Zero hunger</t>
  </si>
  <si>
    <t>Ministry of Health</t>
  </si>
  <si>
    <t>Terrestrial and aquatic biodiversity conservation</t>
  </si>
  <si>
    <t>Quality education</t>
  </si>
  <si>
    <t>Ministry of Higher Education, Science and Innovation</t>
  </si>
  <si>
    <t>Gender equality</t>
  </si>
  <si>
    <t>Water and wastewater management</t>
  </si>
  <si>
    <t>Clean water and sanitation</t>
  </si>
  <si>
    <t>Climate change adaptation</t>
  </si>
  <si>
    <t>Affordable and clean energy</t>
  </si>
  <si>
    <t xml:space="preserve">Eco-efficient and/or circular economy </t>
  </si>
  <si>
    <t xml:space="preserve">Energy Efficiency </t>
  </si>
  <si>
    <t>Ministry of the Economy, Tourism and Sport</t>
  </si>
  <si>
    <t>R and I</t>
  </si>
  <si>
    <t>Phases of a project</t>
  </si>
  <si>
    <t>Climate action</t>
  </si>
  <si>
    <t>SBP</t>
  </si>
  <si>
    <t>Life below water</t>
  </si>
  <si>
    <t>Life on land</t>
  </si>
  <si>
    <t>Affordable housing</t>
  </si>
  <si>
    <t xml:space="preserve">Employment Generation and Socioeconomic Advancement and Empowerment </t>
  </si>
  <si>
    <t>SDS 2030</t>
  </si>
  <si>
    <t>An inclusive, healthy, safe and responsible society</t>
  </si>
  <si>
    <t>1. Forestry</t>
  </si>
  <si>
    <t>Learning for and through life</t>
  </si>
  <si>
    <t>1.1. Afforestation</t>
  </si>
  <si>
    <t>A highly productive economy that creates added value for all</t>
  </si>
  <si>
    <t>1.2. Rehabilitation and restoration of forests, including reforestation and natural forest regeneration after an extreme event</t>
  </si>
  <si>
    <t>Well-preserved natural environment</t>
  </si>
  <si>
    <t>1.3. Forest management</t>
  </si>
  <si>
    <t>High level cooperation, competence and governance efficiency</t>
  </si>
  <si>
    <t>1.4. Conservation forestry</t>
  </si>
  <si>
    <t>2. Environmental protection and restoration activities</t>
  </si>
  <si>
    <t>2.1. Restoration of wetlands</t>
  </si>
  <si>
    <t>3. Manufacturing</t>
  </si>
  <si>
    <t>3.1. Manufacture of renewable energy technologies</t>
  </si>
  <si>
    <t>3.2. Manufacture of equipment for the production and use of hydrogen</t>
  </si>
  <si>
    <t>3.3. Manufacture of low carbon technologies for transport</t>
  </si>
  <si>
    <t>Sustainable use and protection of water and marine resources</t>
  </si>
  <si>
    <t>3.4. Manufacture of batteries</t>
  </si>
  <si>
    <t>Transition to a circular economy</t>
  </si>
  <si>
    <t>3.5. Manufacture of energy efficiency equipment for buildings</t>
  </si>
  <si>
    <t>3.6. Manufacture of other low carbon technologies</t>
  </si>
  <si>
    <t>Protection and restoration of biodiversity and ecosystems</t>
  </si>
  <si>
    <t>3.7. Manufacture of cement</t>
  </si>
  <si>
    <t>3.8. Manufacture of aluminium</t>
  </si>
  <si>
    <t>3.9. Manufacture of iron and steel</t>
  </si>
  <si>
    <t>3.10. Manufacture of hydrogen</t>
  </si>
  <si>
    <t>3.11. Manufacture of carbon black</t>
  </si>
  <si>
    <t>3.12. Manufacture of soda ash</t>
  </si>
  <si>
    <t>3.13. Manufacture of chlorine</t>
  </si>
  <si>
    <t>3.14. Manufacture of organic basic chemicals</t>
  </si>
  <si>
    <t xml:space="preserve">tax expenditure </t>
  </si>
  <si>
    <t>3.15. Manufacture of anhydrous ammonia</t>
  </si>
  <si>
    <t>3.16. Manufacture of nitric acid</t>
  </si>
  <si>
    <t>3.17. Manufacture of plastics in primary form</t>
  </si>
  <si>
    <t>4. Energy</t>
  </si>
  <si>
    <t>4.1. Electricity generation using solar photovoltaic technology</t>
  </si>
  <si>
    <t>4.2. Electricity generation using concentrated solar power (CSP) technology</t>
  </si>
  <si>
    <t>4.3. Electricity generation from wind power</t>
  </si>
  <si>
    <t>4.4. Electricity generation from ocean energy technologies</t>
  </si>
  <si>
    <t>4.5. Electricity generation from hydropower</t>
  </si>
  <si>
    <t>4.6. Electricity generation from geothermal energy</t>
  </si>
  <si>
    <t>4.7. Electricity generation from renewable non-fossil gaseous and liquid fuels</t>
  </si>
  <si>
    <t>4.8. Electricity generation from bioenergy</t>
  </si>
  <si>
    <t>4.9. Transmission and distribution of electricity</t>
  </si>
  <si>
    <t>4.10. Storage of electricity</t>
  </si>
  <si>
    <t>4.11. Storage of thermal energy</t>
  </si>
  <si>
    <t>4.12. Storage of hydrogen</t>
  </si>
  <si>
    <t>4.13. Manufacture of biogas and biofuels for use in transport and of bioliquids</t>
  </si>
  <si>
    <t>4.14. Transmission and distribution networks for renewable and low-carbon gases</t>
  </si>
  <si>
    <t>4.15. District heating/cooling distribution</t>
  </si>
  <si>
    <t>4.16. Installation and operation of electric heat pumps</t>
  </si>
  <si>
    <t>4.17. Cogeneration of heat/cool and power from solar energy</t>
  </si>
  <si>
    <t>4.18. Cogeneration of heat/cool and power from geothermal energy</t>
  </si>
  <si>
    <t>4.19. Cogeneration of heat/cool and power from renewable non-fossil gaseous and liquid fuels</t>
  </si>
  <si>
    <t>4.20. Cogeneration of heat/cool and power from bioenergy</t>
  </si>
  <si>
    <t>4.21. Production of heat/cool from solar thermal heating</t>
  </si>
  <si>
    <t>4.22. Production of heat/cool from geothermal energy</t>
  </si>
  <si>
    <t>4.23. Production of heat/cool from renewable non-fossil gaseous and liquid fuels</t>
  </si>
  <si>
    <t>4.24. Production of heat/cool from bioenergy</t>
  </si>
  <si>
    <t>4.25. Production of heat/cool using waste heat</t>
  </si>
  <si>
    <t>5. Water supply, sewerage, waste management and remediation</t>
  </si>
  <si>
    <t>5.1. Construction, extension and operation of water collection, treatment and supply systems</t>
  </si>
  <si>
    <t>5.2. Renewal of water collection, treatment and supply systems</t>
  </si>
  <si>
    <t>5.3. Construction, extension and operation of waste water collection and treatment</t>
  </si>
  <si>
    <t>5.4. Renewal of waste water collection and treatment</t>
  </si>
  <si>
    <t>5.5. Collection and transport of non-hazardous waste in source segregated fractions</t>
  </si>
  <si>
    <t>5.6. Anaerobic digestion of sewage sludge</t>
  </si>
  <si>
    <t>5.7. Anaerobic digestion of bio-waste</t>
  </si>
  <si>
    <t>5.8. Composting of bio-waste</t>
  </si>
  <si>
    <t>5.9. Material recovery from non-hazardous waste</t>
  </si>
  <si>
    <t>5.10. Landfill gas capture and utilisation</t>
  </si>
  <si>
    <t>5.11. Transport of CO2</t>
  </si>
  <si>
    <t>5.12. Underground permanent geological storage of CO2</t>
  </si>
  <si>
    <t>6. Transport</t>
  </si>
  <si>
    <t>6.1. Passenger interurban rail transport</t>
  </si>
  <si>
    <t>6.2. Freight rail transport</t>
  </si>
  <si>
    <t>6.3. Urban and suburban transport, road passenger transport</t>
  </si>
  <si>
    <t>6.4. Operation of personal mobility devices, cycle logistics</t>
  </si>
  <si>
    <t>6.5. Transport by motorbikes, passenger cars and light commercial vehicles</t>
  </si>
  <si>
    <t>6.6. Freight transport services by road</t>
  </si>
  <si>
    <t>6.7. Inland passenger water transport</t>
  </si>
  <si>
    <t>6.8. Inland freight water transport</t>
  </si>
  <si>
    <t>6.9. Retrofitting of inland water passenger and freight transport</t>
  </si>
  <si>
    <t>6.10. Sea and coastal freight water transport, vessels for port operations and auxiliary activities</t>
  </si>
  <si>
    <t>6.11. Sea and coastal passenger water transport</t>
  </si>
  <si>
    <t>6.12. Retrofitting of sea and coastal freight and passenger water transport</t>
  </si>
  <si>
    <t>6.13. Infrastructure for personal mobility, cycle logistics</t>
  </si>
  <si>
    <t>6.14. Infrastructure for rail transport</t>
  </si>
  <si>
    <t>6.15. Infrastructure enabling low-carbon road transport and public transport</t>
  </si>
  <si>
    <t>6.16. Infrastructure enabling low carbon water transport</t>
  </si>
  <si>
    <t>6.17. Low carbon airport infrastructure</t>
  </si>
  <si>
    <t>7. Construction and real estate activities</t>
  </si>
  <si>
    <t>7.1. Construction of new buildings</t>
  </si>
  <si>
    <t>7.2. Renovation of existing buildings</t>
  </si>
  <si>
    <t>7.3. Installation, maintenance and repair of energy efficiency equipment</t>
  </si>
  <si>
    <t>7.4. Installation, maintenance and repair of charging stations for electric vehicles in buildings (and parking spaces attached to buildings)</t>
  </si>
  <si>
    <t>7.5. Installation, maintenance and repair of instruments and devices for measuring, regulation and controlling energy performance of buildings</t>
  </si>
  <si>
    <t>7.6. Installation, maintenance and repair of renewable energy technologies</t>
  </si>
  <si>
    <t>7.7. Acquisition and ownership of buildings</t>
  </si>
  <si>
    <t>8. Information and communication</t>
  </si>
  <si>
    <t>8.1. Data processing, hosting and related activities</t>
  </si>
  <si>
    <t>8.2. Data-driven solutions for GHG emissions reductions</t>
  </si>
  <si>
    <t>9. Professional, scientific and technical activities</t>
  </si>
  <si>
    <t>9.1. Close to market research, development and innovation</t>
  </si>
  <si>
    <t>9.2. Research, development and innovation for direct air capture of CO2</t>
  </si>
  <si>
    <t>9.3. Professional services related to energy performance of buildings</t>
  </si>
  <si>
    <t>Asilium centres</t>
  </si>
  <si>
    <t>RS financing 2024 (EUR)</t>
  </si>
  <si>
    <t>1542-21-0001</t>
  </si>
  <si>
    <t>Government Office for the Support and Integration of Migrants</t>
  </si>
  <si>
    <t>3311-11-0002</t>
  </si>
  <si>
    <t>3311-11-0016</t>
  </si>
  <si>
    <t>3311-11-0019</t>
  </si>
  <si>
    <t>Increasing children's participation in pre-school education, which also ensures better results in further education</t>
  </si>
  <si>
    <t xml:space="preserve">Shorter programs for preschool children not included in kindergarten. </t>
  </si>
  <si>
    <t>Pre-school</t>
  </si>
  <si>
    <t>Provision of cheaper or free school meals for primary school students with lower socieoeconomic status</t>
  </si>
  <si>
    <t>Ensuring quality school nutrition affects the optimal development of students, the development of awareness of healthy eating and eating culture, education and training for a responsible attitude towards themselves, their health and the environment. Students from socially less stimulating backgrounds are provided with a cheaper or free meal of school meals with a subsidy.</t>
  </si>
  <si>
    <t>Primary school</t>
  </si>
  <si>
    <t>Provision of cheaper or free school meals for secondary school students with lower socieoeconomic status</t>
  </si>
  <si>
    <t>Students from socially less stimulating backgrounds are provided with a cheaper or free meal of school lunch with a subsidy, which has a favorable effect on their psycho-physical development and on the development of awareness of healthy eating and eating culture.</t>
  </si>
  <si>
    <t>Secondary school</t>
  </si>
  <si>
    <t>children and their families</t>
  </si>
  <si>
    <t>All population and vulnerable families</t>
  </si>
  <si>
    <t>Pupils in primary schools and their families</t>
  </si>
  <si>
    <t>Population with lower income</t>
  </si>
  <si>
    <t>3350-25-0008</t>
  </si>
  <si>
    <t>Subvencioniranje prehrane učencev 2025 - 2028</t>
  </si>
  <si>
    <t xml:space="preserve">NRP. Nr. </t>
  </si>
  <si>
    <t>Project name</t>
  </si>
  <si>
    <t>RS financing amount (EUR)</t>
  </si>
  <si>
    <t>3330-21-0039</t>
  </si>
  <si>
    <t>3330-21-8242</t>
  </si>
  <si>
    <t>3330-21-8225</t>
  </si>
  <si>
    <t>3330-21-8279</t>
  </si>
  <si>
    <t>3330-21-8240</t>
  </si>
  <si>
    <t>3330-21-8256</t>
  </si>
  <si>
    <t>3330-21-0035</t>
  </si>
  <si>
    <t>3330-21-8249</t>
  </si>
  <si>
    <t>3330-21-8304</t>
  </si>
  <si>
    <t>3330-21-8258</t>
  </si>
  <si>
    <t>3330-21-8246</t>
  </si>
  <si>
    <t>3330-21-8288</t>
  </si>
  <si>
    <t>3330-21-0040</t>
  </si>
  <si>
    <t>2130-20-3339</t>
  </si>
  <si>
    <t>3330-21-0053</t>
  </si>
  <si>
    <t>Bond eligible amount (EUR)
Σ 24+25</t>
  </si>
  <si>
    <t>RS financing 2025 (EUR)</t>
  </si>
  <si>
    <t xml:space="preserve">Purchase, construction, refurbishment and equipment investments in kindergartens and primary schools
</t>
  </si>
  <si>
    <t>Co-financing of 126 of investments in kindergartens and primary education in the Republic of Slovenia in the budget period 2024-2025.</t>
  </si>
  <si>
    <t xml:space="preserve">Investment expenditure </t>
  </si>
  <si>
    <t>Communities</t>
  </si>
  <si>
    <t>Portfolio 2</t>
  </si>
  <si>
    <t>Portfolio 3</t>
  </si>
  <si>
    <t>Portfolio 1</t>
  </si>
  <si>
    <t xml:space="preserve">Category </t>
  </si>
  <si>
    <t>Total (€)</t>
  </si>
  <si>
    <t>Share (%)</t>
  </si>
  <si>
    <t xml:space="preserve">Total green and social categories: </t>
  </si>
  <si>
    <t>Refinancing</t>
  </si>
  <si>
    <t>Financing</t>
  </si>
  <si>
    <t>Total</t>
  </si>
  <si>
    <t>(Vse)</t>
  </si>
  <si>
    <t>Oznake vrstic</t>
  </si>
  <si>
    <t>Allocated amount</t>
  </si>
  <si>
    <t>Category</t>
  </si>
  <si>
    <t>SDGs/EU Environmental Objective</t>
  </si>
  <si>
    <t xml:space="preserve">Total social categories: </t>
  </si>
  <si>
    <t>2024 (€)</t>
  </si>
  <si>
    <t>Year</t>
  </si>
  <si>
    <t>Project Category</t>
  </si>
  <si>
    <t>Allocated in 2024 (€)</t>
  </si>
  <si>
    <t>Allocated in 2025(€)</t>
  </si>
  <si>
    <t>Access to Essential Services -Education</t>
  </si>
  <si>
    <t>Vsota od Bond eligible amount (EUR)
Σ 24+25</t>
  </si>
  <si>
    <t>Access to Essential Services - Education</t>
  </si>
  <si>
    <t>2025 (€)</t>
  </si>
  <si>
    <t>Total 2024-25
 (€)</t>
  </si>
  <si>
    <t>Total 2024-25 (€)</t>
  </si>
  <si>
    <t xml:space="preserve">Graphs </t>
  </si>
  <si>
    <t xml:space="preserve">Eligible Category </t>
  </si>
  <si>
    <t xml:space="preserve">Total expenditures identified by category </t>
  </si>
  <si>
    <t>Social bond allocation as % of total project amount</t>
  </si>
  <si>
    <t>Education</t>
  </si>
  <si>
    <t>Project no.</t>
  </si>
  <si>
    <t>School Type</t>
  </si>
  <si>
    <t>Description</t>
  </si>
  <si>
    <t>Total project financing (RS &amp; other sources)</t>
  </si>
  <si>
    <t>% Allocated of Total Project Financing</t>
  </si>
  <si>
    <t>n/a</t>
  </si>
  <si>
    <t>Financed Number of Beneficiaries</t>
  </si>
  <si>
    <t>n/a (Co-financing of 126 of investments in kindergartens and primary education in the Republic of Slovenia in the budget period 2024-2025)</t>
  </si>
  <si>
    <t>2180-24-6714</t>
  </si>
  <si>
    <t>2180-24-6715</t>
  </si>
  <si>
    <t>2570-26-0001</t>
  </si>
  <si>
    <t>3330-21-0042</t>
  </si>
  <si>
    <t>3350-26-0010</t>
  </si>
  <si>
    <t>3350-26-0011</t>
  </si>
  <si>
    <t>3350-26-0012</t>
  </si>
  <si>
    <t>3350-26-0013</t>
  </si>
  <si>
    <t>3350-26-0014</t>
  </si>
  <si>
    <t>3350-26-0015</t>
  </si>
  <si>
    <t>3350-26-0016</t>
  </si>
  <si>
    <t>3350-26-0017</t>
  </si>
  <si>
    <t>3350-26-0018</t>
  </si>
  <si>
    <t>3350-26-0019</t>
  </si>
  <si>
    <t>3350-26-0020</t>
  </si>
  <si>
    <t>3350-26-0021</t>
  </si>
  <si>
    <t>3350-26-0022</t>
  </si>
  <si>
    <t>3350-26-0023</t>
  </si>
  <si>
    <t>3350-26-0024</t>
  </si>
  <si>
    <t>3350-26-0025</t>
  </si>
  <si>
    <t>3350-26-0026</t>
  </si>
  <si>
    <t>3350-26-0027</t>
  </si>
  <si>
    <t>3350-26-0028</t>
  </si>
  <si>
    <t>3350-26-0029</t>
  </si>
  <si>
    <t>3350-26-0030</t>
  </si>
  <si>
    <t>3350-26-0031</t>
  </si>
  <si>
    <t>3350-26-0032</t>
  </si>
  <si>
    <t>3350-26-0033</t>
  </si>
  <si>
    <t>3350-26-0034</t>
  </si>
  <si>
    <t>3350-26-0035</t>
  </si>
  <si>
    <t>3350-26-0036</t>
  </si>
  <si>
    <t>3350-26-0037</t>
  </si>
  <si>
    <t>3350-26-0038</t>
  </si>
  <si>
    <t>3350-26-0039</t>
  </si>
  <si>
    <t>3350-26-0041</t>
  </si>
  <si>
    <t>3350-26-0042</t>
  </si>
  <si>
    <t>3350-26-0043</t>
  </si>
  <si>
    <t>3350-26-0044</t>
  </si>
  <si>
    <t>3350-26-0045</t>
  </si>
  <si>
    <t>3350-26-0046</t>
  </si>
  <si>
    <t>3350-26-0047</t>
  </si>
  <si>
    <t>3350-26-0048</t>
  </si>
  <si>
    <t>3350-26-0049</t>
  </si>
  <si>
    <t>3350-26-0050</t>
  </si>
  <si>
    <t>3350-26-0051</t>
  </si>
  <si>
    <t>3350-26-0052</t>
  </si>
  <si>
    <t>3350-26-0053</t>
  </si>
  <si>
    <t>3350-26-0054</t>
  </si>
  <si>
    <t>3350-26-0055</t>
  </si>
  <si>
    <t>3350-26-0056</t>
  </si>
  <si>
    <t>3350-26-0057</t>
  </si>
  <si>
    <t>3350-26-0058</t>
  </si>
  <si>
    <t>3350-26-0059</t>
  </si>
  <si>
    <t>3350-26-0060</t>
  </si>
  <si>
    <t>3350-26-0061</t>
  </si>
  <si>
    <t>3350-26-0062</t>
  </si>
  <si>
    <t>3350-26-0063</t>
  </si>
  <si>
    <t>3350-26-0064</t>
  </si>
  <si>
    <t>3350-26-0065</t>
  </si>
  <si>
    <t>3350-26-0066</t>
  </si>
  <si>
    <t>3350-26-0067</t>
  </si>
  <si>
    <t>3350-26-0068</t>
  </si>
  <si>
    <t>3350-26-0069</t>
  </si>
  <si>
    <t>3350-26-0070</t>
  </si>
  <si>
    <t>3350-26-0071</t>
  </si>
  <si>
    <t>3350-26-0072</t>
  </si>
  <si>
    <t>3350-26-0073</t>
  </si>
  <si>
    <t>3350-26-0074</t>
  </si>
  <si>
    <t>3350-26-0075</t>
  </si>
  <si>
    <t>3350-26-0076</t>
  </si>
  <si>
    <t>3350-26-0077</t>
  </si>
  <si>
    <t>3350-26-0078</t>
  </si>
  <si>
    <t>3350-26-0079</t>
  </si>
  <si>
    <t>3350-26-0080</t>
  </si>
  <si>
    <t>3350-26-0081</t>
  </si>
  <si>
    <t>3350-26-0082</t>
  </si>
  <si>
    <t>3350-26-0083</t>
  </si>
  <si>
    <t>ŠALOVCI Novogradnja vrtca</t>
  </si>
  <si>
    <t>3350-26-0084</t>
  </si>
  <si>
    <t>ŠEMPETER - VRTOJBA gradnja Podružnične GŠ Šempeter</t>
  </si>
  <si>
    <t>3350-26-0085</t>
  </si>
  <si>
    <t>ŠENČUR Rekonstrukcija podstrešja OŠ Šenčur</t>
  </si>
  <si>
    <t>3350-26-0086</t>
  </si>
  <si>
    <t>3350-26-0087</t>
  </si>
  <si>
    <t>ŠENTJUR Dozidava enote vrtca Dramlje</t>
  </si>
  <si>
    <t>3350-26-0088</t>
  </si>
  <si>
    <t>ŠKOCJAN Novogradnja športne dvorane</t>
  </si>
  <si>
    <t>3350-26-0089</t>
  </si>
  <si>
    <t>ŠKOFLJICA Prizidava OŠ Škofljica</t>
  </si>
  <si>
    <t>3350-26-0090</t>
  </si>
  <si>
    <t>ŠMARJE PRI JELŠAH Novogradnja telovadnice - I.faza</t>
  </si>
  <si>
    <t>3350-26-0091</t>
  </si>
  <si>
    <t>ŠMARTNO PRI LITIJI Novogradnja vrtca Šmartno</t>
  </si>
  <si>
    <t>3350-26-0092</t>
  </si>
  <si>
    <t>TABOR Dozidava POŠ Tabor</t>
  </si>
  <si>
    <t>3350-26-0093</t>
  </si>
  <si>
    <t>TIŠINA Novogradnja telovadnice pri OŠ</t>
  </si>
  <si>
    <t>3350-26-0094</t>
  </si>
  <si>
    <t>TOLMIN Novogradnja vrtca Most na Soči</t>
  </si>
  <si>
    <t>3350-26-0095</t>
  </si>
  <si>
    <t>TRBOVLJE Nadzidava OŠ Trbovlje</t>
  </si>
  <si>
    <t>3350-26-0096</t>
  </si>
  <si>
    <t>VELIKE LAŠČE Dozidava OŠ Primoža Trubarja</t>
  </si>
  <si>
    <t>3350-26-0097</t>
  </si>
  <si>
    <t>VIDEM Novogradnja vrtca Videm pri Ptuju</t>
  </si>
  <si>
    <t>3350-26-0098</t>
  </si>
  <si>
    <t>VODICE Rekonstrukcija in dozidava POŠ Utik</t>
  </si>
  <si>
    <t>3350-26-0099</t>
  </si>
  <si>
    <t>VOJNIK Rekonstrukcija in dozidava OŠ</t>
  </si>
  <si>
    <t>3350-26-0100</t>
  </si>
  <si>
    <t>ZAGORJE OB SAVI Prizidava OŠ dr. Slavka Gruma</t>
  </si>
  <si>
    <t>3350-26-0101</t>
  </si>
  <si>
    <t>ZAGORJE OB SAVI Prizidava OŠ Toneta Okrogarja</t>
  </si>
  <si>
    <t>3350-26-0102</t>
  </si>
  <si>
    <t xml:space="preserve"> ŽALEC Novogradnja vrtca Ponikva</t>
  </si>
  <si>
    <t>3350-26-0103</t>
  </si>
  <si>
    <t xml:space="preserve"> ŽUŽEMBERK Ureditev mansarde POŠ Dvor</t>
  </si>
  <si>
    <t>3350-26-0104</t>
  </si>
  <si>
    <t>TREBNJE Novogradnja telovadnice ob OŠ Veliki Gaber</t>
  </si>
  <si>
    <t>Construction of a gym at the Škofja Loka Elementary School - Mesto</t>
  </si>
  <si>
    <t>Extension of the Dragatuš Primary School</t>
  </si>
  <si>
    <t>Extension of Mokronožci Kindergarten</t>
  </si>
  <si>
    <t>Construction of a new Mirna Kindergarten</t>
  </si>
  <si>
    <t>Extension of CVIU Velenje</t>
  </si>
  <si>
    <t>Construction of an extension to the central Ig Kindergarten</t>
  </si>
  <si>
    <t>Kindergarten unit Lovrenc na Dravskem polju</t>
  </si>
  <si>
    <t>Construction of a new Kurirček kindergarten unit in the Municipality of Logatec</t>
  </si>
  <si>
    <t>School campus – Muta Kindergarten</t>
  </si>
  <si>
    <t>Provision of premises for Radovljica Kindergarten</t>
  </si>
  <si>
    <t>Construction of a new kindergarten in the Municipality of Sveti Jurij ob Ščavnici</t>
  </si>
  <si>
    <t>Divača Primary School – extension</t>
  </si>
  <si>
    <t>Construction of a school sports hall in Rimske Toplice</t>
  </si>
  <si>
    <t>Structural rehabilitation and renovation of Pod Goro Primary School</t>
  </si>
  <si>
    <t>AJDOVŠČINA Construction of a new Šturje Primary School</t>
  </si>
  <si>
    <t>ANKARAN Expansion of the primary school and kindergarten Ankaran – Phase I</t>
  </si>
  <si>
    <t>CANKOVA Extension of Cankova Primary School</t>
  </si>
  <si>
    <t>DIVAČA Extension of Vreme Branch Primary School</t>
  </si>
  <si>
    <t>DOBROVA-POLHOV GRADEC Extension of the kindergarten and Dobrova Primary School</t>
  </si>
  <si>
    <t>DOBROVNIK Extension of the bilingual Dobrovnik Primary School</t>
  </si>
  <si>
    <t>DOMŽALE Reconstruction of Urša Kindergarten</t>
  </si>
  <si>
    <t>DOMŽALE Extension and reconstruction of Roje Primary School</t>
  </si>
  <si>
    <t>DRAVOGRAD Construction of a new Šentjanž pri Dravogradu Primary School</t>
  </si>
  <si>
    <t>GORENJA VAS-POLJANE Construction of a new Javorje branch primary school</t>
  </si>
  <si>
    <t>HRPELJE - KOZINA Construction of a new Hrpelje Kindergarten</t>
  </si>
  <si>
    <t>IG Reconstruction and extension of Tomišelj Branch Primary School</t>
  </si>
  <si>
    <t>IVANČNA GORICA Extension of Višnja Gora Branch Primary School</t>
  </si>
  <si>
    <t>IZOLA Addition of an extra floor to Dante Alighieri Primary School</t>
  </si>
  <si>
    <t>JESENICE Construction of a new Julka Pibernik Kindergarten unit</t>
  </si>
  <si>
    <t>KAMNIK Reconstruction and extension of Gozd Branch Primary School</t>
  </si>
  <si>
    <t>KANAL OB SOČI Reconstruction and extension of Kanal Primary School</t>
  </si>
  <si>
    <t>KIDRIČEVO Extension of Lovrenc Branch Primary School</t>
  </si>
  <si>
    <t>KOČEVJE Reconstruction and extension of Ljubo Šercer Primary School</t>
  </si>
  <si>
    <t>KUZMA Construction of a new Kuzma Kindergarten</t>
  </si>
  <si>
    <t>LENDAVA Comprehensive renovation of the Music School</t>
  </si>
  <si>
    <t>LJUTOMER Extension of Cvetko Golar Primary School</t>
  </si>
  <si>
    <t>LOGATEC Expansion of Rovte Primary School</t>
  </si>
  <si>
    <t>LOŠKA DOLINA Construction of a new sports hall</t>
  </si>
  <si>
    <t>MAJŠPERK Expansion of the kindergarten</t>
  </si>
  <si>
    <t>MEDVODE Construction of a new Preska Primary School</t>
  </si>
  <si>
    <t>MIKLAVŽ NA DRAVSKEM POLJU Construction of a new gymnasium</t>
  </si>
  <si>
    <t>MIRNA Reconstruction of the kindergarten</t>
  </si>
  <si>
    <t>MORAVSKE TOPLICE Extension of Bogojina Primary School</t>
  </si>
  <si>
    <t>ORMOŽ Construction of a new Velika Nedelja Primary School</t>
  </si>
  <si>
    <t>PESNICA Renovation of Jakobski Dol Primary School – Phase III</t>
  </si>
  <si>
    <t>PIRAN Comprehensive redevelopment of Elvira Vatovec Strunjan Educational Centre</t>
  </si>
  <si>
    <t>PIRAN Construction of new kindergartens Morje and La Coccinella</t>
  </si>
  <si>
    <t>PODČETRTEK Reconstruction and extension of the primary school</t>
  </si>
  <si>
    <t>POLZELA Extension of Polzela Primary School</t>
  </si>
  <si>
    <t>POSTOJNA Extension of Prestranek Primary School</t>
  </si>
  <si>
    <t>PREDDVOR Addition of an extra floor to Storžek Kindergarten</t>
  </si>
  <si>
    <t>RADOVLJICA Extension of Anton Janša Primary School</t>
  </si>
  <si>
    <t>RAVNE NA KOROŠKEM Construction of a new Levi devžej Kindergarten unit</t>
  </si>
  <si>
    <t>RIBNICA Renovation of Sušje Branch Primary School</t>
  </si>
  <si>
    <t>RUŠE Extension and reconstruction of Ruše Kindergarten</t>
  </si>
  <si>
    <t>SEMIČ Extension of Belokranjski Odred Primary School</t>
  </si>
  <si>
    <t>SEVNICA Construction of a new Krmelj Primary School</t>
  </si>
  <si>
    <t>SLOVENSKE KONJICE Extension of Žiče Branch Primary School</t>
  </si>
  <si>
    <t>SODRAŽICA Reconstruction and new construction of the kindergarten</t>
  </si>
  <si>
    <t>STRAŽA Construction</t>
  </si>
  <si>
    <t>Reconstruction of the gym at Križevci Primary School</t>
  </si>
  <si>
    <t>Upgrading kindergarten in the municipality of Vipava</t>
  </si>
  <si>
    <t>Multipurpose gymnastics hall of Danilo Lokar Elementary School in Ajdovščina</t>
  </si>
  <si>
    <t>Construction of the extension and gym of the Dragotin Kette Elementary School in Ilirska Bistrica</t>
  </si>
  <si>
    <t>Construction of a sports hall with expansion of the school in the municipality of Predvor</t>
  </si>
  <si>
    <t>Extension of Glazija Primary School - Phase I</t>
  </si>
  <si>
    <t>Kindergarten Blue Dolphin Kindergarten - Hrvatini unit</t>
  </si>
  <si>
    <t>Renovation of the building at 1st May Street 17</t>
  </si>
  <si>
    <t>New construction of Dr. Mihajlo Rostohar Primary School Krško</t>
  </si>
  <si>
    <t>Special Education Centre Janez Levec, Karlovška Site - New Building Project</t>
  </si>
  <si>
    <t>Prule Elementary School - comprehensive renovation of the building with the construction of a new gym and the arrangement of a sports fiel</t>
  </si>
  <si>
    <t>Extension and reconstruction of the Angel Besednjak elementary school in Maribor</t>
  </si>
  <si>
    <t>Vertical Extension of the Murska Sobota Music School</t>
  </si>
  <si>
    <t>Reconstruction and extension of Šempas Primary School</t>
  </si>
  <si>
    <t>Expansion of Dragotin Kette Primary School</t>
  </si>
  <si>
    <t>Hall of the Music School Slovenj Gradec</t>
  </si>
  <si>
    <t>Second Phase of the Extension to the Third Primary School Slovenj Gradec</t>
  </si>
  <si>
    <t>Construction of the Gustav Šilih Elementary School gym</t>
  </si>
  <si>
    <t>BLED New construction of Bled Elementary School with sports hall</t>
  </si>
  <si>
    <t>BLOKE New Construction of Bloke Kindergarten</t>
  </si>
  <si>
    <t>BOROVNICA Construction of the gymnasium of the Dr. Ivan Korošec Elementary Schoo</t>
  </si>
  <si>
    <t>BRDA New construction of Dobrovo kindergarten units</t>
  </si>
  <si>
    <t>BREZOVICA New construction of a sports hall</t>
  </si>
  <si>
    <t>BREŽICE Reconstruction and extension of Artiče Elementary School</t>
  </si>
  <si>
    <t>CERKLJE NA GORENJSKE New construction of the Zalog kindergarten</t>
  </si>
  <si>
    <t>CERKNICA Extension of the Notranjski Odre Primary School</t>
  </si>
  <si>
    <t>CIRKULANE Addition to Cirkulane - Zavrč Elementary School</t>
  </si>
  <si>
    <t>DOBRNA - Extension of the Primary School with New Gym Construction</t>
  </si>
  <si>
    <t>ČRNOMELJ Renovation of Milka Šobar - Nataša Primary School</t>
  </si>
  <si>
    <t>SVETA ANA Elementary School Extension and Reconstruction</t>
  </si>
  <si>
    <t>SV. TROJICA V SLO. GORICAH New construction of kindergarten</t>
  </si>
  <si>
    <t>ŠENTJERNEJ Rekonstrukcija in prizidava OŠ</t>
  </si>
  <si>
    <t>% Allocated EUR in 2024</t>
  </si>
  <si>
    <t>Number of Students per Year (data for 2024)</t>
  </si>
  <si>
    <t>Financed Number of Students per Year (2024)</t>
  </si>
  <si>
    <t>Allocated Amount EUR in 2024</t>
  </si>
  <si>
    <t>Portfolio 4</t>
  </si>
  <si>
    <t>Bond eligible amount (EUR)
Σ 24+25+26+27+28</t>
  </si>
  <si>
    <t>RS financing 2026 (EUR)</t>
  </si>
  <si>
    <t>RS financing 2027 (EUR)</t>
  </si>
  <si>
    <t>RS financing 2028 (EUR)</t>
  </si>
  <si>
    <t xml:space="preserve">70.867.782,63	</t>
  </si>
  <si>
    <t>Social Inclusion</t>
  </si>
  <si>
    <t>Allocated Amount EUR in 2024 and 2025</t>
  </si>
  <si>
    <t>Allocated Amount EUR in 2025</t>
  </si>
  <si>
    <t>% Allocated EUR in 2025</t>
  </si>
  <si>
    <t>Number of Students per Year (data for 2025)</t>
  </si>
  <si>
    <t>Care and integration of displaced persons</t>
  </si>
  <si>
    <t>Allocated amount EUR in 2025</t>
  </si>
  <si>
    <t>% Allocated of Total Project Financing2</t>
  </si>
  <si>
    <t>% Allocated amount EUR 2025</t>
  </si>
  <si>
    <t>Number of beneficiaries in 2025</t>
  </si>
  <si>
    <t>Sum of RS financing 2024 (EUR)</t>
  </si>
  <si>
    <t>Sum of RS financing 2025 (EUR)</t>
  </si>
  <si>
    <t>The Office performs the tasks laid down by the laws governing aliens, international protection and temporary protection of displaced persons. To this end, resources are provided for the care and integration of displaced persons</t>
  </si>
  <si>
    <t>displaced persons from Ukraine</t>
  </si>
  <si>
    <t>Financed Number of Students per Year (2025)</t>
  </si>
  <si>
    <t xml:space="preserve">Constructions, reconstructions, extensions and similar investments in kindergartens and primary schools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</si>
</sst>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4" formatCode="_-* #,##0.00\ &quot;€&quot;_-;\-* #,##0.00\ &quot;€&quot;_-;_-* &quot;-&quot;??\ &quot;€&quot;_-;_-@_-"/>
    <numFmt numFmtId="164" formatCode="#,##0.00\ &quot;€&quot;"/>
    <numFmt numFmtId="165" formatCode="#,##0.0000"/>
    <numFmt numFmtId="166" formatCode="0.0%"/>
  </numFmts>
  <fonts count="42" x14ac:knownFonts="1">
    <font>
      <sz val="11"/>
      <color theme="1"/>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color theme="1"/>
      <name val="Arial"/>
      <family val="2"/>
      <charset val="238"/>
    </font>
    <font>
      <sz val="10"/>
      <name val="Arial"/>
      <family val="2"/>
      <charset val="238"/>
    </font>
    <font>
      <sz val="11"/>
      <color theme="5" tint="-0.249977111117893"/>
      <name val="Arial"/>
      <family val="2"/>
      <charset val="238"/>
    </font>
    <font>
      <sz val="11"/>
      <color theme="6" tint="-0.249977111117893"/>
      <name val="Arial"/>
      <family val="2"/>
      <charset val="238"/>
    </font>
    <font>
      <b/>
      <sz val="10"/>
      <color theme="1"/>
      <name val="Arial"/>
      <family val="2"/>
      <charset val="238"/>
    </font>
    <font>
      <sz val="11"/>
      <color rgb="FF0070C0"/>
      <name val="Arial"/>
      <family val="2"/>
      <charset val="238"/>
    </font>
    <font>
      <sz val="11"/>
      <color rgb="FF000000"/>
      <name val="Calibri"/>
      <family val="2"/>
      <scheme val="minor"/>
    </font>
    <font>
      <sz val="11"/>
      <color theme="9" tint="-0.249977111117893"/>
      <name val="Arial"/>
      <family val="2"/>
      <charset val="238"/>
    </font>
    <font>
      <sz val="11"/>
      <color theme="0" tint="-0.499984740745262"/>
      <name val="Arial"/>
      <family val="2"/>
      <charset val="238"/>
    </font>
    <font>
      <sz val="11"/>
      <color theme="3" tint="0.39997558519241921"/>
      <name val="Arial"/>
      <family val="2"/>
      <charset val="238"/>
    </font>
    <font>
      <sz val="12"/>
      <color rgb="FF404040"/>
      <name val="Arial"/>
      <family val="2"/>
      <charset val="238"/>
    </font>
    <font>
      <sz val="11"/>
      <color theme="1"/>
      <name val="Arial"/>
      <family val="2"/>
      <charset val="238"/>
    </font>
    <font>
      <sz val="8"/>
      <name val="Arial"/>
      <family val="2"/>
      <charset val="238"/>
    </font>
    <font>
      <b/>
      <sz val="11"/>
      <color theme="1"/>
      <name val="Calibri"/>
      <family val="2"/>
      <charset val="238"/>
    </font>
    <font>
      <b/>
      <sz val="11"/>
      <color theme="0"/>
      <name val="Calibri"/>
      <family val="2"/>
      <charset val="238"/>
    </font>
    <font>
      <sz val="11"/>
      <color theme="1"/>
      <name val="Calibri"/>
      <family val="2"/>
      <charset val="238"/>
    </font>
    <font>
      <b/>
      <sz val="11"/>
      <color theme="9" tint="-0.499984740745262"/>
      <name val="Calibri"/>
      <family val="2"/>
      <charset val="238"/>
    </font>
    <font>
      <sz val="11"/>
      <name val="Calibri"/>
      <family val="2"/>
      <charset val="238"/>
    </font>
    <font>
      <b/>
      <sz val="11"/>
      <color theme="1"/>
      <name val="Arial"/>
      <family val="2"/>
      <charset val="238"/>
    </font>
    <font>
      <b/>
      <sz val="11"/>
      <color theme="0"/>
      <name val="Calibri"/>
      <family val="2"/>
      <charset val="238"/>
      <scheme val="minor"/>
    </font>
    <font>
      <b/>
      <sz val="11"/>
      <color theme="1"/>
      <name val="Calibri"/>
      <family val="2"/>
      <charset val="238"/>
      <scheme val="minor"/>
    </font>
    <font>
      <b/>
      <sz val="12"/>
      <color theme="0"/>
      <name val="Times New Roman"/>
      <family val="1"/>
      <charset val="238"/>
    </font>
    <font>
      <sz val="14"/>
      <color theme="1"/>
      <name val="Times New Roman"/>
      <family val="1"/>
      <charset val="238"/>
    </font>
    <font>
      <b/>
      <sz val="12"/>
      <name val="Times New Roman"/>
      <family val="1"/>
      <charset val="238"/>
    </font>
    <font>
      <sz val="12"/>
      <color theme="1"/>
      <name val="Times New Roman"/>
      <family val="1"/>
      <charset val="238"/>
    </font>
    <font>
      <b/>
      <sz val="12"/>
      <color rgb="FF2D5195"/>
      <name val="Times New Roman"/>
      <family val="1"/>
      <charset val="238"/>
    </font>
    <font>
      <sz val="11"/>
      <color theme="1"/>
      <name val="Times New Roman"/>
      <family val="1"/>
      <charset val="238"/>
    </font>
    <font>
      <b/>
      <sz val="14"/>
      <color theme="0"/>
      <name val="Calibri"/>
      <family val="2"/>
      <charset val="238"/>
      <scheme val="minor"/>
    </font>
    <font>
      <b/>
      <sz val="12"/>
      <name val="Calibri"/>
      <family val="2"/>
      <charset val="238"/>
      <scheme val="minor"/>
    </font>
    <font>
      <b/>
      <sz val="12"/>
      <color theme="1"/>
      <name val="Calibri"/>
      <family val="2"/>
      <charset val="238"/>
      <scheme val="minor"/>
    </font>
    <font>
      <b/>
      <sz val="14"/>
      <color theme="0" tint="-4.9989318521683403E-2"/>
      <name val="Calibri"/>
      <family val="2"/>
      <charset val="238"/>
      <scheme val="minor"/>
    </font>
    <font>
      <b/>
      <sz val="12"/>
      <color theme="0" tint="-4.9989318521683403E-2"/>
      <name val="Calibri"/>
      <family val="2"/>
      <charset val="238"/>
      <scheme val="minor"/>
    </font>
    <font>
      <sz val="11"/>
      <color theme="0"/>
      <name val="Times New Roman"/>
      <family val="1"/>
      <charset val="238"/>
    </font>
    <font>
      <b/>
      <sz val="11"/>
      <color rgb="FFBB3333"/>
      <name val="Calibri"/>
      <family val="2"/>
      <charset val="238"/>
      <scheme val="minor"/>
    </font>
    <font>
      <sz val="11"/>
      <name val="Calibri"/>
      <family val="2"/>
      <charset val="238"/>
      <scheme val="minor"/>
    </font>
    <font>
      <b/>
      <sz val="11"/>
      <color theme="0"/>
      <name val="Arial"/>
      <family val="2"/>
    </font>
    <font>
      <sz val="11"/>
      <color theme="1"/>
      <name val="Calibri"/>
      <family val="2"/>
      <scheme val="minor"/>
    </font>
  </fonts>
  <fills count="12">
    <fill>
      <patternFill patternType="none"/>
    </fill>
    <fill>
      <patternFill patternType="gray125"/>
    </fill>
    <fill>
      <patternFill patternType="solid">
        <fgColor theme="6" tint="0.39997558519241921"/>
        <bgColor indexed="64"/>
      </patternFill>
    </fill>
    <fill>
      <patternFill patternType="solid">
        <fgColor theme="6" tint="0.79998168889431442"/>
        <bgColor indexed="64"/>
      </patternFill>
    </fill>
    <fill>
      <patternFill patternType="solid">
        <fgColor rgb="FF92D050"/>
        <bgColor indexed="64"/>
      </patternFill>
    </fill>
    <fill>
      <patternFill patternType="solid">
        <fgColor rgb="FF2D5195"/>
        <bgColor indexed="64"/>
      </patternFill>
    </fill>
    <fill>
      <patternFill patternType="solid">
        <fgColor theme="0" tint="-4.9989318521683403E-2"/>
        <bgColor indexed="64"/>
      </patternFill>
    </fill>
    <fill>
      <patternFill patternType="solid">
        <fgColor theme="0"/>
        <bgColor indexed="64"/>
      </patternFill>
    </fill>
    <fill>
      <patternFill patternType="solid">
        <fgColor rgb="FF00B050"/>
        <bgColor indexed="64"/>
      </patternFill>
    </fill>
    <fill>
      <patternFill patternType="solid">
        <fgColor theme="5" tint="0.39997558519241921"/>
        <bgColor indexed="64"/>
      </patternFill>
    </fill>
    <fill>
      <patternFill patternType="solid">
        <fgColor rgb="FF0070C0"/>
        <bgColor indexed="64"/>
      </patternFill>
    </fill>
    <fill>
      <patternFill patternType="solid">
        <fgColor rgb="FFFFFF00"/>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thin">
        <color indexed="64"/>
      </bottom>
      <diagonal/>
    </border>
    <border>
      <left style="medium">
        <color indexed="64"/>
      </left>
      <right style="thin">
        <color indexed="64"/>
      </right>
      <top style="thin">
        <color indexed="64"/>
      </top>
      <bottom style="thin">
        <color theme="4" tint="0.39997558519241921"/>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s>
  <cellStyleXfs count="10">
    <xf numFmtId="0" fontId="0" fillId="0" borderId="0"/>
    <xf numFmtId="0" fontId="11" fillId="0" borderId="0"/>
    <xf numFmtId="0" fontId="6" fillId="0" borderId="0"/>
    <xf numFmtId="44" fontId="16" fillId="0" borderId="0" applyFont="0" applyFill="0" applyBorder="0" applyAlignment="0" applyProtection="0"/>
    <xf numFmtId="0" fontId="4" fillId="0" borderId="0"/>
    <xf numFmtId="0" fontId="3" fillId="0" borderId="0"/>
    <xf numFmtId="9" fontId="16" fillId="0" borderId="0" applyFont="0" applyFill="0" applyBorder="0" applyAlignment="0" applyProtection="0"/>
    <xf numFmtId="0" fontId="41" fillId="0" borderId="0"/>
    <xf numFmtId="9" fontId="41" fillId="0" borderId="0" applyFont="0" applyFill="0" applyBorder="0" applyAlignment="0" applyProtection="0"/>
    <xf numFmtId="0" fontId="2" fillId="0" borderId="0"/>
  </cellStyleXfs>
  <cellXfs count="133">
    <xf numFmtId="0" fontId="0" fillId="0" borderId="0" xfId="0"/>
    <xf numFmtId="0" fontId="0" fillId="0" borderId="0" xfId="0" applyAlignment="1">
      <alignment wrapText="1"/>
    </xf>
    <xf numFmtId="0" fontId="7" fillId="0" borderId="0" xfId="0" applyFont="1"/>
    <xf numFmtId="0" fontId="8" fillId="0" borderId="0" xfId="0" applyFont="1"/>
    <xf numFmtId="0" fontId="12" fillId="0" borderId="0" xfId="0" applyFont="1"/>
    <xf numFmtId="0" fontId="13" fillId="0" borderId="0" xfId="0" applyFont="1"/>
    <xf numFmtId="0" fontId="14" fillId="0" borderId="0" xfId="0" applyFont="1"/>
    <xf numFmtId="0" fontId="10" fillId="0" borderId="0" xfId="0" applyFont="1"/>
    <xf numFmtId="0" fontId="15" fillId="0" borderId="0" xfId="0" applyFont="1" applyAlignment="1">
      <alignment horizontal="left" vertical="center" wrapText="1" indent="1"/>
    </xf>
    <xf numFmtId="0" fontId="15" fillId="0" borderId="0" xfId="0" applyFont="1"/>
    <xf numFmtId="164" fontId="9" fillId="0" borderId="0" xfId="0" applyNumberFormat="1" applyFont="1" applyAlignment="1">
      <alignment vertical="center" wrapText="1"/>
    </xf>
    <xf numFmtId="0" fontId="5" fillId="0" borderId="0" xfId="0" applyFont="1" applyAlignment="1">
      <alignment vertical="center"/>
    </xf>
    <xf numFmtId="3" fontId="0" fillId="0" borderId="0" xfId="0" applyNumberFormat="1"/>
    <xf numFmtId="0" fontId="0" fillId="0" borderId="0" xfId="0" applyAlignment="1">
      <alignment horizontal="left"/>
    </xf>
    <xf numFmtId="0" fontId="0" fillId="0" borderId="0" xfId="0" applyAlignment="1">
      <alignment horizontal="left" indent="1"/>
    </xf>
    <xf numFmtId="1" fontId="18" fillId="0" borderId="2" xfId="0" applyNumberFormat="1" applyFont="1" applyBorder="1" applyAlignment="1">
      <alignment horizontal="center" vertical="center" wrapText="1"/>
    </xf>
    <xf numFmtId="164" fontId="19" fillId="0" borderId="2" xfId="0" applyNumberFormat="1" applyFont="1" applyBorder="1" applyAlignment="1">
      <alignment horizontal="center" vertical="center" wrapText="1"/>
    </xf>
    <xf numFmtId="164" fontId="18" fillId="0" borderId="2" xfId="0" applyNumberFormat="1" applyFont="1" applyBorder="1" applyAlignment="1">
      <alignment horizontal="center" vertical="center" wrapText="1"/>
    </xf>
    <xf numFmtId="0" fontId="18" fillId="0" borderId="2" xfId="0" applyFont="1" applyBorder="1" applyAlignment="1">
      <alignment horizontal="center" vertical="center" wrapText="1"/>
    </xf>
    <xf numFmtId="0" fontId="20" fillId="0" borderId="1" xfId="0" applyFont="1" applyBorder="1" applyAlignment="1">
      <alignment horizontal="left" vertical="center"/>
    </xf>
    <xf numFmtId="0" fontId="20" fillId="0" borderId="1" xfId="0" applyFont="1" applyBorder="1" applyAlignment="1">
      <alignment vertical="center" wrapText="1"/>
    </xf>
    <xf numFmtId="0" fontId="20" fillId="0" borderId="1" xfId="0" applyFont="1" applyBorder="1" applyAlignment="1">
      <alignment horizontal="center" vertical="center" wrapText="1"/>
    </xf>
    <xf numFmtId="0" fontId="20" fillId="0" borderId="6" xfId="0" applyFont="1" applyBorder="1" applyAlignment="1">
      <alignment vertical="center" wrapText="1"/>
    </xf>
    <xf numFmtId="44" fontId="21" fillId="0" borderId="5" xfId="3" applyFont="1" applyFill="1" applyBorder="1"/>
    <xf numFmtId="3" fontId="20" fillId="0" borderId="1" xfId="3" applyNumberFormat="1" applyFont="1" applyFill="1" applyBorder="1" applyAlignment="1">
      <alignment horizontal="right" vertical="center"/>
    </xf>
    <xf numFmtId="3" fontId="21" fillId="0" borderId="5" xfId="3" applyNumberFormat="1" applyFont="1" applyFill="1" applyBorder="1" applyAlignment="1">
      <alignment horizontal="right" vertical="center"/>
    </xf>
    <xf numFmtId="0" fontId="22" fillId="0" borderId="1" xfId="0" applyFont="1" applyBorder="1" applyAlignment="1">
      <alignment horizontal="center" vertical="center"/>
    </xf>
    <xf numFmtId="0" fontId="20" fillId="0" borderId="6" xfId="0" applyFont="1" applyBorder="1" applyAlignment="1">
      <alignment horizontal="left" vertical="center"/>
    </xf>
    <xf numFmtId="0" fontId="20" fillId="0" borderId="6" xfId="0" applyFont="1" applyBorder="1" applyAlignment="1">
      <alignment horizontal="center" vertical="center" wrapText="1"/>
    </xf>
    <xf numFmtId="3" fontId="20" fillId="0" borderId="6" xfId="3" applyNumberFormat="1" applyFont="1" applyFill="1" applyBorder="1" applyAlignment="1">
      <alignment horizontal="right" vertical="center"/>
    </xf>
    <xf numFmtId="3" fontId="20" fillId="0" borderId="3" xfId="3" applyNumberFormat="1" applyFont="1" applyFill="1" applyBorder="1" applyAlignment="1">
      <alignment horizontal="right" vertical="center"/>
    </xf>
    <xf numFmtId="164" fontId="9" fillId="2" borderId="7" xfId="2" applyNumberFormat="1" applyFont="1" applyFill="1" applyBorder="1" applyAlignment="1">
      <alignment vertical="center" wrapText="1"/>
    </xf>
    <xf numFmtId="164" fontId="9" fillId="2" borderId="3" xfId="2" applyNumberFormat="1" applyFont="1" applyFill="1" applyBorder="1" applyAlignment="1">
      <alignment vertical="center" wrapText="1"/>
    </xf>
    <xf numFmtId="164" fontId="9" fillId="3" borderId="3" xfId="2" applyNumberFormat="1" applyFont="1" applyFill="1" applyBorder="1" applyAlignment="1">
      <alignment vertical="center" wrapText="1"/>
    </xf>
    <xf numFmtId="1" fontId="9" fillId="4" borderId="3" xfId="2" applyNumberFormat="1" applyFont="1" applyFill="1" applyBorder="1" applyAlignment="1">
      <alignment horizontal="center" vertical="center" wrapText="1"/>
    </xf>
    <xf numFmtId="0" fontId="6" fillId="0" borderId="0" xfId="2"/>
    <xf numFmtId="0" fontId="6" fillId="0" borderId="0" xfId="0" applyFont="1"/>
    <xf numFmtId="3" fontId="6" fillId="0" borderId="0" xfId="0" applyNumberFormat="1" applyFont="1" applyAlignment="1">
      <alignment horizontal="center" vertical="center"/>
    </xf>
    <xf numFmtId="0" fontId="5" fillId="0" borderId="0" xfId="0" applyFont="1" applyAlignment="1">
      <alignment vertical="center" wrapText="1"/>
    </xf>
    <xf numFmtId="0" fontId="5" fillId="0" borderId="0" xfId="0" applyFont="1" applyAlignment="1">
      <alignment horizontal="right" vertical="center"/>
    </xf>
    <xf numFmtId="3" fontId="5" fillId="0" borderId="0" xfId="0" applyNumberFormat="1" applyFont="1"/>
    <xf numFmtId="0" fontId="0" fillId="0" borderId="0" xfId="0" pivotButton="1" applyAlignment="1">
      <alignment wrapText="1"/>
    </xf>
    <xf numFmtId="0" fontId="26" fillId="5" borderId="10" xfId="5" applyFont="1" applyFill="1" applyBorder="1"/>
    <xf numFmtId="0" fontId="26" fillId="5" borderId="11" xfId="5" applyFont="1" applyFill="1" applyBorder="1" applyAlignment="1">
      <alignment horizontal="center"/>
    </xf>
    <xf numFmtId="0" fontId="26" fillId="5" borderId="12" xfId="5" applyFont="1" applyFill="1" applyBorder="1" applyAlignment="1">
      <alignment horizontal="center"/>
    </xf>
    <xf numFmtId="0" fontId="27" fillId="0" borderId="0" xfId="5" applyFont="1"/>
    <xf numFmtId="0" fontId="28" fillId="6" borderId="13" xfId="5" applyFont="1" applyFill="1" applyBorder="1" applyAlignment="1">
      <alignment wrapText="1"/>
    </xf>
    <xf numFmtId="3" fontId="29" fillId="7" borderId="6" xfId="5" applyNumberFormat="1" applyFont="1" applyFill="1" applyBorder="1" applyAlignment="1">
      <alignment wrapText="1"/>
    </xf>
    <xf numFmtId="3" fontId="29" fillId="7" borderId="1" xfId="5" applyNumberFormat="1" applyFont="1" applyFill="1" applyBorder="1"/>
    <xf numFmtId="9" fontId="29" fillId="7" borderId="14" xfId="5" applyNumberFormat="1" applyFont="1" applyFill="1" applyBorder="1"/>
    <xf numFmtId="3" fontId="29" fillId="7" borderId="9" xfId="5" applyNumberFormat="1" applyFont="1" applyFill="1" applyBorder="1"/>
    <xf numFmtId="9" fontId="29" fillId="7" borderId="16" xfId="5" applyNumberFormat="1" applyFont="1" applyFill="1" applyBorder="1"/>
    <xf numFmtId="3" fontId="30" fillId="0" borderId="17" xfId="5" applyNumberFormat="1" applyFont="1" applyBorder="1"/>
    <xf numFmtId="9" fontId="30" fillId="0" borderId="17" xfId="5" applyNumberFormat="1" applyFont="1" applyBorder="1"/>
    <xf numFmtId="0" fontId="31" fillId="0" borderId="0" xfId="5" applyFont="1"/>
    <xf numFmtId="4" fontId="31" fillId="0" borderId="0" xfId="5" applyNumberFormat="1" applyFont="1"/>
    <xf numFmtId="3" fontId="31" fillId="0" borderId="0" xfId="5" applyNumberFormat="1" applyFont="1"/>
    <xf numFmtId="42" fontId="0" fillId="0" borderId="0" xfId="0" applyNumberFormat="1"/>
    <xf numFmtId="0" fontId="0" fillId="0" borderId="0" xfId="0" applyAlignment="1">
      <alignment horizontal="center" vertical="center"/>
    </xf>
    <xf numFmtId="42" fontId="0" fillId="0" borderId="0" xfId="3" applyNumberFormat="1" applyFont="1"/>
    <xf numFmtId="0" fontId="3" fillId="0" borderId="0" xfId="5"/>
    <xf numFmtId="0" fontId="32" fillId="8" borderId="11" xfId="5" applyFont="1" applyFill="1" applyBorder="1" applyAlignment="1">
      <alignment horizontal="center" vertical="center" wrapText="1"/>
    </xf>
    <xf numFmtId="0" fontId="33" fillId="6" borderId="18" xfId="5" applyFont="1" applyFill="1" applyBorder="1" applyAlignment="1">
      <alignment horizontal="left" vertical="center" wrapText="1"/>
    </xf>
    <xf numFmtId="3" fontId="34" fillId="7" borderId="3" xfId="5" applyNumberFormat="1" applyFont="1" applyFill="1" applyBorder="1" applyAlignment="1">
      <alignment horizontal="right" vertical="center" wrapText="1"/>
    </xf>
    <xf numFmtId="3" fontId="34" fillId="7" borderId="6" xfId="5" applyNumberFormat="1" applyFont="1" applyFill="1" applyBorder="1" applyAlignment="1">
      <alignment horizontal="right" vertical="center"/>
    </xf>
    <xf numFmtId="3" fontId="34" fillId="7" borderId="19" xfId="5" applyNumberFormat="1" applyFont="1" applyFill="1" applyBorder="1" applyAlignment="1">
      <alignment horizontal="right" vertical="center"/>
    </xf>
    <xf numFmtId="3" fontId="35" fillId="8" borderId="21" xfId="5" applyNumberFormat="1" applyFont="1" applyFill="1" applyBorder="1" applyAlignment="1">
      <alignment vertical="center"/>
    </xf>
    <xf numFmtId="3" fontId="35" fillId="8" borderId="22" xfId="5" applyNumberFormat="1" applyFont="1" applyFill="1" applyBorder="1" applyAlignment="1">
      <alignment vertical="center"/>
    </xf>
    <xf numFmtId="3" fontId="36" fillId="8" borderId="22" xfId="5" applyNumberFormat="1" applyFont="1" applyFill="1" applyBorder="1" applyAlignment="1">
      <alignment horizontal="right" vertical="center"/>
    </xf>
    <xf numFmtId="0" fontId="36" fillId="8" borderId="23" xfId="5" applyFont="1" applyFill="1" applyBorder="1" applyAlignment="1">
      <alignment horizontal="right" vertical="center"/>
    </xf>
    <xf numFmtId="3" fontId="3" fillId="0" borderId="0" xfId="5" applyNumberFormat="1"/>
    <xf numFmtId="0" fontId="37" fillId="0" borderId="0" xfId="5" applyFont="1"/>
    <xf numFmtId="0" fontId="31" fillId="0" borderId="0" xfId="5" applyFont="1" applyAlignment="1">
      <alignment wrapText="1"/>
    </xf>
    <xf numFmtId="0" fontId="3" fillId="0" borderId="0" xfId="5" applyAlignment="1">
      <alignment wrapText="1"/>
    </xf>
    <xf numFmtId="3" fontId="39" fillId="7" borderId="2" xfId="5" applyNumberFormat="1" applyFont="1" applyFill="1" applyBorder="1" applyAlignment="1">
      <alignment horizontal="right" vertical="center"/>
    </xf>
    <xf numFmtId="0" fontId="25" fillId="0" borderId="25" xfId="5" applyFont="1" applyBorder="1" applyAlignment="1">
      <alignment vertical="center" wrapText="1"/>
    </xf>
    <xf numFmtId="3" fontId="39" fillId="7" borderId="8" xfId="5" applyNumberFormat="1" applyFont="1" applyFill="1" applyBorder="1" applyAlignment="1">
      <alignment horizontal="right" vertical="center"/>
    </xf>
    <xf numFmtId="0" fontId="25" fillId="0" borderId="26" xfId="5" applyFont="1" applyBorder="1" applyAlignment="1">
      <alignment vertical="center" wrapText="1"/>
    </xf>
    <xf numFmtId="0" fontId="24" fillId="9" borderId="6" xfId="5" applyFont="1" applyFill="1" applyBorder="1" applyAlignment="1">
      <alignment horizontal="center" vertical="center"/>
    </xf>
    <xf numFmtId="3" fontId="37" fillId="0" borderId="0" xfId="5" applyNumberFormat="1" applyFont="1"/>
    <xf numFmtId="3" fontId="39" fillId="7" borderId="1" xfId="5" applyNumberFormat="1" applyFont="1" applyFill="1" applyBorder="1" applyAlignment="1">
      <alignment horizontal="right" vertical="center"/>
    </xf>
    <xf numFmtId="0" fontId="25" fillId="0" borderId="1" xfId="5" applyFont="1" applyBorder="1" applyAlignment="1">
      <alignment vertical="center" wrapText="1"/>
    </xf>
    <xf numFmtId="3" fontId="22" fillId="0" borderId="1" xfId="3" applyNumberFormat="1" applyFont="1" applyFill="1" applyBorder="1" applyAlignment="1">
      <alignment horizontal="right" vertical="center"/>
    </xf>
    <xf numFmtId="3" fontId="22" fillId="0" borderId="6" xfId="3" applyNumberFormat="1" applyFont="1" applyFill="1" applyBorder="1" applyAlignment="1">
      <alignment horizontal="right" vertical="center"/>
    </xf>
    <xf numFmtId="0" fontId="0" fillId="0" borderId="0" xfId="0" pivotButton="1"/>
    <xf numFmtId="0" fontId="23" fillId="0" borderId="0" xfId="0" applyFont="1" applyAlignment="1">
      <alignment horizontal="left"/>
    </xf>
    <xf numFmtId="42" fontId="23" fillId="0" borderId="0" xfId="3" applyNumberFormat="1" applyFont="1"/>
    <xf numFmtId="3" fontId="34" fillId="7" borderId="1" xfId="5" applyNumberFormat="1" applyFont="1" applyFill="1" applyBorder="1" applyAlignment="1">
      <alignment horizontal="right" vertical="center" wrapText="1"/>
    </xf>
    <xf numFmtId="3" fontId="34" fillId="7" borderId="1" xfId="5" applyNumberFormat="1" applyFont="1" applyFill="1" applyBorder="1" applyAlignment="1">
      <alignment horizontal="right" vertical="center"/>
    </xf>
    <xf numFmtId="3" fontId="34" fillId="7" borderId="14" xfId="5" applyNumberFormat="1" applyFont="1" applyFill="1" applyBorder="1" applyAlignment="1">
      <alignment horizontal="right" vertical="center"/>
    </xf>
    <xf numFmtId="3" fontId="38" fillId="0" borderId="0" xfId="5" applyNumberFormat="1" applyFont="1" applyAlignment="1">
      <alignment horizontal="right"/>
    </xf>
    <xf numFmtId="3" fontId="38" fillId="0" borderId="0" xfId="5" applyNumberFormat="1" applyFont="1" applyAlignment="1">
      <alignment horizontal="left"/>
    </xf>
    <xf numFmtId="10" fontId="20" fillId="0" borderId="1" xfId="6" applyNumberFormat="1" applyFont="1" applyFill="1" applyBorder="1" applyAlignment="1">
      <alignment horizontal="right" vertical="center"/>
    </xf>
    <xf numFmtId="0" fontId="41" fillId="0" borderId="0" xfId="7"/>
    <xf numFmtId="0" fontId="41" fillId="0" borderId="0" xfId="7" applyAlignment="1">
      <alignment horizontal="left" wrapText="1"/>
    </xf>
    <xf numFmtId="3" fontId="41" fillId="0" borderId="0" xfId="7" applyNumberFormat="1"/>
    <xf numFmtId="10" fontId="0" fillId="0" borderId="0" xfId="8" applyNumberFormat="1" applyFont="1"/>
    <xf numFmtId="165" fontId="41" fillId="0" borderId="0" xfId="7" applyNumberFormat="1"/>
    <xf numFmtId="0" fontId="41" fillId="0" borderId="0" xfId="7" applyAlignment="1">
      <alignment wrapText="1"/>
    </xf>
    <xf numFmtId="44" fontId="41" fillId="0" borderId="0" xfId="3" applyFont="1" applyAlignment="1">
      <alignment horizontal="left" wrapText="1"/>
    </xf>
    <xf numFmtId="166" fontId="41" fillId="0" borderId="0" xfId="6" applyNumberFormat="1" applyFont="1"/>
    <xf numFmtId="0" fontId="20" fillId="0" borderId="1" xfId="0" applyFont="1" applyBorder="1" applyAlignment="1">
      <alignment horizontal="left" wrapText="1"/>
    </xf>
    <xf numFmtId="0" fontId="20" fillId="0" borderId="6" xfId="0" applyFont="1" applyBorder="1" applyAlignment="1">
      <alignment horizontal="left" wrapText="1"/>
    </xf>
    <xf numFmtId="3" fontId="6" fillId="0" borderId="0" xfId="2" applyNumberFormat="1" applyAlignment="1">
      <alignment vertical="center"/>
    </xf>
    <xf numFmtId="0" fontId="28" fillId="6" borderId="15" xfId="5" applyFont="1" applyFill="1" applyBorder="1" applyAlignment="1">
      <alignment wrapText="1"/>
    </xf>
    <xf numFmtId="3" fontId="29" fillId="7" borderId="9" xfId="5" applyNumberFormat="1" applyFont="1" applyFill="1" applyBorder="1" applyAlignment="1">
      <alignment wrapText="1"/>
    </xf>
    <xf numFmtId="0" fontId="1" fillId="0" borderId="0" xfId="8" applyNumberFormat="1" applyFont="1" applyFill="1"/>
    <xf numFmtId="3" fontId="41" fillId="0" borderId="0" xfId="7" applyNumberFormat="1" applyAlignment="1">
      <alignment horizontal="left" wrapText="1"/>
    </xf>
    <xf numFmtId="3" fontId="41" fillId="7" borderId="0" xfId="7" applyNumberFormat="1" applyFill="1"/>
    <xf numFmtId="9" fontId="41" fillId="0" borderId="0" xfId="6" applyFont="1" applyAlignment="1">
      <alignment horizontal="left" wrapText="1"/>
    </xf>
    <xf numFmtId="0" fontId="5" fillId="0" borderId="0" xfId="4" applyFont="1" applyAlignment="1">
      <alignment vertical="center" wrapText="1"/>
    </xf>
    <xf numFmtId="0" fontId="5" fillId="0" borderId="0" xfId="4" applyFont="1" applyAlignment="1">
      <alignment horizontal="right" vertical="center"/>
    </xf>
    <xf numFmtId="3" fontId="5" fillId="0" borderId="0" xfId="4" applyNumberFormat="1" applyFont="1" applyAlignment="1">
      <alignment horizontal="right"/>
    </xf>
    <xf numFmtId="3" fontId="5" fillId="0" borderId="0" xfId="0" applyNumberFormat="1" applyFont="1" applyAlignment="1">
      <alignment horizontal="right"/>
    </xf>
    <xf numFmtId="0" fontId="25" fillId="11" borderId="0" xfId="7" applyFont="1" applyFill="1"/>
    <xf numFmtId="1" fontId="1" fillId="0" borderId="0" xfId="7" applyNumberFormat="1" applyFont="1"/>
    <xf numFmtId="44" fontId="41" fillId="0" borderId="0" xfId="7" applyNumberFormat="1"/>
    <xf numFmtId="0" fontId="40" fillId="10" borderId="0" xfId="0" applyFont="1" applyFill="1" applyAlignment="1">
      <alignment horizontal="center"/>
    </xf>
    <xf numFmtId="0" fontId="33" fillId="6" borderId="28" xfId="5" applyFont="1" applyFill="1" applyBorder="1" applyAlignment="1">
      <alignment horizontal="center" wrapText="1"/>
    </xf>
    <xf numFmtId="0" fontId="33" fillId="6" borderId="2" xfId="5" applyFont="1" applyFill="1" applyBorder="1" applyAlignment="1">
      <alignment horizontal="center" wrapText="1"/>
    </xf>
    <xf numFmtId="0" fontId="24" fillId="9" borderId="1" xfId="5" applyFont="1" applyFill="1" applyBorder="1" applyAlignment="1">
      <alignment horizontal="center" vertical="center"/>
    </xf>
    <xf numFmtId="0" fontId="24" fillId="9" borderId="6" xfId="5" applyFont="1" applyFill="1" applyBorder="1" applyAlignment="1">
      <alignment horizontal="center" vertical="center"/>
    </xf>
    <xf numFmtId="0" fontId="24" fillId="9" borderId="1" xfId="5" applyFont="1" applyFill="1" applyBorder="1" applyAlignment="1">
      <alignment horizontal="center" vertical="center" wrapText="1"/>
    </xf>
    <xf numFmtId="0" fontId="24" fillId="9" borderId="6" xfId="5" applyFont="1" applyFill="1" applyBorder="1" applyAlignment="1">
      <alignment horizontal="center" vertical="center" wrapText="1"/>
    </xf>
    <xf numFmtId="0" fontId="24" fillId="9" borderId="14" xfId="5" applyFont="1" applyFill="1" applyBorder="1" applyAlignment="1">
      <alignment horizontal="center" vertical="center"/>
    </xf>
    <xf numFmtId="0" fontId="24" fillId="9" borderId="19" xfId="5" applyFont="1" applyFill="1" applyBorder="1" applyAlignment="1">
      <alignment horizontal="center" vertical="center"/>
    </xf>
    <xf numFmtId="0" fontId="24" fillId="9" borderId="23" xfId="5" applyFont="1" applyFill="1" applyBorder="1" applyAlignment="1">
      <alignment horizontal="center" vertical="center" wrapText="1"/>
    </xf>
    <xf numFmtId="0" fontId="24" fillId="9" borderId="20" xfId="5" applyFont="1" applyFill="1" applyBorder="1" applyAlignment="1">
      <alignment horizontal="center" vertical="center" wrapText="1"/>
    </xf>
    <xf numFmtId="0" fontId="25" fillId="0" borderId="19" xfId="5" applyFont="1" applyBorder="1" applyAlignment="1">
      <alignment horizontal="center" vertical="center" wrapText="1"/>
    </xf>
    <xf numFmtId="0" fontId="25" fillId="0" borderId="27" xfId="5" applyFont="1" applyBorder="1" applyAlignment="1">
      <alignment horizontal="center" vertical="center" wrapText="1"/>
    </xf>
    <xf numFmtId="0" fontId="25" fillId="0" borderId="24" xfId="5" applyFont="1" applyBorder="1" applyAlignment="1">
      <alignment horizontal="center" vertical="center" wrapText="1"/>
    </xf>
    <xf numFmtId="0" fontId="21" fillId="0" borderId="4" xfId="0" applyFont="1" applyBorder="1" applyAlignment="1">
      <alignment horizontal="right"/>
    </xf>
    <xf numFmtId="0" fontId="21" fillId="0" borderId="5" xfId="0" applyFont="1" applyBorder="1" applyAlignment="1">
      <alignment horizontal="right"/>
    </xf>
  </cellXfs>
  <cellStyles count="10">
    <cellStyle name="Navadno" xfId="0" builtinId="0"/>
    <cellStyle name="Navadno 2" xfId="2" xr:uid="{60BC6742-E89A-47FC-BB62-132D648691BE}"/>
    <cellStyle name="Navadno 3" xfId="4" xr:uid="{162B4808-E2BD-4B32-9C5F-50EA4E3DE029}"/>
    <cellStyle name="Navadno 3 2" xfId="5" xr:uid="{04FA61BA-E6D0-429C-B04C-BFED54EFFD96}"/>
    <cellStyle name="Navadno 4" xfId="7" xr:uid="{6681225D-1864-4BC9-9B19-856FB58EAA2E}"/>
    <cellStyle name="Navadno 5" xfId="9" xr:uid="{2216D2BD-977D-41E8-95B7-ED9BDF75896C}"/>
    <cellStyle name="Normal 2" xfId="1" xr:uid="{70AE69CA-FB06-460B-88AD-B5799F183913}"/>
    <cellStyle name="Odstotek" xfId="6" builtinId="5"/>
    <cellStyle name="Odstotek 2" xfId="8" xr:uid="{D15E2FA0-A0DF-4B5D-98BF-26FDB1F05A66}"/>
    <cellStyle name="Valuta" xfId="3" builtinId="4"/>
  </cellStyles>
  <dxfs count="122">
    <dxf>
      <font>
        <b val="0"/>
        <i val="0"/>
        <strike val="0"/>
        <condense val="0"/>
        <extend val="0"/>
        <outline val="0"/>
        <shadow val="0"/>
        <u val="none"/>
        <vertAlign val="baseline"/>
        <sz val="11"/>
        <color theme="1"/>
        <name val="Calibri"/>
        <family val="2"/>
        <charset val="238"/>
        <scheme val="minor"/>
      </font>
      <numFmt numFmtId="1" formatCode="0"/>
    </dxf>
    <dxf>
      <font>
        <b val="0"/>
        <i val="0"/>
        <strike val="0"/>
        <condense val="0"/>
        <extend val="0"/>
        <outline val="0"/>
        <shadow val="0"/>
        <u val="none"/>
        <vertAlign val="baseline"/>
        <sz val="11"/>
        <color theme="1"/>
        <name val="Calibri"/>
        <family val="2"/>
        <charset val="238"/>
        <scheme val="minor"/>
      </font>
      <numFmt numFmtId="0" formatCode="General"/>
      <fill>
        <patternFill patternType="none">
          <fgColor indexed="64"/>
          <bgColor indexed="65"/>
        </patternFill>
      </fill>
    </dxf>
    <dxf>
      <font>
        <b val="0"/>
        <i val="0"/>
        <strike val="0"/>
        <condense val="0"/>
        <extend val="0"/>
        <outline val="0"/>
        <shadow val="0"/>
        <u val="none"/>
        <vertAlign val="baseline"/>
        <sz val="11"/>
        <color theme="1"/>
        <name val="Calibri"/>
        <family val="2"/>
        <scheme val="minor"/>
      </font>
      <numFmt numFmtId="166" formatCode="0.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alignment horizontal="general" vertical="bottom"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strike val="0"/>
        <outline val="0"/>
        <shadow val="0"/>
        <u val="none"/>
        <vertAlign val="baseline"/>
        <sz val="10"/>
        <color theme="1"/>
        <name val="Arial"/>
        <family val="2"/>
        <charset val="238"/>
        <scheme val="none"/>
      </font>
      <numFmt numFmtId="3" formatCode="#,##0"/>
      <alignment horizontal="right" vertical="bottom" textRotation="0" wrapText="0" indent="0" justifyLastLine="0" shrinkToFit="0" readingOrder="0"/>
    </dxf>
    <dxf>
      <font>
        <b val="0"/>
        <i val="0"/>
        <strike val="0"/>
        <condense val="0"/>
        <extend val="0"/>
        <outline val="0"/>
        <shadow val="0"/>
        <u val="none"/>
        <vertAlign val="baseline"/>
        <sz val="10"/>
        <color theme="1"/>
        <name val="Arial"/>
        <family val="2"/>
        <charset val="238"/>
        <scheme val="none"/>
      </font>
      <alignment horizontal="general" vertical="center" textRotation="0" wrapText="1" indent="0" justifyLastLine="0" shrinkToFit="0" readingOrder="0"/>
    </dxf>
    <dxf>
      <font>
        <strike val="0"/>
        <outline val="0"/>
        <shadow val="0"/>
        <u val="none"/>
        <vertAlign val="baseline"/>
        <sz val="10"/>
        <color theme="1"/>
        <name val="Arial"/>
        <family val="2"/>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alignment horizontal="right" vertical="center" textRotation="0" wrapText="0" indent="0" justifyLastLine="0" shrinkToFit="0" readingOrder="0"/>
    </dxf>
    <dxf>
      <font>
        <strike val="0"/>
        <outline val="0"/>
        <shadow val="0"/>
        <u val="none"/>
        <vertAlign val="baseline"/>
        <sz val="10"/>
        <color theme="1"/>
        <name val="Arial"/>
        <family val="2"/>
        <charset val="238"/>
        <scheme val="none"/>
      </font>
      <alignment horizontal="right" vertical="center" textRotation="0" wrapText="0" indent="0" justifyLastLine="0" shrinkToFit="0" readingOrder="0"/>
    </dxf>
    <dxf>
      <font>
        <strike val="0"/>
        <outline val="0"/>
        <shadow val="0"/>
        <u val="none"/>
        <vertAlign val="baseline"/>
        <sz val="10"/>
        <color theme="1"/>
        <name val="Arial"/>
        <family val="2"/>
        <charset val="238"/>
        <scheme val="none"/>
      </font>
    </dxf>
    <dxf>
      <font>
        <strike val="0"/>
        <outline val="0"/>
        <shadow val="0"/>
        <u val="none"/>
        <vertAlign val="baseline"/>
        <sz val="10"/>
        <color theme="1"/>
        <name val="Arial"/>
        <family val="2"/>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alignment horizontal="general" vertical="center" textRotation="0" wrapText="1" indent="0" justifyLastLine="0" shrinkToFit="0" readingOrder="0"/>
    </dxf>
    <dxf>
      <font>
        <strike val="0"/>
        <outline val="0"/>
        <shadow val="0"/>
        <u val="none"/>
        <vertAlign val="baseline"/>
        <sz val="10"/>
        <color theme="1"/>
        <name val="Arial"/>
        <family val="2"/>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alignment horizontal="right" vertical="center" textRotation="0" wrapText="0" indent="0" justifyLastLine="0" shrinkToFit="0" readingOrder="0"/>
    </dxf>
    <dxf>
      <font>
        <strike val="0"/>
        <outline val="0"/>
        <shadow val="0"/>
        <u val="none"/>
        <vertAlign val="baseline"/>
        <sz val="10"/>
        <color theme="1"/>
        <name val="Arial"/>
        <family val="2"/>
        <charset val="238"/>
        <scheme val="none"/>
      </font>
      <alignment horizontal="right" vertical="center" textRotation="0" wrapText="0" indent="0" justifyLastLine="0" shrinkToFit="0" readingOrder="0"/>
    </dxf>
    <dxf>
      <font>
        <strike val="0"/>
        <outline val="0"/>
        <shadow val="0"/>
        <u val="none"/>
        <vertAlign val="baseline"/>
        <sz val="10"/>
        <color theme="1"/>
        <name val="Arial"/>
        <family val="2"/>
        <charset val="238"/>
        <scheme val="none"/>
      </font>
    </dxf>
    <dxf>
      <font>
        <strike val="0"/>
        <outline val="0"/>
        <shadow val="0"/>
        <u val="none"/>
        <vertAlign val="baseline"/>
        <sz val="10"/>
        <color theme="1"/>
        <name val="Arial"/>
        <family val="2"/>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numFmt numFmtId="3" formatCode="#,##0"/>
    </dxf>
    <dxf>
      <font>
        <strike val="0"/>
        <outline val="0"/>
        <shadow val="0"/>
        <u val="none"/>
        <vertAlign val="baseline"/>
        <sz val="10"/>
        <color theme="1"/>
        <name val="Arial"/>
        <family val="2"/>
        <charset val="238"/>
        <scheme val="none"/>
      </font>
      <numFmt numFmtId="3" formatCode="#,##0"/>
    </dxf>
    <dxf>
      <font>
        <b val="0"/>
        <i val="0"/>
        <strike val="0"/>
        <condense val="0"/>
        <extend val="0"/>
        <outline val="0"/>
        <shadow val="0"/>
        <u val="none"/>
        <vertAlign val="baseline"/>
        <sz val="10"/>
        <color theme="1"/>
        <name val="Arial"/>
        <family val="2"/>
        <charset val="238"/>
        <scheme val="none"/>
      </font>
      <alignment horizontal="general" vertical="center" textRotation="0" wrapText="1" indent="0" justifyLastLine="0" shrinkToFit="0" readingOrder="0"/>
    </dxf>
    <dxf>
      <font>
        <strike val="0"/>
        <outline val="0"/>
        <shadow val="0"/>
        <u val="none"/>
        <vertAlign val="baseline"/>
        <sz val="10"/>
        <color theme="1"/>
        <name val="Arial"/>
        <family val="2"/>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10"/>
        <color theme="1"/>
        <name val="Arial"/>
        <family val="2"/>
        <charset val="238"/>
        <scheme val="none"/>
      </font>
      <alignment horizontal="right" vertical="center" textRotation="0" wrapText="0" indent="0" justifyLastLine="0" shrinkToFit="0" readingOrder="0"/>
    </dxf>
    <dxf>
      <font>
        <strike val="0"/>
        <outline val="0"/>
        <shadow val="0"/>
        <u val="none"/>
        <vertAlign val="baseline"/>
        <sz val="10"/>
        <color theme="1"/>
        <name val="Arial"/>
        <family val="2"/>
        <charset val="238"/>
        <scheme val="none"/>
      </font>
      <alignment horizontal="right" vertical="center" textRotation="0" wrapText="0" indent="0" justifyLastLine="0" shrinkToFit="0" readingOrder="0"/>
    </dxf>
    <dxf>
      <font>
        <strike val="0"/>
        <outline val="0"/>
        <shadow val="0"/>
        <u val="none"/>
        <vertAlign val="baseline"/>
        <sz val="10"/>
        <color theme="1"/>
        <name val="Arial"/>
        <family val="2"/>
        <charset val="238"/>
        <scheme val="none"/>
      </font>
    </dxf>
    <dxf>
      <font>
        <strike val="0"/>
        <outline val="0"/>
        <shadow val="0"/>
        <u val="none"/>
        <vertAlign val="baseline"/>
        <sz val="10"/>
        <color theme="1"/>
        <name val="Arial"/>
        <family val="2"/>
        <charset val="238"/>
        <scheme val="none"/>
      </font>
      <alignment horizontal="general" vertical="center" textRotation="0" wrapText="1" indent="0" justifyLastLine="0" shrinkToFit="0" readingOrder="0"/>
    </dxf>
    <dxf>
      <font>
        <b val="0"/>
        <i val="0"/>
        <strike val="0"/>
        <condense val="0"/>
        <extend val="0"/>
        <outline val="0"/>
        <shadow val="0"/>
        <u val="none"/>
        <vertAlign val="baseline"/>
        <sz val="10"/>
        <color auto="1"/>
        <name val="Arial"/>
        <family val="2"/>
        <charset val="238"/>
        <scheme val="none"/>
      </font>
      <numFmt numFmtId="3" formatCode="#,##0"/>
      <alignment horizontal="center" vertical="center" textRotation="0" wrapText="0" indent="0" justifyLastLine="0" shrinkToFit="0" readingOrder="0"/>
    </dxf>
    <dxf>
      <font>
        <strike val="0"/>
        <outline val="0"/>
        <shadow val="0"/>
        <u val="none"/>
        <vertAlign val="baseline"/>
        <sz val="10"/>
        <color auto="1"/>
        <name val="Arial"/>
        <family val="2"/>
        <charset val="238"/>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charset val="238"/>
        <scheme val="none"/>
      </font>
      <numFmt numFmtId="3" formatCode="#,##0"/>
      <alignment horizontal="center" vertical="center" textRotation="0" wrapText="0" indent="0" justifyLastLine="0" shrinkToFit="0" readingOrder="0"/>
    </dxf>
    <dxf>
      <font>
        <strike val="0"/>
        <outline val="0"/>
        <shadow val="0"/>
        <u val="none"/>
        <vertAlign val="baseline"/>
        <sz val="10"/>
        <color auto="1"/>
        <name val="Arial"/>
        <family val="2"/>
        <charset val="238"/>
        <scheme val="none"/>
      </font>
      <numFmt numFmtId="3" formatCode="#,##0"/>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charset val="238"/>
        <scheme val="none"/>
      </font>
      <numFmt numFmtId="3" formatCode="#,##0"/>
      <alignment horizontal="center" vertical="center" textRotation="0" wrapText="0" indent="0" justifyLastLine="0" shrinkToFit="0" readingOrder="0"/>
    </dxf>
    <dxf>
      <font>
        <strike val="0"/>
        <outline val="0"/>
        <shadow val="0"/>
        <u val="none"/>
        <vertAlign val="baseline"/>
        <sz val="10"/>
        <color auto="1"/>
        <name val="Arial"/>
        <family val="2"/>
        <charset val="238"/>
        <scheme val="none"/>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charset val="238"/>
        <scheme val="none"/>
      </font>
      <numFmt numFmtId="3" formatCode="#,##0"/>
      <alignment horizontal="center" vertical="center" textRotation="0" wrapText="0" indent="0" justifyLastLine="0" shrinkToFit="0" readingOrder="0"/>
    </dxf>
    <dxf>
      <font>
        <strike val="0"/>
        <outline val="0"/>
        <shadow val="0"/>
        <u val="none"/>
        <vertAlign val="baseline"/>
        <sz val="10"/>
        <color auto="1"/>
        <name val="Arial"/>
        <family val="2"/>
        <charset val="238"/>
        <scheme val="none"/>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charset val="238"/>
        <scheme val="none"/>
      </font>
      <numFmt numFmtId="3" formatCode="#,##0"/>
      <alignment horizontal="center" vertical="center" textRotation="0" wrapText="0" indent="0" justifyLastLine="0" shrinkToFit="0" readingOrder="0"/>
    </dxf>
    <dxf>
      <font>
        <strike val="0"/>
        <outline val="0"/>
        <shadow val="0"/>
        <u val="none"/>
        <vertAlign val="baseline"/>
        <sz val="10"/>
        <color auto="1"/>
        <name val="Arial"/>
        <family val="2"/>
        <charset val="238"/>
        <scheme val="none"/>
      </font>
      <numFmt numFmtId="30" formatCode="@"/>
      <alignment horizontal="general" vertical="center" textRotation="0" wrapText="0" indent="0" justifyLastLine="0" shrinkToFit="0" readingOrder="0"/>
    </dxf>
    <dxf>
      <font>
        <b val="0"/>
        <i val="0"/>
        <strike val="0"/>
        <condense val="0"/>
        <extend val="0"/>
        <outline val="0"/>
        <shadow val="0"/>
        <u val="none"/>
        <vertAlign val="baseline"/>
        <sz val="10"/>
        <color auto="1"/>
        <name val="Arial"/>
        <family val="2"/>
        <charset val="238"/>
        <scheme val="none"/>
      </font>
    </dxf>
    <dxf>
      <font>
        <strike val="0"/>
        <outline val="0"/>
        <shadow val="0"/>
        <u val="none"/>
        <vertAlign val="baseline"/>
        <sz val="10"/>
        <color auto="1"/>
        <name val="Arial"/>
        <family val="2"/>
        <charset val="238"/>
        <scheme val="none"/>
      </font>
    </dxf>
    <dxf>
      <font>
        <b val="0"/>
        <i val="0"/>
        <strike val="0"/>
        <condense val="0"/>
        <extend val="0"/>
        <outline val="0"/>
        <shadow val="0"/>
        <u val="none"/>
        <vertAlign val="baseline"/>
        <sz val="10"/>
        <color auto="1"/>
        <name val="Arial"/>
        <family val="2"/>
        <charset val="238"/>
        <scheme val="none"/>
      </font>
    </dxf>
    <dxf>
      <font>
        <strike val="0"/>
        <outline val="0"/>
        <shadow val="0"/>
        <u val="none"/>
        <vertAlign val="baseline"/>
        <sz val="10"/>
        <color auto="1"/>
        <name val="Arial"/>
        <family val="2"/>
        <charset val="238"/>
        <scheme val="none"/>
      </font>
    </dxf>
    <dxf>
      <border outline="0">
        <top style="thin">
          <color rgb="FF000000"/>
        </top>
      </border>
    </dxf>
    <dxf>
      <border outline="0">
        <left style="thin">
          <color rgb="FF000000"/>
        </left>
        <right style="thin">
          <color rgb="FF000000"/>
        </right>
        <top style="medium">
          <color rgb="FF000000"/>
        </top>
        <bottom style="thin">
          <color rgb="FF000000"/>
        </bottom>
      </border>
    </dxf>
    <dxf>
      <border outline="0">
        <bottom style="thin">
          <color rgb="FF000000"/>
        </bottom>
      </border>
    </dxf>
    <dxf>
      <font>
        <b/>
        <i val="0"/>
        <strike val="0"/>
        <condense val="0"/>
        <extend val="0"/>
        <outline val="0"/>
        <shadow val="0"/>
        <u val="none"/>
        <vertAlign val="baseline"/>
        <sz val="10"/>
        <color theme="1"/>
        <name val="Arial"/>
        <family val="2"/>
        <charset val="238"/>
        <scheme val="none"/>
      </font>
      <numFmt numFmtId="1" formatCode="0"/>
      <fill>
        <patternFill patternType="solid">
          <fgColor indexed="64"/>
          <bgColor rgb="FF92D050"/>
        </patternFill>
      </fill>
      <alignment horizontal="center" vertical="center"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numFmt numFmtId="14" formatCode="0.00%"/>
      <fill>
        <patternFill patternType="none">
          <fgColor indexed="64"/>
          <bgColor indexed="65"/>
        </patternFill>
      </fill>
      <alignment horizontal="right"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border>
    </dxf>
    <dxf>
      <font>
        <b val="0"/>
        <i val="0"/>
        <strike val="0"/>
        <condense val="0"/>
        <extend val="0"/>
        <outline val="0"/>
        <shadow val="0"/>
        <u val="none"/>
        <vertAlign val="baseline"/>
        <sz val="11"/>
        <color auto="1"/>
        <name val="Calibri"/>
        <family val="2"/>
        <charset val="238"/>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numFmt numFmtId="3" formatCode="#,##0"/>
      <fill>
        <patternFill patternType="none">
          <fgColor indexed="64"/>
          <bgColor indexed="65"/>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charset val="238"/>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numFmt numFmtId="3" formatCode="#,##0"/>
      <fill>
        <patternFill patternType="none">
          <fgColor indexed="64"/>
          <bgColor auto="1"/>
        </patternFill>
      </fill>
      <alignment horizontal="righ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1"/>
        <name val="Calibri"/>
        <family val="2"/>
        <charset val="238"/>
        <scheme val="none"/>
      </font>
      <fill>
        <patternFill patternType="none">
          <fgColor indexed="64"/>
          <bgColor auto="1"/>
        </patternFill>
      </fill>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alignment horizontal="left"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theme="1"/>
        <name val="Calibri"/>
        <family val="2"/>
        <charset val="238"/>
        <scheme val="none"/>
      </font>
      <fill>
        <patternFill patternType="none">
          <fgColor indexed="64"/>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family val="2"/>
        <charset val="238"/>
        <scheme val="none"/>
      </font>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medium">
          <color indexed="64"/>
        </top>
        <bottom style="medium">
          <color indexed="64"/>
        </bottom>
      </border>
    </dxf>
    <dxf>
      <font>
        <strike val="0"/>
        <outline val="0"/>
        <shadow val="0"/>
        <u val="none"/>
        <vertAlign val="baseline"/>
        <sz val="11"/>
        <name val="Calibri"/>
        <family val="2"/>
        <charset val="238"/>
        <scheme val="none"/>
      </font>
      <fill>
        <patternFill patternType="none">
          <fgColor indexed="64"/>
          <bgColor auto="1"/>
        </patternFill>
      </fill>
    </dxf>
    <dxf>
      <border outline="0">
        <bottom style="thin">
          <color indexed="64"/>
        </bottom>
      </border>
    </dxf>
    <dxf>
      <font>
        <strike val="0"/>
        <outline val="0"/>
        <shadow val="0"/>
        <u val="none"/>
        <vertAlign val="baseline"/>
        <sz val="11"/>
        <name val="Calibri"/>
        <family val="2"/>
        <charset val="238"/>
        <scheme val="none"/>
      </font>
      <fill>
        <patternFill patternType="none">
          <fgColor indexed="64"/>
          <bgColor auto="1"/>
        </patternFill>
      </fill>
      <alignment horizontal="center" vertical="center" textRotation="0" wrapText="1" indent="0" justifyLastLine="0" shrinkToFit="0" readingOrder="0"/>
    </dxf>
    <dxf>
      <font>
        <b val="0"/>
        <i val="0"/>
        <strike val="0"/>
        <condense val="0"/>
        <extend val="0"/>
        <outline val="0"/>
        <shadow val="0"/>
        <u val="none"/>
        <vertAlign val="baseline"/>
        <sz val="11"/>
        <color theme="1"/>
        <name val="Arial"/>
        <family val="2"/>
        <charset val="238"/>
        <scheme val="none"/>
      </font>
      <numFmt numFmtId="32" formatCode="_-* #,##0\ &quot;€&quot;_-;\-* #,##0\ &quot;€&quot;_-;_-* &quot;-&quot;\ &quot;€&quot;_-;_-@_-"/>
    </dxf>
    <dxf>
      <alignment horizontal="left" vertical="bottom" textRotation="0" wrapText="0" indent="0" justifyLastLine="0" shrinkToFit="0" readingOrder="0"/>
    </dxf>
    <dxf>
      <alignment horizontal="center" vertical="center" textRotation="0" wrapText="0" indent="0" justifyLastLine="0" shrinkToFit="0" readingOrder="0"/>
    </dxf>
    <dxf>
      <numFmt numFmtId="32" formatCode="_-* #,##0\ &quot;€&quot;_-;\-* #,##0\ &quot;€&quot;_-;_-* &quot;-&quot;\ &quot;€&quot;_-;_-@_-"/>
    </dxf>
    <dxf>
      <alignment wrapText="1"/>
    </dxf>
    <dxf>
      <numFmt numFmtId="3" formatCode="#,##0"/>
    </dxf>
    <dxf>
      <numFmt numFmtId="3" formatCode="#,##0"/>
    </dxf>
    <dxf>
      <numFmt numFmtId="3" formatCode="#,##0"/>
    </dxf>
    <dxf>
      <numFmt numFmtId="3" formatCode="#,##0"/>
    </dxf>
    <dxf>
      <font>
        <b val="0"/>
        <i val="0"/>
        <strike val="0"/>
        <condense val="0"/>
        <extend val="0"/>
        <outline val="0"/>
        <shadow val="0"/>
        <u val="none"/>
        <vertAlign val="baseline"/>
        <sz val="11"/>
        <color theme="1"/>
        <name val="Calibri"/>
        <family val="2"/>
        <scheme val="minor"/>
      </font>
      <numFmt numFmtId="166" formatCode="0.0%"/>
    </dxf>
    <dxf>
      <font>
        <b val="0"/>
        <i val="0"/>
        <strike val="0"/>
        <condense val="0"/>
        <extend val="0"/>
        <outline val="0"/>
        <shadow val="0"/>
        <u val="none"/>
        <vertAlign val="baseline"/>
        <sz val="11"/>
        <color theme="1"/>
        <name val="Calibri"/>
        <family val="2"/>
        <scheme val="minor"/>
      </font>
      <numFmt numFmtId="3" formatCode="#,##0"/>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numFmt numFmtId="3" formatCode="#,##0"/>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1"/>
        <color theme="1"/>
        <name val="Calibri"/>
        <family val="2"/>
        <scheme val="minor"/>
      </font>
      <alignment horizontal="left" vertical="bottom" textRotation="0" wrapText="1" indent="0" justifyLastLine="0" shrinkToFit="0" readingOrder="0"/>
    </dxf>
    <dxf>
      <alignment horizontal="left" vertical="bottom" textRotation="0" wrapText="1" indent="0" justifyLastLine="0" shrinkToFit="0" readingOrder="0"/>
    </dxf>
    <dxf>
      <alignment horizontal="general" vertical="bottom" textRotation="0" wrapText="1" indent="0" justifyLastLine="0" shrinkToFit="0" readingOrder="0"/>
    </dxf>
  </dxfs>
  <tableStyles count="0" defaultTableStyle="TableStyleMedium2" defaultPivotStyle="PivotStyleLight16"/>
  <colors>
    <mruColors>
      <color rgb="FF00915A"/>
      <color rgb="FFF54C62"/>
      <color rgb="FF2D519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1.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lang="en-US" sz="1080" b="0" i="0" u="none" strike="noStrike" kern="1200" spc="0" baseline="0">
              <a:solidFill>
                <a:sysClr val="windowText" lastClr="000000">
                  <a:lumMod val="75000"/>
                  <a:lumOff val="25000"/>
                </a:sysClr>
              </a:solidFill>
              <a:latin typeface="+mn-lt"/>
              <a:ea typeface="+mn-ea"/>
              <a:cs typeface="+mn-cs"/>
            </a:defRPr>
          </a:pPr>
          <a:endParaRPr lang="sl-SI"/>
        </a:p>
      </c:txPr>
    </c:title>
    <c:autoTitleDeleted val="0"/>
    <c:plotArea>
      <c:layout>
        <c:manualLayout>
          <c:layoutTarget val="inner"/>
          <c:xMode val="edge"/>
          <c:yMode val="edge"/>
          <c:x val="1.2916137988125702E-2"/>
          <c:y val="0.15924821658173369"/>
          <c:w val="0.47686893341658626"/>
          <c:h val="0.76303360581289736"/>
        </c:manualLayout>
      </c:layout>
      <c:doughnutChart>
        <c:varyColors val="1"/>
        <c:ser>
          <c:idx val="1"/>
          <c:order val="0"/>
          <c:tx>
            <c:strRef>
              <c:f>'Summary 2024-2025'!$B$20</c:f>
              <c:strCache>
                <c:ptCount val="1"/>
                <c:pt idx="0">
                  <c:v>Total expenditures identified by category </c:v>
                </c:pt>
              </c:strCache>
            </c:strRef>
          </c:tx>
          <c:dPt>
            <c:idx val="0"/>
            <c:bubble3D val="0"/>
            <c:spPr>
              <a:solidFill>
                <a:schemeClr val="accent6"/>
              </a:solidFill>
              <a:ln w="19050">
                <a:solidFill>
                  <a:schemeClr val="lt1"/>
                </a:solidFill>
              </a:ln>
              <a:effectLst/>
            </c:spPr>
            <c:extLst>
              <c:ext xmlns:c16="http://schemas.microsoft.com/office/drawing/2014/chart" uri="{C3380CC4-5D6E-409C-BE32-E72D297353CC}">
                <c16:uniqueId val="{00000001-C7E0-41AA-8A4C-4A30EBD8CD38}"/>
              </c:ext>
            </c:extLst>
          </c:dPt>
          <c:dPt>
            <c:idx val="1"/>
            <c:bubble3D val="0"/>
            <c:spPr>
              <a:solidFill>
                <a:schemeClr val="accent5"/>
              </a:solidFill>
              <a:ln w="19050">
                <a:solidFill>
                  <a:schemeClr val="lt1"/>
                </a:solidFill>
              </a:ln>
              <a:effectLst/>
            </c:spPr>
            <c:extLst>
              <c:ext xmlns:c16="http://schemas.microsoft.com/office/drawing/2014/chart" uri="{C3380CC4-5D6E-409C-BE32-E72D297353CC}">
                <c16:uniqueId val="{00000003-C7E0-41AA-8A4C-4A30EBD8CD38}"/>
              </c:ext>
            </c:extLst>
          </c:dPt>
          <c:dLbls>
            <c:spPr>
              <a:noFill/>
              <a:ln>
                <a:noFill/>
              </a:ln>
              <a:effectLst/>
            </c:spPr>
            <c:txPr>
              <a:bodyPr rot="0" spcFirstLastPara="1" vertOverflow="ellipsis" vert="horz" wrap="square" lIns="38100" tIns="19050" rIns="38100" bIns="19050" anchor="ctr" anchorCtr="1">
                <a:spAutoFit/>
              </a:bodyPr>
              <a:lstStyle/>
              <a:p>
                <a:pPr>
                  <a:defRPr lang="en-US" sz="900" b="0" i="0" u="none" strike="noStrike" kern="1200" baseline="0">
                    <a:solidFill>
                      <a:sysClr val="windowText" lastClr="000000">
                        <a:lumMod val="75000"/>
                        <a:lumOff val="25000"/>
                      </a:sysClr>
                    </a:solidFill>
                    <a:latin typeface="+mn-lt"/>
                    <a:ea typeface="+mn-ea"/>
                    <a:cs typeface="+mn-cs"/>
                  </a:defRPr>
                </a:pPr>
                <a:endParaRPr lang="sl-SI"/>
              </a:p>
            </c:txPr>
            <c:showLegendKey val="0"/>
            <c:showVal val="1"/>
            <c:showCatName val="0"/>
            <c:showSerName val="0"/>
            <c:showPercent val="0"/>
            <c:showBubbleSize val="0"/>
            <c:showLeaderLines val="0"/>
            <c:extLst>
              <c:ext xmlns:c15="http://schemas.microsoft.com/office/drawing/2012/chart" uri="{CE6537A1-D6FC-4f65-9D91-7224C49458BB}"/>
            </c:extLst>
          </c:dLbls>
          <c:cat>
            <c:strRef>
              <c:f>'Summary 2024-2025'!$A$21:$A$22</c:f>
              <c:strCache>
                <c:ptCount val="2"/>
                <c:pt idx="0">
                  <c:v>Access to Essential Services - Education </c:v>
                </c:pt>
                <c:pt idx="1">
                  <c:v>Access to Essential Services - Social Inclusion</c:v>
                </c:pt>
              </c:strCache>
            </c:strRef>
          </c:cat>
          <c:val>
            <c:numRef>
              <c:f>'Summary 2024-2025'!$B$21:$B$22</c:f>
              <c:numCache>
                <c:formatCode>#,##0</c:formatCode>
                <c:ptCount val="2"/>
                <c:pt idx="0">
                  <c:v>139037588.61000001</c:v>
                </c:pt>
                <c:pt idx="1">
                  <c:v>33597038.810000002</c:v>
                </c:pt>
              </c:numCache>
            </c:numRef>
          </c:val>
          <c:extLst>
            <c:ext xmlns:c16="http://schemas.microsoft.com/office/drawing/2014/chart" uri="{C3380CC4-5D6E-409C-BE32-E72D297353CC}">
              <c16:uniqueId val="{00000004-C7E0-41AA-8A4C-4A30EBD8CD38}"/>
            </c:ext>
          </c:extLst>
        </c:ser>
        <c:dLbls>
          <c:showLegendKey val="0"/>
          <c:showVal val="1"/>
          <c:showCatName val="0"/>
          <c:showSerName val="0"/>
          <c:showPercent val="0"/>
          <c:showBubbleSize val="0"/>
          <c:showLeaderLines val="0"/>
        </c:dLbls>
        <c:firstSliceAng val="20"/>
        <c:holeSize val="50"/>
      </c:doughnutChart>
      <c:spPr>
        <a:noFill/>
        <a:ln>
          <a:noFill/>
        </a:ln>
        <a:effectLst/>
      </c:spPr>
    </c:plotArea>
    <c:legend>
      <c:legendPos val="b"/>
      <c:layout>
        <c:manualLayout>
          <c:xMode val="edge"/>
          <c:yMode val="edge"/>
          <c:x val="0.6178209397075638"/>
          <c:y val="0.24682944956097119"/>
          <c:w val="0.29335662992710798"/>
          <c:h val="0.5856785712416499"/>
        </c:manualLayout>
      </c:layout>
      <c:overlay val="0"/>
      <c:spPr>
        <a:noFill/>
        <a:ln>
          <a:noFill/>
        </a:ln>
        <a:effectLst/>
      </c:spPr>
      <c:txPr>
        <a:bodyPr rot="0" spcFirstLastPara="1" vertOverflow="ellipsis" vert="horz" wrap="square" anchor="ctr" anchorCtr="1"/>
        <a:lstStyle/>
        <a:p>
          <a:pPr>
            <a:defRPr lang="en-US" sz="1400" b="0" i="0" u="none" strike="noStrike" kern="1200" baseline="0">
              <a:solidFill>
                <a:sysClr val="windowText" lastClr="000000">
                  <a:lumMod val="75000"/>
                  <a:lumOff val="25000"/>
                </a:sysClr>
              </a:solidFill>
              <a:latin typeface="+mn-lt"/>
              <a:ea typeface="+mn-ea"/>
              <a:cs typeface="+mn-cs"/>
            </a:defRPr>
          </a:pPr>
          <a:endParaRPr lang="sl-SI"/>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lgn="ctr" rtl="0">
        <a:defRPr lang="en-US" sz="900" b="0" i="0" u="none" strike="noStrike" kern="1200" baseline="0">
          <a:solidFill>
            <a:sysClr val="windowText" lastClr="000000">
              <a:lumMod val="75000"/>
              <a:lumOff val="25000"/>
            </a:sysClr>
          </a:solidFill>
          <a:latin typeface="+mn-lt"/>
          <a:ea typeface="+mn-ea"/>
          <a:cs typeface="+mn-cs"/>
        </a:defRPr>
      </a:pPr>
      <a:endParaRPr lang="sl-SI"/>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29279986161826654"/>
          <c:y val="0.10803109603001648"/>
          <c:w val="0.41440027676346691"/>
          <c:h val="0.70966069706097334"/>
        </c:manualLayout>
      </c:layout>
      <c:doughnutChart>
        <c:varyColors val="1"/>
        <c:ser>
          <c:idx val="0"/>
          <c:order val="0"/>
          <c:dPt>
            <c:idx val="0"/>
            <c:bubble3D val="0"/>
            <c:spPr>
              <a:solidFill>
                <a:schemeClr val="accent1">
                  <a:lumMod val="40000"/>
                  <a:lumOff val="60000"/>
                </a:schemeClr>
              </a:solidFill>
              <a:ln w="19050">
                <a:solidFill>
                  <a:schemeClr val="lt1"/>
                </a:solidFill>
              </a:ln>
              <a:effectLst/>
            </c:spPr>
            <c:extLst>
              <c:ext xmlns:c16="http://schemas.microsoft.com/office/drawing/2014/chart" uri="{C3380CC4-5D6E-409C-BE32-E72D297353CC}">
                <c16:uniqueId val="{00000001-54D7-4540-916D-8067500A39D0}"/>
              </c:ext>
            </c:extLst>
          </c:dPt>
          <c:dPt>
            <c:idx val="1"/>
            <c:bubble3D val="0"/>
            <c:spPr>
              <a:solidFill>
                <a:schemeClr val="accent2">
                  <a:lumMod val="60000"/>
                  <a:lumOff val="40000"/>
                </a:schemeClr>
              </a:solidFill>
              <a:ln w="19050">
                <a:solidFill>
                  <a:schemeClr val="lt1"/>
                </a:solidFill>
              </a:ln>
              <a:effectLst/>
            </c:spPr>
            <c:extLst>
              <c:ext xmlns:c16="http://schemas.microsoft.com/office/drawing/2014/chart" uri="{C3380CC4-5D6E-409C-BE32-E72D297353CC}">
                <c16:uniqueId val="{00000003-54D7-4540-916D-8067500A39D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l-SI"/>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Analysis!$F$11:$G$11</c:f>
              <c:strCache>
                <c:ptCount val="2"/>
                <c:pt idx="0">
                  <c:v>Refinancing</c:v>
                </c:pt>
                <c:pt idx="1">
                  <c:v>Financing</c:v>
                </c:pt>
              </c:strCache>
            </c:strRef>
          </c:cat>
          <c:val>
            <c:numRef>
              <c:f>Analysis!$F$12:$G$12</c:f>
              <c:numCache>
                <c:formatCode>#,##0</c:formatCode>
                <c:ptCount val="2"/>
                <c:pt idx="0">
                  <c:v>124399448.04000001</c:v>
                </c:pt>
                <c:pt idx="1">
                  <c:v>48235179.379999995</c:v>
                </c:pt>
              </c:numCache>
            </c:numRef>
          </c:val>
          <c:extLst>
            <c:ext xmlns:c16="http://schemas.microsoft.com/office/drawing/2014/chart" uri="{C3380CC4-5D6E-409C-BE32-E72D297353CC}">
              <c16:uniqueId val="{00000004-54D7-4540-916D-8067500A39D0}"/>
            </c:ext>
          </c:extLst>
        </c:ser>
        <c:dLbls>
          <c:showLegendKey val="0"/>
          <c:showVal val="0"/>
          <c:showCatName val="0"/>
          <c:showSerName val="0"/>
          <c:showPercent val="0"/>
          <c:showBubbleSize val="0"/>
          <c:showLeaderLines val="1"/>
        </c:dLbls>
        <c:firstSliceAng val="0"/>
        <c:holeSize val="69"/>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sl-SI"/>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doughnutChart>
        <c:varyColors val="1"/>
        <c:ser>
          <c:idx val="0"/>
          <c:order val="0"/>
          <c:tx>
            <c:v>Allocated amount</c:v>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1-4645-4832-863C-CC511645CE0E}"/>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3-4645-4832-863C-CC511645CE0E}"/>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5-4645-4832-863C-CC511645CE0E}"/>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7-4645-4832-863C-CC511645CE0E}"/>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sl-SI"/>
              </a:p>
            </c:txPr>
            <c:showLegendKey val="0"/>
            <c:showVal val="0"/>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Lit>
              <c:ptCount val="5"/>
              <c:pt idx="0">
                <c:v>investment expenditure </c:v>
              </c:pt>
              <c:pt idx="1">
                <c:v>subsidies, grant, loans</c:v>
              </c:pt>
              <c:pt idx="2">
                <c:v>intervention expenditure </c:v>
              </c:pt>
              <c:pt idx="3">
                <c:v>operating expenditure </c:v>
              </c:pt>
              <c:pt idx="4">
                <c:v>Total</c:v>
              </c:pt>
            </c:strLit>
          </c:cat>
          <c:val>
            <c:numLit>
              <c:formatCode>General</c:formatCode>
              <c:ptCount val="4"/>
              <c:pt idx="0">
                <c:v>480701591.52999985</c:v>
              </c:pt>
              <c:pt idx="1">
                <c:v>135653828.08000001</c:v>
              </c:pt>
              <c:pt idx="2">
                <c:v>213836420.69999999</c:v>
              </c:pt>
              <c:pt idx="3">
                <c:v>419808159.35000002</c:v>
              </c:pt>
            </c:numLit>
          </c:val>
          <c:extLst>
            <c:ext xmlns:c16="http://schemas.microsoft.com/office/drawing/2014/chart" uri="{C3380CC4-5D6E-409C-BE32-E72D297353CC}">
              <c16:uniqueId val="{00000008-4645-4832-863C-CC511645CE0E}"/>
            </c:ext>
          </c:extLst>
        </c:ser>
        <c:dLbls>
          <c:showLegendKey val="0"/>
          <c:showVal val="0"/>
          <c:showCatName val="0"/>
          <c:showSerName val="0"/>
          <c:showPercent val="0"/>
          <c:showBubbleSize val="0"/>
          <c:showLeaderLines val="1"/>
        </c:dLbls>
        <c:firstSliceAng val="0"/>
        <c:holeSize val="75"/>
      </c:doughnut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sl-SI"/>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sl-SI"/>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size">
        <cx:f>_xlchart.v1.1</cx:f>
      </cx:numDim>
    </cx:data>
  </cx:chartData>
  <cx:chart>
    <cx:plotArea>
      <cx:plotAreaRegion>
        <cx:series layoutId="sunburst" uniqueId="{473B13DC-DF2C-4B33-A768-24CB2AC5B617}">
          <cx:dataLabels>
            <cx:numFmt formatCode="0%" sourceLinked="0"/>
            <cx:txPr>
              <a:bodyPr spcFirstLastPara="1" vertOverflow="ellipsis" horzOverflow="overflow" wrap="square" lIns="38100" tIns="19050" rIns="38100" bIns="19050" anchor="ctr" anchorCtr="1">
                <a:spAutoFit/>
              </a:bodyPr>
              <a:lstStyle/>
              <a:p>
                <a:pPr algn="ctr" rtl="0">
                  <a:defRPr sz="1600"/>
                </a:pPr>
                <a:endParaRPr lang="sl-SI" sz="1600" b="0" i="0" u="none" strike="noStrike" baseline="0">
                  <a:solidFill>
                    <a:sysClr val="windowText" lastClr="000000">
                      <a:lumMod val="75000"/>
                      <a:lumOff val="25000"/>
                    </a:sysClr>
                  </a:solidFill>
                  <a:latin typeface="Calibri" panose="020F0502020204030204"/>
                </a:endParaRPr>
              </a:p>
            </cx:txPr>
            <cx:visibility seriesName="0" categoryName="0" value="1"/>
            <cx:separator>. </cx:separator>
            <cx:dataLabel idx="0">
              <cx:visibility seriesName="0" categoryName="0" value="1"/>
              <cx:separator>. </cx:separator>
            </cx:dataLabel>
          </cx:dataLabels>
          <cx:dataId val="0"/>
        </cx:series>
      </cx:plotAreaRegion>
    </cx:plotArea>
    <cx:legend pos="r" align="ctr" overlay="0">
      <cx:txPr>
        <a:bodyPr spcFirstLastPara="1" vertOverflow="ellipsis" horzOverflow="overflow" wrap="square" lIns="0" tIns="0" rIns="0" bIns="0" anchor="ctr" anchorCtr="1"/>
        <a:lstStyle/>
        <a:p>
          <a:pPr algn="ctr" rtl="0">
            <a:defRPr sz="1100" baseline="0"/>
          </a:pPr>
          <a:endParaRPr lang="sl-SI" sz="1100" b="0" i="0" u="none" strike="noStrike" baseline="0">
            <a:solidFill>
              <a:sysClr val="windowText" lastClr="000000">
                <a:lumMod val="65000"/>
                <a:lumOff val="35000"/>
              </a:sysClr>
            </a:solidFill>
            <a:latin typeface="Calibri" panose="020F0502020204030204"/>
          </a:endParaRPr>
        </a:p>
      </cx:txPr>
    </cx:legend>
  </cx:chart>
</cx:chartSpace>
</file>

<file path=xl/charts/colors1.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acrossLinear" id="2">
  <a:schemeClr val="accent1"/>
  <a:schemeClr val="accent2"/>
  <a:schemeClr val="accent3"/>
  <a:schemeClr val="accent4"/>
  <a:schemeClr val="accent5"/>
  <a:schemeClr val="accent6"/>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86">
  <cs:axisTitle>
    <cs:lnRef idx="0"/>
    <cs:fillRef idx="0"/>
    <cs:effectRef idx="0"/>
    <cs:fontRef idx="major">
      <a:schemeClr val="dk1">
        <a:lumMod val="50000"/>
        <a:lumOff val="50000"/>
      </a:schemeClr>
    </cs:fontRef>
    <cs:defRPr sz="900"/>
  </cs:axisTitle>
  <cs:categoryAxis>
    <cs:lnRef idx="0"/>
    <cs:fillRef idx="0"/>
    <cs:effectRef idx="0"/>
    <cs:fontRef idx="major">
      <a:schemeClr val="dk1">
        <a:lumMod val="50000"/>
        <a:lumOff val="50000"/>
      </a:schemeClr>
    </cs:fontRef>
    <cs:defRPr sz="90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cs:chartArea>
  <cs:dataLabel>
    <cs:lnRef idx="0"/>
    <cs:fillRef idx="0"/>
    <cs:effectRef idx="0"/>
    <cs:fontRef idx="minor">
      <a:schemeClr val="dk1">
        <a:lumMod val="75000"/>
        <a:lumOff val="25000"/>
      </a:schemeClr>
    </cs:fontRef>
    <cs:defRPr sz="900"/>
    <cs:bodyPr lIns="38100" tIns="19050" rIns="38100" bIns="19050">
      <a:spAutoFit/>
    </cs:bodyPr>
  </cs:dataLabel>
  <cs:dataLabelCallout>
    <cs:lnRef idx="0"/>
    <cs:fillRef idx="0"/>
    <cs:effectRef idx="0"/>
    <cs:fontRef idx="major">
      <a:schemeClr val="dk1">
        <a:lumMod val="50000"/>
        <a:lumOff val="50000"/>
      </a:schemeClr>
    </cs:fontRef>
    <cs:spPr>
      <a:solidFill>
        <a:schemeClr val="lt1">
          <a:alpha val="75000"/>
        </a:schemeClr>
      </a:solidFill>
      <a:ln w="9525">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9525">
        <a:solidFill>
          <a:schemeClr val="lt1"/>
        </a:solidFill>
      </a:ln>
    </cs:spPr>
  </cs:dataPoint>
  <cs:dataPoint3D>
    <cs:lnRef idx="0"/>
    <cs:fillRef idx="0">
      <cs:styleClr val="auto"/>
    </cs:fillRef>
    <cs:effectRef idx="0"/>
    <cs:fontRef idx="minor">
      <a:schemeClr val="tx1"/>
    </cs:fontRef>
    <cs:spPr>
      <a:solidFill>
        <a:schemeClr val="phClr"/>
      </a:solidFill>
      <a:ln w="9525">
        <a:solidFill>
          <a:schemeClr val="lt1"/>
        </a:solidFill>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solidFill>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lumOff val="10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ajor">
      <a:schemeClr val="dk1">
        <a:lumMod val="50000"/>
        <a:lumOff val="50000"/>
      </a:schemeClr>
    </cs:fontRef>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ajor">
      <a:schemeClr val="dk1">
        <a:lumMod val="50000"/>
        <a:lumOff val="50000"/>
      </a:schemeClr>
    </cs:fontRef>
    <cs:defRPr sz="1600" b="1" spc="0" normalizeH="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ajor">
      <a:schemeClr val="dk1">
        <a:lumMod val="50000"/>
        <a:lumOff val="50000"/>
      </a:schemeClr>
    </cs:fontRef>
    <cs:defRPr sz="900"/>
  </cs:trendlineLabel>
  <cs:upBar>
    <cs:lnRef idx="0"/>
    <cs:fillRef idx="0"/>
    <cs:effectRef idx="0"/>
    <cs:fontRef idx="minor">
      <a:schemeClr val="dk1"/>
    </cs:fontRef>
    <cs:spPr>
      <a:solidFill>
        <a:schemeClr val="lt1"/>
      </a:solidFill>
    </cs:spPr>
  </cs:upBar>
  <cs:valueAxis>
    <cs:lnRef idx="0"/>
    <cs:fillRef idx="0"/>
    <cs:effectRef idx="0"/>
    <cs:fontRef idx="major">
      <a:schemeClr val="dk1">
        <a:lumMod val="50000"/>
        <a:lumOff val="50000"/>
      </a:schemeClr>
    </cs:fontRef>
    <cs:defRPr sz="9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microsoft.com/office/2014/relationships/chartEx" Target="../charts/chartEx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1378002</xdr:colOff>
      <xdr:row>25</xdr:row>
      <xdr:rowOff>113658</xdr:rowOff>
    </xdr:from>
    <xdr:to>
      <xdr:col>3</xdr:col>
      <xdr:colOff>1589315</xdr:colOff>
      <xdr:row>58</xdr:row>
      <xdr:rowOff>97971</xdr:rowOff>
    </xdr:to>
    <xdr:graphicFrame macro="">
      <xdr:nvGraphicFramePr>
        <xdr:cNvPr id="2" name="Chart 10">
          <a:extLst>
            <a:ext uri="{FF2B5EF4-FFF2-40B4-BE49-F238E27FC236}">
              <a16:creationId xmlns:a16="http://schemas.microsoft.com/office/drawing/2014/main" id="{B7965BA7-F164-46CB-9229-CF7C4ED5533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895349</xdr:colOff>
      <xdr:row>13</xdr:row>
      <xdr:rowOff>10869</xdr:rowOff>
    </xdr:from>
    <xdr:to>
      <xdr:col>3</xdr:col>
      <xdr:colOff>1086970</xdr:colOff>
      <xdr:row>47</xdr:row>
      <xdr:rowOff>134470</xdr:rowOff>
    </xdr:to>
    <mc:AlternateContent xmlns:mc="http://schemas.openxmlformats.org/markup-compatibility/2006">
      <mc:Choice xmlns:cx1="http://schemas.microsoft.com/office/drawing/2015/9/8/chartex" Requires="cx1">
        <xdr:graphicFrame macro="">
          <xdr:nvGraphicFramePr>
            <xdr:cNvPr id="2" name="Grafikon 1">
              <a:extLst>
                <a:ext uri="{FF2B5EF4-FFF2-40B4-BE49-F238E27FC236}">
                  <a16:creationId xmlns:a16="http://schemas.microsoft.com/office/drawing/2014/main" id="{6D10DA49-81A7-4611-A3E6-BD6A148DEB6B}"/>
                </a:ext>
              </a:extLst>
            </xdr:cNvPr>
            <xdr:cNvGraphicFramePr>
              <a:graphicFrameLocks/>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895349" y="2773119"/>
              <a:ext cx="8306921" cy="6600601"/>
            </a:xfrm>
            <a:prstGeom prst="rect">
              <a:avLst/>
            </a:prstGeom>
            <a:solidFill>
              <a:prstClr val="white"/>
            </a:solidFill>
            <a:ln w="1">
              <a:solidFill>
                <a:prstClr val="green"/>
              </a:solidFill>
            </a:ln>
          </xdr:spPr>
          <xdr:txBody>
            <a:bodyPr vertOverflow="clip" horzOverflow="clip"/>
            <a:lstStyle/>
            <a:p>
              <a:r>
                <a:rPr lang="sl-SI" sz="1100"/>
                <a:t>Ta grafikon ni na voljo v vaši različici programa Excel.
Če obliko uredite ali pa delovni zvezek shranite v drugi obliki zapisa datoteke, bo grafikon trajno poškodovan.</a:t>
              </a:r>
            </a:p>
          </xdr:txBody>
        </xdr:sp>
      </mc:Fallback>
    </mc:AlternateContent>
    <xdr:clientData/>
  </xdr:twoCellAnchor>
  <xdr:twoCellAnchor>
    <xdr:from>
      <xdr:col>5</xdr:col>
      <xdr:colOff>0</xdr:colOff>
      <xdr:row>14</xdr:row>
      <xdr:rowOff>35858</xdr:rowOff>
    </xdr:from>
    <xdr:to>
      <xdr:col>13</xdr:col>
      <xdr:colOff>44822</xdr:colOff>
      <xdr:row>32</xdr:row>
      <xdr:rowOff>35857</xdr:rowOff>
    </xdr:to>
    <xdr:graphicFrame macro="">
      <xdr:nvGraphicFramePr>
        <xdr:cNvPr id="3" name="Grafikon 2">
          <a:extLst>
            <a:ext uri="{FF2B5EF4-FFF2-40B4-BE49-F238E27FC236}">
              <a16:creationId xmlns:a16="http://schemas.microsoft.com/office/drawing/2014/main" id="{76027621-AE56-44FD-A291-1D0AB7C9274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523239</xdr:colOff>
      <xdr:row>64</xdr:row>
      <xdr:rowOff>76200</xdr:rowOff>
    </xdr:from>
    <xdr:to>
      <xdr:col>5</xdr:col>
      <xdr:colOff>2454088</xdr:colOff>
      <xdr:row>91</xdr:row>
      <xdr:rowOff>168088</xdr:rowOff>
    </xdr:to>
    <xdr:graphicFrame macro="">
      <xdr:nvGraphicFramePr>
        <xdr:cNvPr id="4" name="Grafikon 3">
          <a:extLst>
            <a:ext uri="{FF2B5EF4-FFF2-40B4-BE49-F238E27FC236}">
              <a16:creationId xmlns:a16="http://schemas.microsoft.com/office/drawing/2014/main" id="{1E56177A-6A68-49BE-B95A-249D0A27BF9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1</xdr:col>
      <xdr:colOff>598058</xdr:colOff>
      <xdr:row>3</xdr:row>
      <xdr:rowOff>204171</xdr:rowOff>
    </xdr:from>
    <xdr:ext cx="1633818" cy="1633818"/>
    <xdr:pic>
      <xdr:nvPicPr>
        <xdr:cNvPr id="5" name="Slika 4">
          <a:extLst>
            <a:ext uri="{FF2B5EF4-FFF2-40B4-BE49-F238E27FC236}">
              <a16:creationId xmlns:a16="http://schemas.microsoft.com/office/drawing/2014/main" id="{D935BD17-DADC-4E4C-B2C7-71587F26876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612440" y="1044612"/>
          <a:ext cx="1633818" cy="163381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nja Gartner" refreshedDate="46183.303467245372" createdVersion="8" refreshedVersion="8" minRefreshableVersion="3" recordCount="5" xr:uid="{E8584D3D-24C7-401E-B08E-4DB51ABBD74A}">
  <cacheSource type="worksheet">
    <worksheetSource name="Social"/>
  </cacheSource>
  <cacheFields count="18">
    <cacheField name="Project nr. " numFmtId="0">
      <sharedItems containsSemiMixedTypes="0" containsString="0" containsNumber="1" containsInteger="1" minValue="3" maxValue="7"/>
    </cacheField>
    <cacheField name="NRP nr. " numFmtId="0">
      <sharedItems/>
    </cacheField>
    <cacheField name="Project name " numFmtId="0">
      <sharedItems/>
    </cacheField>
    <cacheField name="Description and rationale for social eligibility " numFmtId="0">
      <sharedItems longText="1"/>
    </cacheField>
    <cacheField name=" _x000a_SBP Category" numFmtId="0">
      <sharedItems count="3">
        <s v="Access to Essential Services - Social Inclusion"/>
        <s v="Access to Essential Services - Education "/>
        <s v="Access to Essential Services - Healthcare " u="1"/>
      </sharedItems>
    </cacheField>
    <cacheField name="Sub-category" numFmtId="0">
      <sharedItems count="9">
        <s v="Social activation"/>
        <s v="Pre-school"/>
        <s v="Primary school"/>
        <s v="Secondary school"/>
        <s v="Health institutions construction, renovation, and equipping" u="1"/>
        <s v="Health care system development" u="1"/>
        <s v="Natural disaster infrastructure restoration" u="1"/>
        <s v="Health services" u="1"/>
        <s v="Health professionals training" u="1"/>
      </sharedItems>
    </cacheField>
    <cacheField name="UN SDG goal" numFmtId="0">
      <sharedItems/>
    </cacheField>
    <cacheField name="Type of expenditure" numFmtId="0">
      <sharedItems count="4">
        <s v="operating expenditure "/>
        <s v="subsidies, grant, loans"/>
        <s v="Investment expenditure "/>
        <s v="intervention expenditure " u="1"/>
      </sharedItems>
    </cacheField>
    <cacheField name="Beneficiary" numFmtId="0">
      <sharedItems/>
    </cacheField>
    <cacheField name="Target Population " numFmtId="0">
      <sharedItems/>
    </cacheField>
    <cacheField name="Phase of the project" numFmtId="0">
      <sharedItems/>
    </cacheField>
    <cacheField name="Total project amount (EUR)" numFmtId="3">
      <sharedItems containsSemiMixedTypes="0" containsString="0" containsNumber="1" minValue="165419768.99000001" maxValue="774937052.3900001"/>
    </cacheField>
    <cacheField name="Total RS financing amount (EUR)" numFmtId="3">
      <sharedItems containsSemiMixedTypes="0" containsString="0" containsNumber="1" minValue="142555512.61000001" maxValue="641005052.3900001"/>
    </cacheField>
    <cacheField name="Bond eligible amount (EUR)_x000a_Σ 24+25" numFmtId="3">
      <sharedItems containsSemiMixedTypes="0" containsString="0" containsNumber="1" minValue="7407052.8799999999" maxValue="66224108.249999993"/>
    </cacheField>
    <cacheField name="RS financing 2024 (EUR)" numFmtId="3">
      <sharedItems containsSemiMixedTypes="0" containsString="0" containsNumber="1" minValue="0" maxValue="55112869.710000001"/>
    </cacheField>
    <cacheField name="RS financing 2025 (EUR)" numFmtId="3">
      <sharedItems containsSemiMixedTypes="0" containsString="0" containsNumber="1" minValue="0" maxValue="33597038.810000002"/>
    </cacheField>
    <cacheField name="Social bond allocation as % of total project amount" numFmtId="10">
      <sharedItems containsSemiMixedTypes="0" containsString="0" containsNumber="1" minValue="1.1741013160427954E-2" maxValue="0.20310171520086584"/>
    </cacheField>
    <cacheField name="Responsible Ministry" numFmtId="0">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
  <r>
    <n v="3"/>
    <s v="1542-21-0001"/>
    <s v="Care and integration of migrants"/>
    <s v="The Office performs the tasks laid down by the laws governing aliens, international protection and temporary protection of displaced persons. To this end, resources are provided for the care and integration of migrants"/>
    <x v="0"/>
    <x v="0"/>
    <s v="Reduced inequalities"/>
    <x v="0"/>
    <s v="Asilium centres"/>
    <s v="migrants from Ukraine"/>
    <s v="Execution"/>
    <n v="165419768.99000001"/>
    <n v="165419768.99000001"/>
    <n v="33597038.810000002"/>
    <n v="0"/>
    <n v="33597038.810000002"/>
    <n v="0.20310171520086584"/>
    <s v="Government Office for the Support and Integration of Migrants"/>
  </r>
  <r>
    <n v="4"/>
    <s v="3311-11-0002"/>
    <s v="Increasing children's participation in pre-school education, which also ensures better results in further education"/>
    <s v="Shorter programs for preschool children not included in kindergarten. "/>
    <x v="1"/>
    <x v="1"/>
    <s v="Reduced inequalities"/>
    <x v="0"/>
    <s v="children and their families"/>
    <s v="All population and vulnerable families"/>
    <s v="Execution"/>
    <n v="350393180.86000001"/>
    <n v="350393180.86000001"/>
    <n v="55112869.710000001"/>
    <n v="55112869.710000001"/>
    <n v="0"/>
    <n v="0.15728864806881163"/>
    <s v="Ministry of Higher Education, Science and Innovation"/>
  </r>
  <r>
    <n v="5"/>
    <s v="Portfolio 2"/>
    <s v="Provision of cheaper or free school meals for primary school students with lower socieoeconomic status"/>
    <s v="Ensuring quality school nutrition affects the optimal development of students, the development of awareness of healthy eating and eating culture, education and training for a responsible attitude towards themselves, their health and the environment. Students from socially less stimulating backgrounds are provided with a cheaper or free meal of school meals with a subsidy."/>
    <x v="1"/>
    <x v="2"/>
    <s v="Reduced inequalities"/>
    <x v="1"/>
    <s v="Pupils in primary schools and their families"/>
    <s v="Population with lower income"/>
    <s v="Execution"/>
    <n v="774937052.3900001"/>
    <n v="641005052.3900001"/>
    <n v="66224108.249999993"/>
    <n v="51585967.68"/>
    <n v="14638140.569999993"/>
    <n v="8.5457403341028526E-2"/>
    <s v="Ministry of Higher Education, Science and Innovation"/>
  </r>
  <r>
    <n v="6"/>
    <s v="Portfolio 3"/>
    <s v="Provision of cheaper or free school meals for secondary school students with lower socieoeconomic status"/>
    <s v="Students from socially less stimulating backgrounds are provided with a cheaper or free meal of school lunch with a subsidy, which has a favorable effect on their psycho-physical development and on the development of awareness of healthy eating and eating culture."/>
    <x v="1"/>
    <x v="3"/>
    <s v="Reduced inequalities"/>
    <x v="1"/>
    <s v="Pupils in primary schools and their families"/>
    <s v="Population with lower income"/>
    <s v="Execution"/>
    <n v="512329441.05000001"/>
    <n v="333606901.00999999"/>
    <n v="10293557.77"/>
    <n v="10293557.77"/>
    <n v="0"/>
    <n v="2.009167723975366E-2"/>
    <s v="Ministry of Higher Education, Science and Innovation"/>
  </r>
  <r>
    <n v="7"/>
    <s v="Portfolio 1"/>
    <s v="Purchase, construction, refurbishment and equipment investments in kindergartens and primary schools_x000a_"/>
    <s v="Co-financing of 126 of investments in kindergartens and primary education in the Republic of Slovenia in the budget period 2024-2025."/>
    <x v="1"/>
    <x v="1"/>
    <s v="Reduced inequalities"/>
    <x v="2"/>
    <s v="Communities"/>
    <s v="11. All population"/>
    <s v="Execution"/>
    <n v="630869992.12"/>
    <n v="142555512.61000001"/>
    <n v="7407052.8799999999"/>
    <n v="7407052.8799999999"/>
    <n v="0"/>
    <n v="1.1741013160427954E-2"/>
    <s v="Ministry of Higher Education, Science and Innovation"/>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EE0DFBF7-9573-4F43-A589-F3898766CF90}" name="Vrtilna tabela4" cacheId="0" applyNumberFormats="0" applyBorderFormats="0" applyFontFormats="0" applyPatternFormats="0" applyAlignmentFormats="0" applyWidthHeightFormats="1" dataCaption="Vrednosti" updatedVersion="8" minRefreshableVersion="3" useAutoFormatting="1" itemPrintTitles="1" createdVersion="8" indent="0" outline="1" outlineData="1" multipleFieldFilters="0" rowHeaderCaption="SBC">
  <location ref="A3:D10" firstHeaderRow="0" firstDataRow="1" firstDataCol="1"/>
  <pivotFields count="18">
    <pivotField showAll="0"/>
    <pivotField showAll="0"/>
    <pivotField showAll="0"/>
    <pivotField showAll="0"/>
    <pivotField axis="axisRow" showAll="0">
      <items count="4">
        <item x="1"/>
        <item m="1" x="2"/>
        <item x="0"/>
        <item t="default"/>
      </items>
    </pivotField>
    <pivotField axis="axisRow" showAll="0">
      <items count="10">
        <item m="1" x="5"/>
        <item m="1" x="4"/>
        <item m="1" x="8"/>
        <item m="1" x="7"/>
        <item m="1" x="6"/>
        <item x="1"/>
        <item x="2"/>
        <item x="3"/>
        <item x="0"/>
        <item t="default"/>
      </items>
    </pivotField>
    <pivotField showAll="0"/>
    <pivotField showAll="0"/>
    <pivotField showAll="0"/>
    <pivotField showAll="0"/>
    <pivotField showAll="0"/>
    <pivotField numFmtId="3" showAll="0"/>
    <pivotField numFmtId="3" showAll="0"/>
    <pivotField dataField="1" numFmtId="3" showAll="0"/>
    <pivotField dataField="1" numFmtId="3" showAll="0"/>
    <pivotField dataField="1" numFmtId="3" showAll="0"/>
    <pivotField numFmtId="10" showAll="0"/>
    <pivotField showAll="0"/>
  </pivotFields>
  <rowFields count="2">
    <field x="4"/>
    <field x="5"/>
  </rowFields>
  <rowItems count="7">
    <i>
      <x/>
    </i>
    <i r="1">
      <x v="5"/>
    </i>
    <i r="1">
      <x v="6"/>
    </i>
    <i r="1">
      <x v="7"/>
    </i>
    <i>
      <x v="2"/>
    </i>
    <i r="1">
      <x v="8"/>
    </i>
    <i t="grand">
      <x/>
    </i>
  </rowItems>
  <colFields count="1">
    <field x="-2"/>
  </colFields>
  <colItems count="3">
    <i>
      <x/>
    </i>
    <i i="1">
      <x v="1"/>
    </i>
    <i i="2">
      <x v="2"/>
    </i>
  </colItems>
  <dataFields count="3">
    <dataField name="Sum of RS financing 2024 (EUR)" fld="14" baseField="0" baseItem="0" numFmtId="3"/>
    <dataField name="Sum of RS financing 2025 (EUR)" fld="15" baseField="0" baseItem="0" numFmtId="3"/>
    <dataField name="Vsota od Bond eligible amount (EUR)_x000a_Σ 24+25" fld="13" baseField="0" baseItem="0" numFmtId="3"/>
  </dataFields>
  <formats count="2">
    <format dxfId="107">
      <pivotArea outline="0" collapsedLevelsAreSubtotals="1" fieldPosition="0"/>
    </format>
    <format dxfId="106">
      <pivotArea field="4" type="button" dataOnly="0" labelOnly="1" outline="0" axis="axisRow" fieldPosition="0"/>
    </format>
  </formats>
  <pivotTableStyleInfo name="PivotStyleMedium10"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3762321-1DAC-42D1-BFA5-44C527A19080}" name="Vrtilna tabela1" cacheId="0" applyNumberFormats="0" applyBorderFormats="0" applyFontFormats="0" applyPatternFormats="0" applyAlignmentFormats="0" applyWidthHeightFormats="1" dataCaption="Vrednosti" updatedVersion="8" minRefreshableVersion="3" useAutoFormatting="1" itemPrintTitles="1" createdVersion="8" indent="0" outline="1" outlineData="1" multipleFieldFilters="0">
  <location ref="D58:E62" firstHeaderRow="1" firstDataRow="1" firstDataCol="1" rowPageCount="1" colPageCount="1"/>
  <pivotFields count="18">
    <pivotField showAll="0"/>
    <pivotField showAll="0"/>
    <pivotField showAll="0"/>
    <pivotField showAll="0"/>
    <pivotField axis="axisPage" multipleItemSelectionAllowed="1" showAll="0">
      <items count="4">
        <item x="1"/>
        <item m="1" x="2"/>
        <item x="0"/>
        <item t="default"/>
      </items>
    </pivotField>
    <pivotField showAll="0"/>
    <pivotField showAll="0"/>
    <pivotField axis="axisRow" showAll="0">
      <items count="5">
        <item m="1" x="3"/>
        <item x="2"/>
        <item x="0"/>
        <item x="1"/>
        <item t="default"/>
      </items>
    </pivotField>
    <pivotField showAll="0"/>
    <pivotField showAll="0"/>
    <pivotField showAll="0"/>
    <pivotField numFmtId="44" showAll="0"/>
    <pivotField numFmtId="44" showAll="0"/>
    <pivotField dataField="1" numFmtId="3" showAll="0"/>
    <pivotField numFmtId="3" showAll="0"/>
    <pivotField numFmtId="3" showAll="0"/>
    <pivotField numFmtId="10" showAll="0"/>
    <pivotField showAll="0"/>
  </pivotFields>
  <rowFields count="1">
    <field x="7"/>
  </rowFields>
  <rowItems count="4">
    <i>
      <x v="1"/>
    </i>
    <i>
      <x v="2"/>
    </i>
    <i>
      <x v="3"/>
    </i>
    <i t="grand">
      <x/>
    </i>
  </rowItems>
  <colItems count="1">
    <i/>
  </colItems>
  <pageFields count="1">
    <pageField fld="4" hier="-1"/>
  </pageFields>
  <dataFields count="1">
    <dataField name="Vsota od Bond eligible amount (EUR)_x000a_Σ 24+25" fld="13" baseField="0" baseItem="0" numFmtId="3"/>
  </dataFields>
  <formats count="1">
    <format dxfId="105">
      <pivotArea outline="0" collapsedLevelsAreSubtotals="1" fieldPosition="0"/>
    </format>
  </formats>
  <pivotTableStyleInfo name="PivotStyleLight17"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539F4CB6-077A-4C6F-8DD1-EBB3A7DBDDB6}" name="Tabela10" displayName="Tabela10" ref="A65:B69" totalsRowShown="0" headerRowDxfId="104">
  <autoFilter ref="A65:B69" xr:uid="{34CF450F-C0A1-493E-B00F-131A87F1D818}"/>
  <tableColumns count="2">
    <tableColumn id="1" xr3:uid="{6D6BE8E8-FBEE-4638-8D3E-5B86002D7B52}" name="Type of expenditure" dataDxfId="103"/>
    <tableColumn id="2" xr3:uid="{6D4E1538-7D9B-4FD5-AAF5-1D54F2760F92}" name="Allocated amount" dataDxfId="102"/>
  </tableColumns>
  <tableStyleInfo name="TableStyleLight2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52122D5B-7506-4539-9002-E16850544FB7}" name="Social" displayName="Social" ref="A1:R6" totalsRowShown="0" headerRowDxfId="101" dataDxfId="99" headerRowBorderDxfId="100" tableBorderDxfId="98">
  <autoFilter ref="A1:R6" xr:uid="{52122D5B-7506-4539-9002-E16850544FB7}"/>
  <tableColumns count="18">
    <tableColumn id="1" xr3:uid="{48B25DB3-C9E6-4725-88BE-9FD095E32238}" name="Project nr. " dataDxfId="97"/>
    <tableColumn id="2" xr3:uid="{2ECDC837-CCA9-487F-959F-A124231A212D}" name="NRP nr. " dataDxfId="96"/>
    <tableColumn id="17" xr3:uid="{BEF13189-4DF5-4A2D-95EE-5DFE4E07CDAF}" name="Project name " dataDxfId="95"/>
    <tableColumn id="4" xr3:uid="{9258822D-D7B5-484B-B75B-912974CC958D}" name="Description and rationale for social eligibility " dataDxfId="94"/>
    <tableColumn id="5" xr3:uid="{DDE319A0-8864-4B4A-BD14-2FF1CE05BEE8}" name=" _x000a_SBP Category" dataDxfId="93"/>
    <tableColumn id="13" xr3:uid="{F7AD7BC0-E8E4-4204-98E6-8EBC651CC6A8}" name="Sub-category" dataDxfId="92"/>
    <tableColumn id="6" xr3:uid="{797D2B9A-9CE6-45D6-8629-160617137C9C}" name="UN SDG goal" dataDxfId="91"/>
    <tableColumn id="7" xr3:uid="{AFFBACF9-7FC8-4EA5-8E4A-7E0D8FF3C457}" name="Type of expenditure" dataDxfId="90"/>
    <tableColumn id="8" xr3:uid="{2D7DA66B-6B83-4001-9D60-2252D5E578E8}" name="Beneficiary" dataDxfId="89"/>
    <tableColumn id="9" xr3:uid="{A6B3BF93-5370-4E3A-842E-559364D54E61}" name="Target Population " dataDxfId="88"/>
    <tableColumn id="10" xr3:uid="{B0709EC3-C1BF-4ABD-A052-428958A21CB5}" name="Phase of the project" dataDxfId="87"/>
    <tableColumn id="11" xr3:uid="{6282B67F-16E8-41F7-8A19-B1A693B4E22B}" name="Total project amount (EUR)" dataDxfId="86"/>
    <tableColumn id="12" xr3:uid="{AE7C790B-E845-4976-A4E0-AC56ADF7C88C}" name="Total RS financing amount (EUR)" dataDxfId="85"/>
    <tableColumn id="15" xr3:uid="{AFE5BD6D-90DB-4F05-BF66-84E3F8946668}" name="Bond eligible amount (EUR)_x000a_Σ 24+25" dataDxfId="84">
      <calculatedColumnFormula>+Social[[#This Row],[RS financing 2024 (EUR)]]+Social[[#This Row],[RS financing 2025 (EUR)]]</calculatedColumnFormula>
    </tableColumn>
    <tableColumn id="16" xr3:uid="{22C58CA9-7BE3-46DC-9B97-18667C2C8B12}" name="RS financing 2024 (EUR)" dataDxfId="83"/>
    <tableColumn id="3" xr3:uid="{7C8B7AF6-837C-4201-808F-4155C7B66FC2}" name="RS financing 2025 (EUR)" dataDxfId="82" dataCellStyle="Valuta">
      <calculatedColumnFormula>VLOOKUP(Social[[#This Row],[NRP nr. ]],#REF!,5,FALSE)</calculatedColumnFormula>
    </tableColumn>
    <tableColumn id="19" xr3:uid="{A519FA72-E5D7-4820-8E0D-DADECB908AB7}" name="Social bond allocation as % of total project amount" dataDxfId="81" dataCellStyle="Valuta">
      <calculatedColumnFormula>+Social[[#This Row],[Bond eligible amount (EUR)
Σ 24+25]]/Social[[#This Row],[Total project amount (EUR)]]</calculatedColumnFormula>
    </tableColumn>
    <tableColumn id="20" xr3:uid="{05159382-EBF6-4907-978C-2B960FCC9417}" name="Responsible Ministry" dataDxfId="80"/>
  </tableColumns>
  <tableStyleInfo name="TableStyleMedium3"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E6A9525C-A28E-43C8-805E-26C66A279B6F}" name="Tabela1345614" displayName="Tabela1345614" ref="A1:G115" totalsRowCount="1" headerRowDxfId="79" headerRowBorderDxfId="78" tableBorderDxfId="77" totalsRowBorderDxfId="76">
  <autoFilter ref="A1:G114" xr:uid="{E6A9525C-A28E-43C8-805E-26C66A279B6F}"/>
  <sortState xmlns:xlrd2="http://schemas.microsoft.com/office/spreadsheetml/2017/richdata2" ref="A2:G97">
    <sortCondition ref="E1:E97"/>
  </sortState>
  <tableColumns count="7">
    <tableColumn id="1" xr3:uid="{5240687C-ABAD-44AE-BEF7-7DA9E5B5B12C}" name="NRP. Nr. " dataDxfId="75" totalsRowDxfId="74"/>
    <tableColumn id="2" xr3:uid="{43282CFA-2962-49BC-A333-23B42B2241BA}" name="Project name" dataDxfId="73" totalsRowDxfId="72"/>
    <tableColumn id="3" xr3:uid="{2F3EBF06-AB48-4461-B52A-9F2F2ADACAF1}" name="Total project amount (EUR)" totalsRowFunction="sum" dataDxfId="71" totalsRowDxfId="70"/>
    <tableColumn id="4" xr3:uid="{32C7102D-92F6-4A3F-869F-7F14CC4813A4}" name="RS financing amount (EUR)" totalsRowFunction="sum" dataDxfId="69" totalsRowDxfId="68"/>
    <tableColumn id="5" xr3:uid="{BF2200B6-7007-40F5-B2EB-8512B5EBF8A8}" name="Bond eligible amount (EUR)_x000a_Σ 24+25" totalsRowFunction="sum" dataDxfId="67" totalsRowDxfId="66">
      <calculatedColumnFormula>+Tabela1345614[[#This Row],[RS financing 2024 (EUR)]]+Tabela1345614[[#This Row],[RS financing 2025 (EUR)]]</calculatedColumnFormula>
    </tableColumn>
    <tableColumn id="6" xr3:uid="{45C25D9A-F5E9-488E-97EF-10269FBA2068}" name="RS financing 2024 (EUR)" totalsRowFunction="sum" dataDxfId="65" totalsRowDxfId="64" dataCellStyle="Navadno 2"/>
    <tableColumn id="10" xr3:uid="{E755A581-4780-4F71-9B95-6DA49402A2A0}" name="RS financing 2025 (EUR)" totalsRowFunction="sum" dataDxfId="63" totalsRowDxfId="62" dataCellStyle="Navadno 2"/>
  </tableColumns>
  <tableStyleInfo name="TableStyleMedium7"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E7BF718-245F-47F9-BEF4-41DCDCEEBB4C}" name="Tabela3" displayName="Tabela3" ref="A1:G4" totalsRowCount="1" headerRowDxfId="61" dataDxfId="60">
  <autoFilter ref="A1:G3" xr:uid="{7E7BF718-245F-47F9-BEF4-41DCDCEEBB4C}"/>
  <tableColumns count="7">
    <tableColumn id="1" xr3:uid="{19C0FBA7-62D6-42EF-998C-063B3877A0D7}" name="NRP. Nr. " dataDxfId="59" totalsRowDxfId="58"/>
    <tableColumn id="2" xr3:uid="{EB6BBA69-28CB-4C6E-B06D-A99896C58143}" name="Project name" dataDxfId="57" totalsRowDxfId="56"/>
    <tableColumn id="3" xr3:uid="{0AEDAF3A-F659-4E16-89EC-04A14D68B27C}" name="Total project amount (EUR)" totalsRowFunction="custom" dataDxfId="55" totalsRowDxfId="54">
      <totalsRowFormula>SUM(Tabela3[Total project amount (EUR)])</totalsRowFormula>
    </tableColumn>
    <tableColumn id="4" xr3:uid="{997CE373-8165-4A45-BAE4-D195FD8DC081}" name="RS financing amount (EUR)" totalsRowFunction="custom" dataDxfId="53" totalsRowDxfId="52">
      <totalsRowFormula>SUM(Tabela3[RS financing amount (EUR)])</totalsRowFormula>
    </tableColumn>
    <tableColumn id="5" xr3:uid="{76B38471-E6AB-4C7F-BD44-ED3CFFB1A766}" name="Bond eligible amount (EUR)_x000a_Σ 24+25" totalsRowFunction="custom" dataDxfId="51" totalsRowDxfId="50">
      <calculatedColumnFormula>+Tabela3[[#This Row],[RS financing 2024 (EUR)]]+Tabela3[[#This Row],[RS financing 2025 (EUR)]]</calculatedColumnFormula>
      <totalsRowFormula>SUM(Tabela3[Bond eligible amount (EUR)
Σ 24+25])</totalsRowFormula>
    </tableColumn>
    <tableColumn id="6" xr3:uid="{3AB3C185-6006-4848-898D-62B7C869C2A3}" name="RS financing 2024 (EUR)" totalsRowFunction="custom" dataDxfId="49" totalsRowDxfId="48">
      <totalsRowFormula>SUM(Tabela3[RS financing 2024 (EUR)])</totalsRowFormula>
    </tableColumn>
    <tableColumn id="7" xr3:uid="{0A673CE5-8302-4F6B-BB2A-79CE15D343A7}" name="RS financing 2025 (EUR)" totalsRowFunction="custom" dataDxfId="47" totalsRowDxfId="46">
      <totalsRowFormula>SUM(Tabela3[RS financing 2025 (EUR)])</totalsRowFormula>
    </tableColumn>
  </tableColumns>
  <tableStyleInfo name="TableStyleLight14"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8CAF8F65-8C69-4BA4-8312-AB123EE98E5A}" name="Tabela36" displayName="Tabela36" ref="A1:G4" totalsRowCount="1" headerRowDxfId="45" dataDxfId="44">
  <autoFilter ref="A1:G3" xr:uid="{8CAF8F65-8C69-4BA4-8312-AB123EE98E5A}"/>
  <tableColumns count="7">
    <tableColumn id="1" xr3:uid="{673C2CFD-44FB-4C56-9C71-F5CEFC4B70F9}" name="NRP. Nr. " dataDxfId="43" totalsRowDxfId="42"/>
    <tableColumn id="2" xr3:uid="{0412E102-F656-4822-A6FA-136AC80E7A52}" name="Project name" dataDxfId="41" totalsRowDxfId="40"/>
    <tableColumn id="3" xr3:uid="{A4242AD3-E4F7-4FAF-A41B-AE113C4AB8F5}" name="Total project amount (EUR)" totalsRowFunction="custom" dataDxfId="39" totalsRowDxfId="38">
      <totalsRowFormula>SUM(Tabela36[Total project amount (EUR)])</totalsRowFormula>
    </tableColumn>
    <tableColumn id="4" xr3:uid="{B9874598-8586-4F78-AF28-90614085F032}" name="RS financing amount (EUR)" totalsRowFunction="custom" dataDxfId="37" totalsRowDxfId="36">
      <totalsRowFormula>SUM(Tabela36[RS financing amount (EUR)])</totalsRowFormula>
    </tableColumn>
    <tableColumn id="5" xr3:uid="{39C944CA-8582-4F9E-ABFA-B8D9852620FB}" name="Bond eligible amount (EUR)_x000a_Σ 24+25" totalsRowFunction="custom" dataDxfId="35" totalsRowDxfId="34">
      <calculatedColumnFormula>+Tabela36[[#This Row],[RS financing 2024 (EUR)]]+Tabela36[[#This Row],[RS financing 2025 (EUR)]]</calculatedColumnFormula>
      <totalsRowFormula>SUM(Tabela36[Bond eligible amount (EUR)
Σ 24+25])</totalsRowFormula>
    </tableColumn>
    <tableColumn id="6" xr3:uid="{1F77924E-7CC5-4C89-A2BD-63BE60A3A0E9}" name="RS financing 2024 (EUR)" totalsRowFunction="custom" dataDxfId="33" totalsRowDxfId="32">
      <totalsRowFormula>SUM(Tabela36[RS financing 2024 (EUR)])</totalsRowFormula>
    </tableColumn>
    <tableColumn id="7" xr3:uid="{B20939F5-7DC4-42B3-AB19-8CD08A09A970}" name="RS financing 2025 (EUR)" totalsRowFunction="custom" dataDxfId="31" totalsRowDxfId="30">
      <totalsRowFormula>SUM(Tabela36[RS financing 2025 (EUR)])</totalsRowFormula>
    </tableColumn>
  </tableColumns>
  <tableStyleInfo name="TableStyleLight14"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F636DE7E-1945-4008-84D0-859F0286BC1F}" name="Tabela362" displayName="Tabela362" ref="A1:J3" totalsRowCount="1" headerRowDxfId="29" dataDxfId="28">
  <autoFilter ref="A1:J2" xr:uid="{F636DE7E-1945-4008-84D0-859F0286BC1F}"/>
  <tableColumns count="10">
    <tableColumn id="1" xr3:uid="{D706E871-16CB-4363-8DCE-B46F9E00A529}" name="NRP. Nr. " dataDxfId="27" totalsRowDxfId="26"/>
    <tableColumn id="2" xr3:uid="{85DF7002-9F34-47CE-AC57-E3460721CBFC}" name="Project name" dataDxfId="25" totalsRowDxfId="24"/>
    <tableColumn id="3" xr3:uid="{1B7584E5-D852-4E8D-9156-78329364C905}" name="Total project amount (EUR)" totalsRowFunction="sum" dataDxfId="23" totalsRowDxfId="22"/>
    <tableColumn id="4" xr3:uid="{A2F48F60-1E12-4203-BCB6-448BE7A44B1A}" name="RS financing amount (EUR)" totalsRowFunction="sum" dataDxfId="21" totalsRowDxfId="20">
      <calculatedColumnFormula>Tabela362[[#This Row],[Total project amount (EUR)]]</calculatedColumnFormula>
    </tableColumn>
    <tableColumn id="5" xr3:uid="{A5004D69-FF2F-42E2-8CDB-BB5184A6E479}" name="Bond eligible amount (EUR)_x000a_Σ 24+25+26+27+28" totalsRowFunction="sum" dataDxfId="19" totalsRowDxfId="18"/>
    <tableColumn id="6" xr3:uid="{AA6232AB-3BB6-4BE8-BB21-22F210072A2D}" name="RS financing 2024 (EUR)" totalsRowFunction="sum" dataDxfId="17" totalsRowDxfId="16"/>
    <tableColumn id="7" xr3:uid="{392FD0F4-B8DF-445C-A3CB-00FC8CA74491}" name="RS financing 2025 (EUR)" totalsRowFunction="sum" dataDxfId="15" totalsRowDxfId="14"/>
    <tableColumn id="8" xr3:uid="{AFF9E0D8-E6DD-4F81-9AAB-5866AEF175CF}" name="RS financing 2026 (EUR)" totalsRowFunction="sum" dataDxfId="13" totalsRowDxfId="12"/>
    <tableColumn id="9" xr3:uid="{B0ED145C-1C62-4ADF-B935-61100F6010AD}" name="RS financing 2027 (EUR)" totalsRowLabel="70.867.782,63_x0009_" dataDxfId="11" totalsRowDxfId="10" dataCellStyle="Navadno 3"/>
    <tableColumn id="10" xr3:uid="{19E1B65C-A042-418B-8074-C912B8A6E4B7}" name="RS financing 2028 (EUR)" totalsRowFunction="sum" dataDxfId="9" totalsRowDxfId="8"/>
  </tableColumns>
  <tableStyleInfo name="TableStyleLight14"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20EE97EC-4020-4B29-BB8D-A44CD90BCD7A}" name="Tabela9" displayName="Tabela9" ref="A2:P6" totalsRowShown="0" headerRowDxfId="121" headerRowCellStyle="Navadno 4">
  <autoFilter ref="A2:P6" xr:uid="{20EE97EC-4020-4B29-BB8D-A44CD90BCD7A}"/>
  <tableColumns count="16">
    <tableColumn id="1" xr3:uid="{DD5E99C4-9CB8-484E-B349-620137177088}" name="Project no." dataCellStyle="Navadno 4"/>
    <tableColumn id="2" xr3:uid="{712F88B0-0B1C-42F3-A1BF-35D444B93549}" name="School Type" dataCellStyle="Navadno 4"/>
    <tableColumn id="3" xr3:uid="{56113CD5-4865-45B9-8A46-E90CD4B18D63}" name="Description" dataDxfId="120" dataCellStyle="Navadno 4">
      <calculatedColumnFormula>+VLOOKUP($A3,'Social projects (SP)'!$B$2:$R$7,2,FALSE)</calculatedColumnFormula>
    </tableColumn>
    <tableColumn id="4" xr3:uid="{5D0E2AB5-71D2-4502-8BBD-49ECB18F1BDC}" name="Total project financing (RS &amp; other sources)" dataDxfId="119" dataCellStyle="Valuta">
      <calculatedColumnFormula>+VLOOKUP($A3,'Social projects (SP)'!$B$2:$R$7,11,FALSE)</calculatedColumnFormula>
    </tableColumn>
    <tableColumn id="5" xr3:uid="{3CD71E54-1C1C-4B0C-BFF5-47CCB52E6B8C}" name="RS financing 2024 (EUR)" dataDxfId="118" dataCellStyle="Valuta"/>
    <tableColumn id="13" xr3:uid="{A95AEF4A-314C-40E2-A9A4-AAC687810F98}" name="RS financing 2025 (EUR)" dataDxfId="117" dataCellStyle="Valuta"/>
    <tableColumn id="6" xr3:uid="{93C489CB-73D2-4F3C-A7A5-36209A5133BF}" name="Allocated Amount EUR in 2024" dataDxfId="116" dataCellStyle="Valuta"/>
    <tableColumn id="14" xr3:uid="{5944D796-25C0-4C26-B298-866802138E11}" name="Allocated Amount EUR in 2025" dataDxfId="115" dataCellStyle="Navadno 4"/>
    <tableColumn id="11" xr3:uid="{CEC2A9FF-213E-443A-8227-F1F33C4C6BE3}" name="Allocated Amount EUR in 2024 and 2025" dataDxfId="114" dataCellStyle="Valuta"/>
    <tableColumn id="7" xr3:uid="{87F618CA-6706-4058-B532-B24D92E7CDCF}" name="% Allocated EUR in 2024" dataDxfId="113" dataCellStyle="Odstotek">
      <calculatedColumnFormula>G3/E3</calculatedColumnFormula>
    </tableColumn>
    <tableColumn id="15" xr3:uid="{C8A355C8-9325-43E8-B965-98060B81A848}" name="% Allocated EUR in 2025" dataDxfId="112" dataCellStyle="Navadno 4">
      <calculatedColumnFormula>H3/F3</calculatedColumnFormula>
    </tableColumn>
    <tableColumn id="8" xr3:uid="{51825270-23C2-449B-897E-579BAF5AACAF}" name="% Allocated of Total Project Financing" dataDxfId="111" dataCellStyle="Odstotek">
      <calculatedColumnFormula>+I3/D3</calculatedColumnFormula>
    </tableColumn>
    <tableColumn id="9" xr3:uid="{4AF711DD-F675-4611-8FD4-C2C42CCC41FF}" name="Number of Students per Year (data for 2024)"/>
    <tableColumn id="16" xr3:uid="{BB5D4291-0953-4EEE-B6C2-A92AD4E3C3B7}" name="Number of Students per Year (data for 2025)" dataDxfId="110" dataCellStyle="Navadno 4"/>
    <tableColumn id="17" xr3:uid="{AEF02108-1255-4CB8-9699-0F0A899F17DF}" name="Financed Number of Students per Year (2024)" dataDxfId="109" dataCellStyle="Navadno 4"/>
    <tableColumn id="10" xr3:uid="{ED27D27A-0995-468F-AEAF-05F4FC075A9D}" name="Financed Number of Students per Year (2025)" dataDxfId="108" dataCellStyle="Navadno 4"/>
  </tableColumns>
  <tableStyleInfo name="TableStyleMedium4"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5FA4984-9E3E-451F-9FAB-DA2ED0A3A276}" name="Tabela6" displayName="Tabela6" ref="A2:I3" totalsRowShown="0" headerRowCellStyle="Navadno 4">
  <autoFilter ref="A2:I3" xr:uid="{A5FA4984-9E3E-451F-9FAB-DA2ED0A3A276}"/>
  <tableColumns count="9">
    <tableColumn id="1" xr3:uid="{BE073EE3-65BD-46FC-82FF-206CCDE244FC}" name="Project no." dataCellStyle="Navadno 4"/>
    <tableColumn id="2" xr3:uid="{C3ED6B02-63FE-4D57-9708-D92D68AB2E67}" name="Description" dataDxfId="7" dataCellStyle="Navadno 4"/>
    <tableColumn id="3" xr3:uid="{762EE0B8-70A1-4D4B-BE4C-6F4CAC507DF7}" name="Total project financing (RS &amp; other sources)" dataDxfId="6" dataCellStyle="Valuta">
      <calculatedColumnFormula>+VLOOKUP($A3,'Social projects (SP)'!$B$2:$R$7,11,FALSE)</calculatedColumnFormula>
    </tableColumn>
    <tableColumn id="8" xr3:uid="{0F5E0D07-8F81-4713-9DF5-8CB024AC81AF}" name="RS financing 2025 (EUR)" dataDxfId="5" dataCellStyle="Valuta">
      <calculatedColumnFormula>+VLOOKUP($A3,'Social projects (SP)'!$B$2:$R$7,13,FALSE)</calculatedColumnFormula>
    </tableColumn>
    <tableColumn id="4" xr3:uid="{F56C7908-F211-4995-8803-8E0C926672AE}" name="Allocated amount EUR in 2025" dataDxfId="4" dataCellStyle="Valuta">
      <calculatedColumnFormula>+VLOOKUP($A3,'Social projects (SP)'!$B$2:$R$7,13,FALSE)</calculatedColumnFormula>
    </tableColumn>
    <tableColumn id="10" xr3:uid="{AD7BAAB4-7604-463B-80EB-C52DD02342B7}" name="% Allocated amount EUR 2025" dataDxfId="3" dataCellStyle="Odstotek">
      <calculatedColumnFormula>Tabela6[[#This Row],[Allocated amount EUR in 2025]]/Tabela6[[#This Row],[RS financing 2025 (EUR)]]</calculatedColumnFormula>
    </tableColumn>
    <tableColumn id="5" xr3:uid="{2E48E516-6338-4821-AF5A-1441DC99D96C}" name="% Allocated of Total Project Financing2" dataDxfId="2" dataCellStyle="Odstotek">
      <calculatedColumnFormula>+E3/C3</calculatedColumnFormula>
    </tableColumn>
    <tableColumn id="6" xr3:uid="{01094147-DA92-4467-987F-A50719C908DE}" name="Number of beneficiaries in 2025" dataDxfId="1" dataCellStyle="Odstotek 2"/>
    <tableColumn id="7" xr3:uid="{70B6128B-DC12-41DA-8D63-D3ACEB92ADC8}" name="Financed Number of Beneficiaries" dataDxfId="0" dataCellStyle="Navadno 4">
      <calculatedColumnFormula>Tabela6[[#This Row],[Number of beneficiaries in 2025]]*Tabela6[[#This Row],[% Allocated amount EUR 2025]]</calculatedColumnFormula>
    </tableColumn>
  </tableColumns>
  <tableStyleInfo name="TableStyleMedium4"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table" Target="../tables/table6.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7.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8.xm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pivotTable" Target="../pivotTables/pivotTable2.xml"/><Relationship Id="rId4" Type="http://schemas.openxmlformats.org/officeDocument/2006/relationships/table" Target="../tables/table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table" Target="../tables/table3.xml"/></Relationships>
</file>

<file path=xl/worksheets/_rels/sheet8.xml.rels><?xml version="1.0" encoding="UTF-8" standalone="yes"?>
<Relationships xmlns="http://schemas.openxmlformats.org/package/2006/relationships"><Relationship Id="rId1" Type="http://schemas.openxmlformats.org/officeDocument/2006/relationships/table" Target="../tables/table4.xml"/></Relationships>
</file>

<file path=xl/worksheets/_rels/sheet9.xml.rels><?xml version="1.0" encoding="UTF-8" standalone="yes"?>
<Relationships xmlns="http://schemas.openxmlformats.org/package/2006/relationships"><Relationship Id="rId1" Type="http://schemas.openxmlformats.org/officeDocument/2006/relationships/table" Target="../tables/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1788D-DCA4-466E-87CA-88FC17D8DFE6}">
  <sheetPr>
    <tabColor theme="0"/>
  </sheetPr>
  <dimension ref="A1:F122"/>
  <sheetViews>
    <sheetView workbookViewId="0">
      <selection activeCell="F35" sqref="F35"/>
    </sheetView>
  </sheetViews>
  <sheetFormatPr defaultRowHeight="14.25" x14ac:dyDescent="0.2"/>
  <cols>
    <col min="1" max="1" width="46" customWidth="1"/>
    <col min="4" max="4" width="48" customWidth="1"/>
    <col min="6" max="6" width="45.125" customWidth="1"/>
  </cols>
  <sheetData>
    <row r="1" spans="1:6" x14ac:dyDescent="0.2">
      <c r="A1" s="3" t="s">
        <v>48</v>
      </c>
      <c r="D1" s="4" t="s">
        <v>49</v>
      </c>
      <c r="F1" s="2" t="s">
        <v>50</v>
      </c>
    </row>
    <row r="2" spans="1:6" x14ac:dyDescent="0.2">
      <c r="A2" t="s">
        <v>51</v>
      </c>
      <c r="D2" t="s">
        <v>52</v>
      </c>
      <c r="F2" t="s">
        <v>45</v>
      </c>
    </row>
    <row r="3" spans="1:6" x14ac:dyDescent="0.2">
      <c r="A3" t="s">
        <v>53</v>
      </c>
      <c r="D3" t="s">
        <v>54</v>
      </c>
      <c r="F3" t="s">
        <v>31</v>
      </c>
    </row>
    <row r="4" spans="1:6" x14ac:dyDescent="0.2">
      <c r="A4" t="s">
        <v>43</v>
      </c>
      <c r="D4" t="s">
        <v>21</v>
      </c>
      <c r="F4" t="s">
        <v>55</v>
      </c>
    </row>
    <row r="5" spans="1:6" x14ac:dyDescent="0.2">
      <c r="A5" t="s">
        <v>56</v>
      </c>
      <c r="D5" t="s">
        <v>57</v>
      </c>
      <c r="F5" t="s">
        <v>58</v>
      </c>
    </row>
    <row r="6" spans="1:6" x14ac:dyDescent="0.2">
      <c r="A6" t="s">
        <v>38</v>
      </c>
      <c r="D6" t="s">
        <v>59</v>
      </c>
      <c r="F6" t="s">
        <v>41</v>
      </c>
    </row>
    <row r="7" spans="1:6" x14ac:dyDescent="0.2">
      <c r="A7" t="s">
        <v>60</v>
      </c>
      <c r="D7" t="s">
        <v>61</v>
      </c>
      <c r="F7" t="s">
        <v>26</v>
      </c>
    </row>
    <row r="8" spans="1:6" x14ac:dyDescent="0.2">
      <c r="A8" t="s">
        <v>62</v>
      </c>
      <c r="D8" t="s">
        <v>63</v>
      </c>
      <c r="F8" t="s">
        <v>35</v>
      </c>
    </row>
    <row r="9" spans="1:6" x14ac:dyDescent="0.2">
      <c r="A9" t="s">
        <v>64</v>
      </c>
      <c r="D9" t="s">
        <v>33</v>
      </c>
      <c r="F9" t="s">
        <v>32</v>
      </c>
    </row>
    <row r="10" spans="1:6" x14ac:dyDescent="0.2">
      <c r="A10" t="s">
        <v>65</v>
      </c>
      <c r="D10" t="s">
        <v>15</v>
      </c>
      <c r="F10" t="s">
        <v>66</v>
      </c>
    </row>
    <row r="11" spans="1:6" x14ac:dyDescent="0.2">
      <c r="A11" t="s">
        <v>67</v>
      </c>
      <c r="D11" t="s">
        <v>25</v>
      </c>
      <c r="F11" t="s">
        <v>40</v>
      </c>
    </row>
    <row r="12" spans="1:6" x14ac:dyDescent="0.2">
      <c r="D12" t="s">
        <v>34</v>
      </c>
    </row>
    <row r="13" spans="1:6" x14ac:dyDescent="0.2">
      <c r="D13" t="s">
        <v>44</v>
      </c>
      <c r="F13" s="5" t="s">
        <v>68</v>
      </c>
    </row>
    <row r="14" spans="1:6" x14ac:dyDescent="0.2">
      <c r="D14" t="s">
        <v>69</v>
      </c>
      <c r="F14" t="s">
        <v>30</v>
      </c>
    </row>
    <row r="15" spans="1:6" x14ac:dyDescent="0.2">
      <c r="A15" s="2" t="s">
        <v>70</v>
      </c>
      <c r="D15" t="s">
        <v>71</v>
      </c>
      <c r="F15" t="s">
        <v>19</v>
      </c>
    </row>
    <row r="16" spans="1:6" x14ac:dyDescent="0.2">
      <c r="A16" t="s">
        <v>27</v>
      </c>
      <c r="D16" t="s">
        <v>72</v>
      </c>
      <c r="F16" t="s">
        <v>17</v>
      </c>
    </row>
    <row r="17" spans="1:6" x14ac:dyDescent="0.2">
      <c r="A17" t="s">
        <v>14</v>
      </c>
      <c r="F17" t="s">
        <v>28</v>
      </c>
    </row>
    <row r="18" spans="1:6" x14ac:dyDescent="0.2">
      <c r="A18" t="s">
        <v>73</v>
      </c>
      <c r="F18" t="s">
        <v>42</v>
      </c>
    </row>
    <row r="19" spans="1:6" x14ac:dyDescent="0.2">
      <c r="A19" t="s">
        <v>74</v>
      </c>
    </row>
    <row r="20" spans="1:6" x14ac:dyDescent="0.2">
      <c r="A20" t="s">
        <v>23</v>
      </c>
    </row>
    <row r="25" spans="1:6" x14ac:dyDescent="0.2">
      <c r="A25" s="6" t="s">
        <v>75</v>
      </c>
      <c r="D25" s="7" t="s">
        <v>37</v>
      </c>
    </row>
    <row r="26" spans="1:6" x14ac:dyDescent="0.2">
      <c r="A26" s="1" t="s">
        <v>76</v>
      </c>
      <c r="D26" t="s">
        <v>77</v>
      </c>
    </row>
    <row r="27" spans="1:6" x14ac:dyDescent="0.2">
      <c r="A27" s="1" t="s">
        <v>78</v>
      </c>
      <c r="D27" t="s">
        <v>79</v>
      </c>
    </row>
    <row r="28" spans="1:6" ht="28.5" x14ac:dyDescent="0.2">
      <c r="A28" s="1" t="s">
        <v>80</v>
      </c>
      <c r="D28" t="s">
        <v>81</v>
      </c>
    </row>
    <row r="29" spans="1:6" x14ac:dyDescent="0.2">
      <c r="A29" s="1" t="s">
        <v>82</v>
      </c>
      <c r="D29" t="s">
        <v>83</v>
      </c>
    </row>
    <row r="30" spans="1:6" ht="28.5" x14ac:dyDescent="0.2">
      <c r="A30" s="1" t="s">
        <v>84</v>
      </c>
      <c r="D30" t="s">
        <v>85</v>
      </c>
    </row>
    <row r="31" spans="1:6" x14ac:dyDescent="0.2">
      <c r="D31" t="s">
        <v>86</v>
      </c>
    </row>
    <row r="32" spans="1:6" x14ac:dyDescent="0.2">
      <c r="D32" t="s">
        <v>87</v>
      </c>
    </row>
    <row r="33" spans="1:4" x14ac:dyDescent="0.2">
      <c r="D33" t="s">
        <v>88</v>
      </c>
    </row>
    <row r="34" spans="1:4" x14ac:dyDescent="0.2">
      <c r="A34" s="7" t="s">
        <v>36</v>
      </c>
      <c r="D34" t="s">
        <v>89</v>
      </c>
    </row>
    <row r="35" spans="1:4" ht="15" x14ac:dyDescent="0.2">
      <c r="A35" s="8" t="s">
        <v>39</v>
      </c>
      <c r="D35" t="s">
        <v>90</v>
      </c>
    </row>
    <row r="36" spans="1:4" ht="15" x14ac:dyDescent="0.2">
      <c r="A36" s="8" t="s">
        <v>62</v>
      </c>
      <c r="D36" t="s">
        <v>91</v>
      </c>
    </row>
    <row r="37" spans="1:4" ht="15" x14ac:dyDescent="0.2">
      <c r="A37" s="9" t="s">
        <v>92</v>
      </c>
      <c r="D37" t="s">
        <v>93</v>
      </c>
    </row>
    <row r="38" spans="1:4" ht="15" x14ac:dyDescent="0.2">
      <c r="A38" s="9" t="s">
        <v>94</v>
      </c>
      <c r="D38" t="s">
        <v>95</v>
      </c>
    </row>
    <row r="39" spans="1:4" ht="15" x14ac:dyDescent="0.2">
      <c r="A39" s="8" t="s">
        <v>53</v>
      </c>
      <c r="D39" t="s">
        <v>96</v>
      </c>
    </row>
    <row r="40" spans="1:4" ht="15" x14ac:dyDescent="0.2">
      <c r="A40" s="9" t="s">
        <v>97</v>
      </c>
      <c r="D40" t="s">
        <v>98</v>
      </c>
    </row>
    <row r="41" spans="1:4" x14ac:dyDescent="0.2">
      <c r="D41" t="s">
        <v>99</v>
      </c>
    </row>
    <row r="42" spans="1:4" x14ac:dyDescent="0.2">
      <c r="D42" t="s">
        <v>100</v>
      </c>
    </row>
    <row r="43" spans="1:4" x14ac:dyDescent="0.2">
      <c r="A43" s="6" t="s">
        <v>7</v>
      </c>
      <c r="D43" t="s">
        <v>101</v>
      </c>
    </row>
    <row r="44" spans="1:4" x14ac:dyDescent="0.2">
      <c r="A44" t="s">
        <v>16</v>
      </c>
      <c r="D44" t="s">
        <v>102</v>
      </c>
    </row>
    <row r="45" spans="1:4" x14ac:dyDescent="0.2">
      <c r="A45" t="s">
        <v>29</v>
      </c>
      <c r="D45" t="s">
        <v>103</v>
      </c>
    </row>
    <row r="46" spans="1:4" x14ac:dyDescent="0.2">
      <c r="A46" t="s">
        <v>22</v>
      </c>
      <c r="D46" t="s">
        <v>104</v>
      </c>
    </row>
    <row r="47" spans="1:4" x14ac:dyDescent="0.2">
      <c r="A47" t="s">
        <v>20</v>
      </c>
      <c r="D47" t="s">
        <v>105</v>
      </c>
    </row>
    <row r="48" spans="1:4" x14ac:dyDescent="0.2">
      <c r="A48" t="s">
        <v>106</v>
      </c>
      <c r="D48" t="s">
        <v>107</v>
      </c>
    </row>
    <row r="49" spans="4:4" x14ac:dyDescent="0.2">
      <c r="D49" t="s">
        <v>108</v>
      </c>
    </row>
    <row r="50" spans="4:4" x14ac:dyDescent="0.2">
      <c r="D50" t="s">
        <v>109</v>
      </c>
    </row>
    <row r="51" spans="4:4" x14ac:dyDescent="0.2">
      <c r="D51" t="s">
        <v>110</v>
      </c>
    </row>
    <row r="52" spans="4:4" x14ac:dyDescent="0.2">
      <c r="D52" t="s">
        <v>111</v>
      </c>
    </row>
    <row r="53" spans="4:4" x14ac:dyDescent="0.2">
      <c r="D53" t="s">
        <v>112</v>
      </c>
    </row>
    <row r="54" spans="4:4" x14ac:dyDescent="0.2">
      <c r="D54" t="s">
        <v>113</v>
      </c>
    </row>
    <row r="55" spans="4:4" x14ac:dyDescent="0.2">
      <c r="D55" t="s">
        <v>114</v>
      </c>
    </row>
    <row r="56" spans="4:4" x14ac:dyDescent="0.2">
      <c r="D56" t="s">
        <v>115</v>
      </c>
    </row>
    <row r="57" spans="4:4" x14ac:dyDescent="0.2">
      <c r="D57" t="s">
        <v>116</v>
      </c>
    </row>
    <row r="58" spans="4:4" x14ac:dyDescent="0.2">
      <c r="D58" t="s">
        <v>117</v>
      </c>
    </row>
    <row r="59" spans="4:4" x14ac:dyDescent="0.2">
      <c r="D59" t="s">
        <v>118</v>
      </c>
    </row>
    <row r="60" spans="4:4" x14ac:dyDescent="0.2">
      <c r="D60" t="s">
        <v>119</v>
      </c>
    </row>
    <row r="61" spans="4:4" x14ac:dyDescent="0.2">
      <c r="D61" t="s">
        <v>120</v>
      </c>
    </row>
    <row r="62" spans="4:4" x14ac:dyDescent="0.2">
      <c r="D62" t="s">
        <v>121</v>
      </c>
    </row>
    <row r="63" spans="4:4" x14ac:dyDescent="0.2">
      <c r="D63" t="s">
        <v>122</v>
      </c>
    </row>
    <row r="64" spans="4:4" x14ac:dyDescent="0.2">
      <c r="D64" t="s">
        <v>123</v>
      </c>
    </row>
    <row r="65" spans="4:4" x14ac:dyDescent="0.2">
      <c r="D65" t="s">
        <v>124</v>
      </c>
    </row>
    <row r="66" spans="4:4" x14ac:dyDescent="0.2">
      <c r="D66" t="s">
        <v>125</v>
      </c>
    </row>
    <row r="67" spans="4:4" x14ac:dyDescent="0.2">
      <c r="D67" t="s">
        <v>126</v>
      </c>
    </row>
    <row r="68" spans="4:4" x14ac:dyDescent="0.2">
      <c r="D68" t="s">
        <v>127</v>
      </c>
    </row>
    <row r="69" spans="4:4" x14ac:dyDescent="0.2">
      <c r="D69" t="s">
        <v>128</v>
      </c>
    </row>
    <row r="70" spans="4:4" x14ac:dyDescent="0.2">
      <c r="D70" t="s">
        <v>129</v>
      </c>
    </row>
    <row r="71" spans="4:4" x14ac:dyDescent="0.2">
      <c r="D71" t="s">
        <v>130</v>
      </c>
    </row>
    <row r="72" spans="4:4" x14ac:dyDescent="0.2">
      <c r="D72" t="s">
        <v>131</v>
      </c>
    </row>
    <row r="73" spans="4:4" x14ac:dyDescent="0.2">
      <c r="D73" t="s">
        <v>132</v>
      </c>
    </row>
    <row r="74" spans="4:4" x14ac:dyDescent="0.2">
      <c r="D74" t="s">
        <v>133</v>
      </c>
    </row>
    <row r="75" spans="4:4" x14ac:dyDescent="0.2">
      <c r="D75" t="s">
        <v>134</v>
      </c>
    </row>
    <row r="76" spans="4:4" x14ac:dyDescent="0.2">
      <c r="D76" t="s">
        <v>135</v>
      </c>
    </row>
    <row r="77" spans="4:4" x14ac:dyDescent="0.2">
      <c r="D77" t="s">
        <v>136</v>
      </c>
    </row>
    <row r="78" spans="4:4" x14ac:dyDescent="0.2">
      <c r="D78" t="s">
        <v>137</v>
      </c>
    </row>
    <row r="79" spans="4:4" x14ac:dyDescent="0.2">
      <c r="D79" t="s">
        <v>138</v>
      </c>
    </row>
    <row r="80" spans="4:4" x14ac:dyDescent="0.2">
      <c r="D80" t="s">
        <v>139</v>
      </c>
    </row>
    <row r="81" spans="4:4" x14ac:dyDescent="0.2">
      <c r="D81" t="s">
        <v>140</v>
      </c>
    </row>
    <row r="82" spans="4:4" x14ac:dyDescent="0.2">
      <c r="D82" t="s">
        <v>141</v>
      </c>
    </row>
    <row r="83" spans="4:4" x14ac:dyDescent="0.2">
      <c r="D83" t="s">
        <v>142</v>
      </c>
    </row>
    <row r="84" spans="4:4" x14ac:dyDescent="0.2">
      <c r="D84" t="s">
        <v>143</v>
      </c>
    </row>
    <row r="85" spans="4:4" x14ac:dyDescent="0.2">
      <c r="D85" t="s">
        <v>144</v>
      </c>
    </row>
    <row r="86" spans="4:4" x14ac:dyDescent="0.2">
      <c r="D86" t="s">
        <v>145</v>
      </c>
    </row>
    <row r="87" spans="4:4" x14ac:dyDescent="0.2">
      <c r="D87" t="s">
        <v>146</v>
      </c>
    </row>
    <row r="88" spans="4:4" x14ac:dyDescent="0.2">
      <c r="D88" t="s">
        <v>147</v>
      </c>
    </row>
    <row r="89" spans="4:4" x14ac:dyDescent="0.2">
      <c r="D89" t="s">
        <v>148</v>
      </c>
    </row>
    <row r="90" spans="4:4" x14ac:dyDescent="0.2">
      <c r="D90" t="s">
        <v>149</v>
      </c>
    </row>
    <row r="91" spans="4:4" x14ac:dyDescent="0.2">
      <c r="D91" t="s">
        <v>150</v>
      </c>
    </row>
    <row r="92" spans="4:4" x14ac:dyDescent="0.2">
      <c r="D92" t="s">
        <v>151</v>
      </c>
    </row>
    <row r="93" spans="4:4" x14ac:dyDescent="0.2">
      <c r="D93" t="s">
        <v>152</v>
      </c>
    </row>
    <row r="94" spans="4:4" x14ac:dyDescent="0.2">
      <c r="D94" t="s">
        <v>153</v>
      </c>
    </row>
    <row r="95" spans="4:4" x14ac:dyDescent="0.2">
      <c r="D95" t="s">
        <v>154</v>
      </c>
    </row>
    <row r="96" spans="4:4" x14ac:dyDescent="0.2">
      <c r="D96" t="s">
        <v>155</v>
      </c>
    </row>
    <row r="97" spans="4:4" x14ac:dyDescent="0.2">
      <c r="D97" t="s">
        <v>156</v>
      </c>
    </row>
    <row r="98" spans="4:4" x14ac:dyDescent="0.2">
      <c r="D98" t="s">
        <v>157</v>
      </c>
    </row>
    <row r="99" spans="4:4" x14ac:dyDescent="0.2">
      <c r="D99" t="s">
        <v>158</v>
      </c>
    </row>
    <row r="100" spans="4:4" x14ac:dyDescent="0.2">
      <c r="D100" t="s">
        <v>159</v>
      </c>
    </row>
    <row r="101" spans="4:4" x14ac:dyDescent="0.2">
      <c r="D101" t="s">
        <v>160</v>
      </c>
    </row>
    <row r="102" spans="4:4" x14ac:dyDescent="0.2">
      <c r="D102" t="s">
        <v>161</v>
      </c>
    </row>
    <row r="103" spans="4:4" x14ac:dyDescent="0.2">
      <c r="D103" t="s">
        <v>162</v>
      </c>
    </row>
    <row r="104" spans="4:4" x14ac:dyDescent="0.2">
      <c r="D104" t="s">
        <v>163</v>
      </c>
    </row>
    <row r="105" spans="4:4" x14ac:dyDescent="0.2">
      <c r="D105" t="s">
        <v>164</v>
      </c>
    </row>
    <row r="106" spans="4:4" x14ac:dyDescent="0.2">
      <c r="D106" t="s">
        <v>165</v>
      </c>
    </row>
    <row r="107" spans="4:4" x14ac:dyDescent="0.2">
      <c r="D107" t="s">
        <v>166</v>
      </c>
    </row>
    <row r="108" spans="4:4" x14ac:dyDescent="0.2">
      <c r="D108" t="s">
        <v>167</v>
      </c>
    </row>
    <row r="109" spans="4:4" x14ac:dyDescent="0.2">
      <c r="D109" t="s">
        <v>168</v>
      </c>
    </row>
    <row r="110" spans="4:4" x14ac:dyDescent="0.2">
      <c r="D110" t="s">
        <v>169</v>
      </c>
    </row>
    <row r="111" spans="4:4" x14ac:dyDescent="0.2">
      <c r="D111" t="s">
        <v>170</v>
      </c>
    </row>
    <row r="112" spans="4:4" x14ac:dyDescent="0.2">
      <c r="D112" t="s">
        <v>171</v>
      </c>
    </row>
    <row r="113" spans="4:4" x14ac:dyDescent="0.2">
      <c r="D113" t="s">
        <v>172</v>
      </c>
    </row>
    <row r="114" spans="4:4" x14ac:dyDescent="0.2">
      <c r="D114" t="s">
        <v>173</v>
      </c>
    </row>
    <row r="115" spans="4:4" x14ac:dyDescent="0.2">
      <c r="D115" t="s">
        <v>174</v>
      </c>
    </row>
    <row r="116" spans="4:4" x14ac:dyDescent="0.2">
      <c r="D116" t="s">
        <v>175</v>
      </c>
    </row>
    <row r="117" spans="4:4" x14ac:dyDescent="0.2">
      <c r="D117" t="s">
        <v>176</v>
      </c>
    </row>
    <row r="118" spans="4:4" x14ac:dyDescent="0.2">
      <c r="D118" t="s">
        <v>177</v>
      </c>
    </row>
    <row r="119" spans="4:4" x14ac:dyDescent="0.2">
      <c r="D119" t="s">
        <v>178</v>
      </c>
    </row>
    <row r="120" spans="4:4" x14ac:dyDescent="0.2">
      <c r="D120" t="s">
        <v>179</v>
      </c>
    </row>
    <row r="121" spans="4:4" x14ac:dyDescent="0.2">
      <c r="D121" t="s">
        <v>180</v>
      </c>
    </row>
    <row r="122" spans="4:4" x14ac:dyDescent="0.2">
      <c r="D122" t="s">
        <v>181</v>
      </c>
    </row>
  </sheetData>
  <pageMargins left="0.7" right="0.7" top="0.75" bottom="0.75" header="0.3" footer="0.3"/>
  <pageSetup paperSize="9" orientation="portrait" r:id="rId1"/>
  <headerFooter>
    <oddFooter>&amp;R&amp;1#&amp;"Calibri"&amp;10&amp;K0078D7Classification : Internal</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60B8E9-18AF-494F-949F-3704082A42E7}">
  <dimension ref="A1:J3"/>
  <sheetViews>
    <sheetView workbookViewId="0">
      <selection activeCell="G7" sqref="G7"/>
    </sheetView>
  </sheetViews>
  <sheetFormatPr defaultRowHeight="14.25" x14ac:dyDescent="0.2"/>
  <cols>
    <col min="1" max="10" width="19.625" customWidth="1"/>
  </cols>
  <sheetData>
    <row r="1" spans="1:10" ht="38.25" x14ac:dyDescent="0.2">
      <c r="A1" s="110" t="s">
        <v>204</v>
      </c>
      <c r="B1" s="110" t="s">
        <v>205</v>
      </c>
      <c r="C1" s="110" t="s">
        <v>11</v>
      </c>
      <c r="D1" s="110" t="s">
        <v>206</v>
      </c>
      <c r="E1" s="110" t="s">
        <v>484</v>
      </c>
      <c r="F1" s="110" t="s">
        <v>183</v>
      </c>
      <c r="G1" s="110" t="s">
        <v>223</v>
      </c>
      <c r="H1" s="110" t="s">
        <v>485</v>
      </c>
      <c r="I1" s="110" t="s">
        <v>486</v>
      </c>
      <c r="J1" s="110" t="s">
        <v>487</v>
      </c>
    </row>
    <row r="2" spans="1:10" ht="81" customHeight="1" x14ac:dyDescent="0.2">
      <c r="A2" s="111" t="s">
        <v>186</v>
      </c>
      <c r="B2" s="110" t="s">
        <v>189</v>
      </c>
      <c r="C2" s="112">
        <v>350393180.86000001</v>
      </c>
      <c r="D2" s="112">
        <f>Tabela362[[#This Row],[Total project amount (EUR)]]</f>
        <v>350393180.86000001</v>
      </c>
      <c r="E2" s="112">
        <v>55112869.710000001</v>
      </c>
      <c r="F2" s="112">
        <v>55112869.710000001</v>
      </c>
      <c r="G2" s="112"/>
      <c r="H2" s="112"/>
      <c r="I2" s="112"/>
      <c r="J2" s="112"/>
    </row>
    <row r="3" spans="1:10" x14ac:dyDescent="0.2">
      <c r="A3" s="39"/>
      <c r="B3" s="38"/>
      <c r="C3" s="113">
        <f>SUBTOTAL(109,Tabela362[Total project amount (EUR)])</f>
        <v>350393180.86000001</v>
      </c>
      <c r="D3" s="113">
        <f>SUBTOTAL(109,Tabela362[RS financing amount (EUR)])</f>
        <v>350393180.86000001</v>
      </c>
      <c r="E3" s="113">
        <f>SUBTOTAL(109,Tabela362[Bond eligible amount (EUR)
Σ 24+25+26+27+28])</f>
        <v>55112869.710000001</v>
      </c>
      <c r="F3" s="113">
        <f>SUBTOTAL(109,Tabela362[RS financing 2024 (EUR)])</f>
        <v>55112869.710000001</v>
      </c>
      <c r="G3" s="113">
        <f>SUBTOTAL(109,Tabela362[RS financing 2025 (EUR)])</f>
        <v>0</v>
      </c>
      <c r="H3" s="113">
        <f>SUBTOTAL(109,Tabela362[RS financing 2026 (EUR)])</f>
        <v>0</v>
      </c>
      <c r="I3" s="40" t="s">
        <v>488</v>
      </c>
      <c r="J3" s="113">
        <f>SUBTOTAL(109,Tabela362[RS financing 2028 (EUR)])</f>
        <v>0</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A36CA4-957D-49A8-B449-096F5CAF6D70}">
  <sheetPr>
    <tabColor theme="3"/>
  </sheetPr>
  <dimension ref="A1:S13"/>
  <sheetViews>
    <sheetView workbookViewId="0">
      <selection activeCell="I16" sqref="I16"/>
    </sheetView>
  </sheetViews>
  <sheetFormatPr defaultColWidth="8.75" defaultRowHeight="15" x14ac:dyDescent="0.25"/>
  <cols>
    <col min="1" max="1" width="11.5" style="93" bestFit="1" customWidth="1"/>
    <col min="2" max="2" width="17.125" style="93" customWidth="1"/>
    <col min="3" max="3" width="44.625" style="93" bestFit="1" customWidth="1"/>
    <col min="4" max="16" width="21.125" style="93" customWidth="1"/>
    <col min="17" max="17" width="29.875" style="93" customWidth="1"/>
    <col min="18" max="18" width="23.625" style="93" customWidth="1"/>
    <col min="19" max="19" width="9.875" style="93" bestFit="1" customWidth="1"/>
    <col min="20" max="16384" width="8.75" style="93"/>
  </cols>
  <sheetData>
    <row r="1" spans="1:19" x14ac:dyDescent="0.25">
      <c r="A1" s="114" t="s">
        <v>259</v>
      </c>
    </row>
    <row r="2" spans="1:19" ht="39" customHeight="1" x14ac:dyDescent="0.25">
      <c r="A2" s="93" t="s">
        <v>260</v>
      </c>
      <c r="B2" s="93" t="s">
        <v>261</v>
      </c>
      <c r="C2" s="93" t="s">
        <v>262</v>
      </c>
      <c r="D2" s="98" t="s">
        <v>263</v>
      </c>
      <c r="E2" s="98" t="s">
        <v>183</v>
      </c>
      <c r="F2" s="98" t="s">
        <v>223</v>
      </c>
      <c r="G2" s="98" t="s">
        <v>482</v>
      </c>
      <c r="H2" s="98" t="s">
        <v>491</v>
      </c>
      <c r="I2" s="98" t="s">
        <v>490</v>
      </c>
      <c r="J2" s="98" t="s">
        <v>479</v>
      </c>
      <c r="K2" s="98" t="s">
        <v>492</v>
      </c>
      <c r="L2" s="98" t="s">
        <v>264</v>
      </c>
      <c r="M2" s="98" t="s">
        <v>480</v>
      </c>
      <c r="N2" s="98" t="s">
        <v>493</v>
      </c>
      <c r="O2" s="98" t="s">
        <v>481</v>
      </c>
      <c r="P2" s="98" t="s">
        <v>503</v>
      </c>
    </row>
    <row r="3" spans="1:19" ht="45" x14ac:dyDescent="0.25">
      <c r="A3" s="93" t="s">
        <v>483</v>
      </c>
      <c r="B3" s="93" t="s">
        <v>191</v>
      </c>
      <c r="C3" s="94" t="s">
        <v>189</v>
      </c>
      <c r="D3" s="99">
        <v>350393180.86000001</v>
      </c>
      <c r="E3" s="99">
        <v>55112869.710000001</v>
      </c>
      <c r="F3" s="95">
        <v>0</v>
      </c>
      <c r="G3" s="99">
        <v>55112869.710000001</v>
      </c>
      <c r="H3" s="95">
        <v>0</v>
      </c>
      <c r="I3" s="99">
        <v>55112869.710000001</v>
      </c>
      <c r="J3" s="109">
        <f>G3/E3</f>
        <v>1</v>
      </c>
      <c r="K3" s="109">
        <v>0</v>
      </c>
      <c r="L3" s="100">
        <f>+I3/D3</f>
        <v>0.15728864806881163</v>
      </c>
      <c r="M3" s="95">
        <v>85276</v>
      </c>
      <c r="N3" s="95" t="s">
        <v>265</v>
      </c>
      <c r="O3" s="95">
        <f>Tabela9[[#This Row],[Number of Students per Year (data for 2024)]]*Tabela9[[#This Row],[% Allocated EUR in 2024]]</f>
        <v>85276</v>
      </c>
      <c r="P3" s="95" t="s">
        <v>265</v>
      </c>
      <c r="S3" s="97"/>
    </row>
    <row r="4" spans="1:19" ht="30" x14ac:dyDescent="0.25">
      <c r="A4" s="93" t="s">
        <v>228</v>
      </c>
      <c r="B4" s="93" t="s">
        <v>194</v>
      </c>
      <c r="C4" s="94" t="str">
        <f>+VLOOKUP($A4,'Social projects (SP)'!$B$2:$R$7,2,FALSE)</f>
        <v>Provision of cheaper or free school meals for primary school students with lower socieoeconomic status</v>
      </c>
      <c r="D4" s="99">
        <f>+VLOOKUP($A4,'Social projects (SP)'!$B$2:$R$7,11,FALSE)</f>
        <v>774937052.3900001</v>
      </c>
      <c r="E4" s="99">
        <v>51585967.68</v>
      </c>
      <c r="F4" s="99">
        <v>51978648.240000002</v>
      </c>
      <c r="G4" s="99">
        <v>51585967.68</v>
      </c>
      <c r="H4" s="99">
        <v>14638140.569999993</v>
      </c>
      <c r="I4" s="99">
        <v>66224108.249999993</v>
      </c>
      <c r="J4" s="109">
        <f t="shared" ref="J4:J6" si="0">G4/E4</f>
        <v>1</v>
      </c>
      <c r="K4" s="109">
        <f>H4/F4</f>
        <v>0.28161833879195147</v>
      </c>
      <c r="L4" s="100">
        <f>+I4/D4</f>
        <v>8.5457403341028526E-2</v>
      </c>
      <c r="M4" s="95">
        <v>99090</v>
      </c>
      <c r="N4" s="95">
        <v>89110</v>
      </c>
      <c r="O4" s="95">
        <f>Tabela9[[#This Row],[Number of Students per Year (data for 2024)]]*Tabela9[[#This Row],[% Allocated EUR in 2024]]</f>
        <v>99090</v>
      </c>
      <c r="P4" s="95">
        <f>Tabela9[[#This Row],[% Allocated EUR in 2025]]*Tabela9[[#This Row],[Number of Students per Year (data for 2025)]]</f>
        <v>25095.010169750796</v>
      </c>
      <c r="S4" s="97"/>
    </row>
    <row r="5" spans="1:19" ht="30" x14ac:dyDescent="0.25">
      <c r="A5" s="93" t="s">
        <v>229</v>
      </c>
      <c r="B5" s="93" t="s">
        <v>197</v>
      </c>
      <c r="C5" s="94" t="str">
        <f>+VLOOKUP($A5,'Social projects (SP)'!$B$2:$R$7,2,FALSE)</f>
        <v>Provision of cheaper or free school meals for secondary school students with lower socieoeconomic status</v>
      </c>
      <c r="D5" s="99">
        <f>+VLOOKUP($A5,'Social projects (SP)'!$B$2:$R$7,11,FALSE)</f>
        <v>512329441.05000001</v>
      </c>
      <c r="E5" s="99">
        <v>10293557.77</v>
      </c>
      <c r="F5" s="99">
        <v>51978648.240000002</v>
      </c>
      <c r="G5" s="99">
        <f>+VLOOKUP($A5,'Social projects (SP)'!$B$2:$R$7,13,FALSE)</f>
        <v>10293557.77</v>
      </c>
      <c r="H5" s="95">
        <v>0</v>
      </c>
      <c r="I5" s="99">
        <f>+VLOOKUP($A5,'Social projects (SP)'!$B$2:$R$7,13,FALSE)</f>
        <v>10293557.77</v>
      </c>
      <c r="J5" s="109">
        <f t="shared" si="0"/>
        <v>1</v>
      </c>
      <c r="K5" s="109">
        <f>H5/F5</f>
        <v>0</v>
      </c>
      <c r="L5" s="100">
        <f>+I5/D5</f>
        <v>2.009167723975366E-2</v>
      </c>
      <c r="M5" s="108">
        <v>30371</v>
      </c>
      <c r="N5" s="95" t="s">
        <v>265</v>
      </c>
      <c r="O5" s="95">
        <f>Tabela9[[#This Row],[Number of Students per Year (data for 2024)]]*Tabela9[[#This Row],[% Allocated EUR in 2024]]</f>
        <v>30371</v>
      </c>
      <c r="P5" s="95" t="s">
        <v>265</v>
      </c>
      <c r="S5" s="97"/>
    </row>
    <row r="6" spans="1:19" ht="105" x14ac:dyDescent="0.25">
      <c r="A6" s="93" t="s">
        <v>230</v>
      </c>
      <c r="B6" s="93" t="s">
        <v>191</v>
      </c>
      <c r="C6" s="94" t="s">
        <v>504</v>
      </c>
      <c r="D6" s="99">
        <f>+VLOOKUP($A6,'Social projects (SP)'!$B$2:$R$7,11,FALSE)</f>
        <v>630869992.12</v>
      </c>
      <c r="E6" s="99">
        <v>7809034.1599999992</v>
      </c>
      <c r="F6" s="99">
        <v>3151583.6300000004</v>
      </c>
      <c r="G6" s="99">
        <f>+VLOOKUP($A6,'Social projects (SP)'!$B$2:$R$7,13,FALSE)</f>
        <v>7407052.8799999999</v>
      </c>
      <c r="H6" s="95">
        <v>0</v>
      </c>
      <c r="I6" s="99">
        <f>+VLOOKUP($A6,'Social projects (SP)'!$B$2:$R$7,13,FALSE)</f>
        <v>7407052.8799999999</v>
      </c>
      <c r="J6" s="109">
        <f t="shared" si="0"/>
        <v>0.94852355979449332</v>
      </c>
      <c r="K6" s="109">
        <f t="shared" ref="K6" si="1">H6/F6</f>
        <v>0</v>
      </c>
      <c r="L6" s="100">
        <f>+I6/D6</f>
        <v>1.1741013160427954E-2</v>
      </c>
      <c r="M6" s="107" t="s">
        <v>267</v>
      </c>
      <c r="N6" s="95" t="s">
        <v>265</v>
      </c>
      <c r="O6" s="95" t="s">
        <v>265</v>
      </c>
      <c r="P6" s="95" t="s">
        <v>265</v>
      </c>
      <c r="S6" s="97"/>
    </row>
    <row r="11" spans="1:19" x14ac:dyDescent="0.25">
      <c r="P11" s="95"/>
    </row>
    <row r="13" spans="1:19" x14ac:dyDescent="0.25">
      <c r="C13" s="98"/>
      <c r="I13" s="116"/>
    </row>
  </sheetData>
  <phoneticPr fontId="17" type="noConversion"/>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10A2F-95D2-4B43-B168-4B0EB52F4B04}">
  <sheetPr>
    <tabColor theme="3"/>
  </sheetPr>
  <dimension ref="A1:I4"/>
  <sheetViews>
    <sheetView topLeftCell="B1" workbookViewId="0">
      <selection activeCell="G12" sqref="G11:G12"/>
    </sheetView>
  </sheetViews>
  <sheetFormatPr defaultColWidth="8.75" defaultRowHeight="15" x14ac:dyDescent="0.25"/>
  <cols>
    <col min="1" max="1" width="13.75" style="93" customWidth="1"/>
    <col min="2" max="2" width="43.75" style="93" customWidth="1"/>
    <col min="3" max="4" width="36.125" style="93" customWidth="1"/>
    <col min="5" max="5" width="30.625" style="93" bestFit="1" customWidth="1"/>
    <col min="6" max="6" width="30.625" style="93" customWidth="1"/>
    <col min="7" max="7" width="31.75" style="93" customWidth="1"/>
    <col min="8" max="8" width="21.625" style="93" customWidth="1"/>
    <col min="9" max="9" width="29" style="93" customWidth="1"/>
    <col min="10" max="16384" width="8.75" style="93"/>
  </cols>
  <sheetData>
    <row r="1" spans="1:9" x14ac:dyDescent="0.25">
      <c r="A1" s="114" t="s">
        <v>489</v>
      </c>
    </row>
    <row r="2" spans="1:9" x14ac:dyDescent="0.25">
      <c r="A2" s="93" t="s">
        <v>260</v>
      </c>
      <c r="B2" s="93" t="s">
        <v>262</v>
      </c>
      <c r="C2" s="93" t="s">
        <v>263</v>
      </c>
      <c r="D2" s="98" t="s">
        <v>223</v>
      </c>
      <c r="E2" s="93" t="s">
        <v>495</v>
      </c>
      <c r="F2" s="93" t="s">
        <v>497</v>
      </c>
      <c r="G2" s="93" t="s">
        <v>496</v>
      </c>
      <c r="H2" s="93" t="s">
        <v>498</v>
      </c>
      <c r="I2" s="93" t="s">
        <v>266</v>
      </c>
    </row>
    <row r="3" spans="1:9" x14ac:dyDescent="0.25">
      <c r="A3" s="93" t="s">
        <v>184</v>
      </c>
      <c r="B3" s="98" t="s">
        <v>494</v>
      </c>
      <c r="C3" s="99">
        <f>+VLOOKUP($A3,'Social projects (SP)'!$B$2:$R$7,11,FALSE)</f>
        <v>165419768.99000001</v>
      </c>
      <c r="D3" s="99">
        <f>+VLOOKUP($A3,'Social projects (SP)'!$B$2:$R$7,13,FALSE)</f>
        <v>33597038.810000002</v>
      </c>
      <c r="E3" s="99">
        <f>+VLOOKUP($A3,'Social projects (SP)'!$B$2:$R$7,13,FALSE)</f>
        <v>33597038.810000002</v>
      </c>
      <c r="F3" s="109">
        <f>Tabela6[[#This Row],[Allocated amount EUR in 2025]]/Tabela6[[#This Row],[RS financing 2025 (EUR)]]</f>
        <v>1</v>
      </c>
      <c r="G3" s="100">
        <f>+E3/C3</f>
        <v>0.20310171520086584</v>
      </c>
      <c r="H3" s="106">
        <v>11279</v>
      </c>
      <c r="I3" s="115">
        <f>Tabela6[[#This Row],[Number of beneficiaries in 2025]]*Tabela6[[#This Row],[% Allocated amount EUR 2025]]</f>
        <v>11279</v>
      </c>
    </row>
    <row r="4" spans="1:9" x14ac:dyDescent="0.25">
      <c r="B4" s="98"/>
      <c r="C4" s="98"/>
      <c r="D4" s="98"/>
      <c r="E4" s="96"/>
      <c r="F4" s="96"/>
      <c r="G4" s="96"/>
      <c r="H4"/>
      <c r="I4"/>
    </row>
  </sheetData>
  <phoneticPr fontId="17" type="noConversion"/>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B8DED-5FFF-4F2D-BB6D-AD2BE0E1BA05}">
  <sheetPr>
    <tabColor rgb="FFFFC000"/>
  </sheetPr>
  <dimension ref="A1:D23"/>
  <sheetViews>
    <sheetView showGridLines="0" zoomScale="70" zoomScaleNormal="70" workbookViewId="0">
      <selection activeCell="D3" sqref="D3"/>
    </sheetView>
  </sheetViews>
  <sheetFormatPr defaultRowHeight="14.25" x14ac:dyDescent="0.2"/>
  <cols>
    <col min="1" max="1" width="45.625" bestFit="1" customWidth="1"/>
    <col min="2" max="3" width="31.375" bestFit="1" customWidth="1"/>
    <col min="4" max="4" width="41.375" bestFit="1" customWidth="1"/>
    <col min="5" max="6" width="16.25" bestFit="1" customWidth="1"/>
    <col min="7" max="7" width="20.75" customWidth="1"/>
    <col min="8" max="8" width="14" bestFit="1" customWidth="1"/>
    <col min="9" max="9" width="16.75" bestFit="1" customWidth="1"/>
    <col min="10" max="10" width="15.5" bestFit="1" customWidth="1"/>
    <col min="11" max="11" width="13" bestFit="1" customWidth="1"/>
    <col min="12" max="12" width="48.375" bestFit="1" customWidth="1"/>
    <col min="13" max="13" width="13" bestFit="1" customWidth="1"/>
  </cols>
  <sheetData>
    <row r="1" spans="1:4" x14ac:dyDescent="0.2">
      <c r="A1" s="13"/>
      <c r="B1" s="12"/>
      <c r="C1" s="12"/>
      <c r="D1" s="12"/>
    </row>
    <row r="3" spans="1:4" x14ac:dyDescent="0.2">
      <c r="A3" s="41" t="s">
        <v>46</v>
      </c>
      <c r="B3" t="s">
        <v>499</v>
      </c>
      <c r="C3" t="s">
        <v>500</v>
      </c>
      <c r="D3" t="s">
        <v>250</v>
      </c>
    </row>
    <row r="4" spans="1:4" x14ac:dyDescent="0.2">
      <c r="A4" s="13" t="s">
        <v>27</v>
      </c>
      <c r="B4" s="12">
        <v>124399448.04000001</v>
      </c>
      <c r="C4" s="12">
        <v>14638140.569999993</v>
      </c>
      <c r="D4" s="12">
        <v>139037588.61000001</v>
      </c>
    </row>
    <row r="5" spans="1:4" x14ac:dyDescent="0.2">
      <c r="A5" s="14" t="s">
        <v>191</v>
      </c>
      <c r="B5" s="12">
        <v>62519922.590000004</v>
      </c>
      <c r="C5" s="12">
        <v>0</v>
      </c>
      <c r="D5" s="12">
        <v>62519922.590000004</v>
      </c>
    </row>
    <row r="6" spans="1:4" x14ac:dyDescent="0.2">
      <c r="A6" s="14" t="s">
        <v>194</v>
      </c>
      <c r="B6" s="12">
        <v>51585967.68</v>
      </c>
      <c r="C6" s="12">
        <v>14638140.569999993</v>
      </c>
      <c r="D6" s="12">
        <v>66224108.249999993</v>
      </c>
    </row>
    <row r="7" spans="1:4" x14ac:dyDescent="0.2">
      <c r="A7" s="14" t="s">
        <v>197</v>
      </c>
      <c r="B7" s="12">
        <v>10293557.77</v>
      </c>
      <c r="C7" s="12">
        <v>0</v>
      </c>
      <c r="D7" s="12">
        <v>10293557.77</v>
      </c>
    </row>
    <row r="8" spans="1:4" x14ac:dyDescent="0.2">
      <c r="A8" s="13" t="s">
        <v>23</v>
      </c>
      <c r="B8" s="12">
        <v>0</v>
      </c>
      <c r="C8" s="12">
        <v>33597038.810000002</v>
      </c>
      <c r="D8" s="12">
        <v>33597038.810000002</v>
      </c>
    </row>
    <row r="9" spans="1:4" x14ac:dyDescent="0.2">
      <c r="A9" s="14" t="s">
        <v>24</v>
      </c>
      <c r="B9" s="12">
        <v>0</v>
      </c>
      <c r="C9" s="12">
        <v>33597038.810000002</v>
      </c>
      <c r="D9" s="12">
        <v>33597038.810000002</v>
      </c>
    </row>
    <row r="10" spans="1:4" x14ac:dyDescent="0.2">
      <c r="A10" s="13" t="s">
        <v>47</v>
      </c>
      <c r="B10" s="12">
        <v>124399448.04000001</v>
      </c>
      <c r="C10" s="12">
        <v>48235179.379999995</v>
      </c>
      <c r="D10" s="12">
        <v>172634627.42000002</v>
      </c>
    </row>
    <row r="18" spans="1:4" ht="15" x14ac:dyDescent="0.25">
      <c r="A18" s="117" t="s">
        <v>255</v>
      </c>
      <c r="B18" s="117"/>
      <c r="C18" s="117"/>
      <c r="D18" s="117"/>
    </row>
    <row r="20" spans="1:4" x14ac:dyDescent="0.2">
      <c r="A20" t="s">
        <v>256</v>
      </c>
      <c r="B20" t="s">
        <v>257</v>
      </c>
    </row>
    <row r="21" spans="1:4" x14ac:dyDescent="0.2">
      <c r="A21" t="s">
        <v>27</v>
      </c>
      <c r="B21" s="12">
        <f>+GETPIVOTDATA("Vsota od Bond eligible amount (EUR)
Σ 24+25",$A$3," 
SBP Category","Access to Essential Services - Education ")</f>
        <v>139037588.61000001</v>
      </c>
    </row>
    <row r="22" spans="1:4" x14ac:dyDescent="0.2">
      <c r="A22" t="s">
        <v>23</v>
      </c>
      <c r="B22" s="12">
        <f>+GETPIVOTDATA("Vsota od Bond eligible amount (EUR)
Σ 24+25",$A$3," 
SBP Category","Access to Essential Services - Social Inclusion")</f>
        <v>33597038.810000002</v>
      </c>
      <c r="C22" s="12"/>
    </row>
    <row r="23" spans="1:4" x14ac:dyDescent="0.2">
      <c r="B23" s="12">
        <f>SUM(B21:B22)</f>
        <v>172634627.42000002</v>
      </c>
      <c r="C23" s="12"/>
    </row>
  </sheetData>
  <mergeCells count="1">
    <mergeCell ref="A18:D18"/>
  </mergeCells>
  <pageMargins left="0.7" right="0.7" top="0.75" bottom="0.75" header="0.3" footer="0.3"/>
  <pageSetup paperSize="9" orientation="portrait" r:id="rId2"/>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194A9A-F0E4-4F47-9146-B18FD5994E89}">
  <dimension ref="A1:H83"/>
  <sheetViews>
    <sheetView showGridLines="0" zoomScale="70" zoomScaleNormal="70" workbookViewId="0">
      <selection activeCell="C2" sqref="C2"/>
    </sheetView>
  </sheetViews>
  <sheetFormatPr defaultColWidth="8.25" defaultRowHeight="15" x14ac:dyDescent="0.25"/>
  <cols>
    <col min="1" max="1" width="44.875" style="54" customWidth="1"/>
    <col min="2" max="2" width="42.125" style="54" bestFit="1" customWidth="1"/>
    <col min="3" max="3" width="19.5" style="54" customWidth="1"/>
    <col min="4" max="4" width="21.75" style="54" bestFit="1" customWidth="1"/>
    <col min="5" max="5" width="41.375" style="54" bestFit="1" customWidth="1"/>
    <col min="6" max="6" width="42.125" style="54" bestFit="1" customWidth="1"/>
    <col min="7" max="7" width="10.25" style="54" bestFit="1" customWidth="1"/>
    <col min="8" max="8" width="11.625" style="54" bestFit="1" customWidth="1"/>
    <col min="9" max="16384" width="8.25" style="54"/>
  </cols>
  <sheetData>
    <row r="1" spans="1:8" s="45" customFormat="1" ht="25.5" customHeight="1" thickBot="1" x14ac:dyDescent="0.35">
      <c r="A1" s="42" t="s">
        <v>231</v>
      </c>
      <c r="B1" s="43" t="s">
        <v>247</v>
      </c>
      <c r="C1" s="43" t="s">
        <v>248</v>
      </c>
      <c r="D1" s="43" t="s">
        <v>232</v>
      </c>
      <c r="E1" s="44" t="s">
        <v>233</v>
      </c>
    </row>
    <row r="2" spans="1:8" s="45" customFormat="1" ht="18.75" x14ac:dyDescent="0.3">
      <c r="A2" s="46" t="s">
        <v>249</v>
      </c>
      <c r="B2" s="47">
        <v>124399448.04000001</v>
      </c>
      <c r="C2" s="47">
        <v>14638140.569999993</v>
      </c>
      <c r="D2" s="48">
        <f t="shared" ref="D2" si="0">+B2+C2</f>
        <v>139037588.61000001</v>
      </c>
      <c r="E2" s="49">
        <f>+D2/$D$4</f>
        <v>0.80538644354204614</v>
      </c>
    </row>
    <row r="3" spans="1:8" s="45" customFormat="1" ht="19.5" thickBot="1" x14ac:dyDescent="0.35">
      <c r="A3" s="104" t="s">
        <v>23</v>
      </c>
      <c r="B3" s="105">
        <v>0</v>
      </c>
      <c r="C3" s="105">
        <v>33597038.810000002</v>
      </c>
      <c r="D3" s="50">
        <f>+B3+C3</f>
        <v>33597038.810000002</v>
      </c>
      <c r="E3" s="51">
        <f>+D3/$D$4</f>
        <v>0.19461355645795386</v>
      </c>
    </row>
    <row r="4" spans="1:8" s="45" customFormat="1" ht="18.75" x14ac:dyDescent="0.3">
      <c r="A4" s="52" t="s">
        <v>234</v>
      </c>
      <c r="B4" s="52">
        <f>SUM(B2:B3)</f>
        <v>124399448.04000001</v>
      </c>
      <c r="C4" s="52">
        <f>SUM(C2:C3)</f>
        <v>48235179.379999995</v>
      </c>
      <c r="D4" s="52">
        <f>SUM(D2:D3)</f>
        <v>172634627.42000002</v>
      </c>
      <c r="E4" s="53">
        <f>SUM(E2:E3)</f>
        <v>1</v>
      </c>
    </row>
    <row r="5" spans="1:8" x14ac:dyDescent="0.25">
      <c r="E5" s="55"/>
    </row>
    <row r="6" spans="1:8" x14ac:dyDescent="0.25">
      <c r="D6" s="56"/>
    </row>
    <row r="11" spans="1:8" x14ac:dyDescent="0.25">
      <c r="F11" s="54" t="s">
        <v>235</v>
      </c>
      <c r="G11" s="54" t="s">
        <v>236</v>
      </c>
      <c r="H11" s="54" t="s">
        <v>237</v>
      </c>
    </row>
    <row r="12" spans="1:8" x14ac:dyDescent="0.25">
      <c r="F12" s="56">
        <f>+B4</f>
        <v>124399448.04000001</v>
      </c>
      <c r="G12" s="56">
        <f>+C4</f>
        <v>48235179.379999995</v>
      </c>
      <c r="H12" s="56">
        <f>+F12+G12</f>
        <v>172634627.42000002</v>
      </c>
    </row>
    <row r="56" spans="1:6" x14ac:dyDescent="0.25">
      <c r="A56"/>
      <c r="B56"/>
      <c r="C56"/>
      <c r="D56" s="84" t="s">
        <v>4</v>
      </c>
      <c r="E56" t="s">
        <v>238</v>
      </c>
      <c r="F56"/>
    </row>
    <row r="57" spans="1:6" x14ac:dyDescent="0.25">
      <c r="A57"/>
      <c r="B57"/>
      <c r="C57"/>
      <c r="D57"/>
      <c r="E57"/>
      <c r="F57"/>
    </row>
    <row r="58" spans="1:6" x14ac:dyDescent="0.25">
      <c r="A58"/>
      <c r="B58"/>
      <c r="C58"/>
      <c r="D58" s="84" t="s">
        <v>239</v>
      </c>
      <c r="E58" t="s">
        <v>250</v>
      </c>
      <c r="F58"/>
    </row>
    <row r="59" spans="1:6" x14ac:dyDescent="0.25">
      <c r="A59"/>
      <c r="B59"/>
      <c r="C59"/>
      <c r="D59" s="13" t="s">
        <v>226</v>
      </c>
      <c r="E59" s="57">
        <v>7407052.8799999999</v>
      </c>
      <c r="F59"/>
    </row>
    <row r="60" spans="1:6" x14ac:dyDescent="0.25">
      <c r="A60"/>
      <c r="B60"/>
      <c r="C60"/>
      <c r="D60" s="13" t="s">
        <v>22</v>
      </c>
      <c r="E60" s="57">
        <v>88709908.520000011</v>
      </c>
      <c r="F60"/>
    </row>
    <row r="61" spans="1:6" x14ac:dyDescent="0.25">
      <c r="A61"/>
      <c r="B61"/>
      <c r="C61"/>
      <c r="D61" s="13" t="s">
        <v>29</v>
      </c>
      <c r="E61" s="57">
        <v>76517666.019999996</v>
      </c>
      <c r="F61"/>
    </row>
    <row r="62" spans="1:6" x14ac:dyDescent="0.25">
      <c r="A62"/>
      <c r="B62"/>
      <c r="C62"/>
      <c r="D62" s="13" t="s">
        <v>47</v>
      </c>
      <c r="E62" s="57">
        <v>172634627.42000002</v>
      </c>
      <c r="F62"/>
    </row>
    <row r="63" spans="1:6" x14ac:dyDescent="0.25">
      <c r="A63"/>
      <c r="B63"/>
      <c r="C63"/>
      <c r="D63"/>
      <c r="E63"/>
      <c r="F63"/>
    </row>
    <row r="64" spans="1:6" x14ac:dyDescent="0.25">
      <c r="A64"/>
      <c r="B64"/>
      <c r="C64"/>
      <c r="D64"/>
      <c r="E64"/>
      <c r="F64"/>
    </row>
    <row r="65" spans="1:6" x14ac:dyDescent="0.25">
      <c r="A65" s="58" t="s">
        <v>7</v>
      </c>
      <c r="B65" s="58" t="s">
        <v>240</v>
      </c>
      <c r="C65"/>
      <c r="D65"/>
      <c r="E65"/>
      <c r="F65"/>
    </row>
    <row r="66" spans="1:6" x14ac:dyDescent="0.25">
      <c r="A66" s="13" t="s">
        <v>16</v>
      </c>
      <c r="B66" s="59">
        <f>+GETPIVOTDATA("Bond eligible amount (EUR)
Σ 24+25",$D$58,"Type of expenditure","investment expenditure ")</f>
        <v>7407052.8799999999</v>
      </c>
      <c r="C66"/>
      <c r="D66"/>
      <c r="E66"/>
      <c r="F66"/>
    </row>
    <row r="67" spans="1:6" x14ac:dyDescent="0.25">
      <c r="A67" s="13" t="s">
        <v>22</v>
      </c>
      <c r="B67" s="59">
        <f>+GETPIVOTDATA("Bond eligible amount (EUR)
Σ 24+25",$D$58,"Type of expenditure","operating expenditure ")</f>
        <v>88709908.520000011</v>
      </c>
      <c r="C67"/>
      <c r="D67"/>
      <c r="E67"/>
      <c r="F67"/>
    </row>
    <row r="68" spans="1:6" x14ac:dyDescent="0.25">
      <c r="A68" s="13" t="s">
        <v>29</v>
      </c>
      <c r="B68" s="59">
        <f>+GETPIVOTDATA("Bond eligible amount (EUR)
Σ 24+25",$D$58,"Type of expenditure","subsidies, grant, loans")</f>
        <v>76517666.019999996</v>
      </c>
      <c r="C68"/>
      <c r="D68"/>
      <c r="E68"/>
      <c r="F68"/>
    </row>
    <row r="69" spans="1:6" x14ac:dyDescent="0.25">
      <c r="A69" s="85" t="s">
        <v>237</v>
      </c>
      <c r="B69" s="86">
        <f>SUM(B66:B68)</f>
        <v>172634627.42000002</v>
      </c>
      <c r="C69"/>
      <c r="D69"/>
      <c r="E69"/>
      <c r="F69"/>
    </row>
    <row r="70" spans="1:6" x14ac:dyDescent="0.25">
      <c r="A70" s="13"/>
      <c r="B70"/>
      <c r="C70"/>
      <c r="D70"/>
      <c r="E70"/>
      <c r="F70"/>
    </row>
    <row r="71" spans="1:6" x14ac:dyDescent="0.25">
      <c r="A71"/>
      <c r="B71"/>
      <c r="C71"/>
      <c r="D71"/>
      <c r="E71"/>
      <c r="F71"/>
    </row>
    <row r="72" spans="1:6" x14ac:dyDescent="0.25">
      <c r="A72"/>
      <c r="B72"/>
      <c r="C72"/>
      <c r="D72"/>
      <c r="E72"/>
      <c r="F72"/>
    </row>
    <row r="73" spans="1:6" x14ac:dyDescent="0.25">
      <c r="A73"/>
      <c r="B73"/>
      <c r="C73"/>
      <c r="D73"/>
      <c r="E73"/>
      <c r="F73"/>
    </row>
    <row r="74" spans="1:6" x14ac:dyDescent="0.25">
      <c r="A74"/>
      <c r="B74"/>
      <c r="C74"/>
      <c r="D74"/>
      <c r="E74"/>
      <c r="F74"/>
    </row>
    <row r="75" spans="1:6" x14ac:dyDescent="0.25">
      <c r="A75"/>
      <c r="B75"/>
      <c r="C75"/>
      <c r="D75"/>
      <c r="E75"/>
      <c r="F75"/>
    </row>
    <row r="76" spans="1:6" x14ac:dyDescent="0.25">
      <c r="A76"/>
      <c r="B76"/>
      <c r="C76"/>
      <c r="D76"/>
      <c r="E76"/>
      <c r="F76"/>
    </row>
    <row r="77" spans="1:6" x14ac:dyDescent="0.25">
      <c r="A77"/>
      <c r="B77"/>
      <c r="C77"/>
      <c r="D77"/>
      <c r="E77"/>
      <c r="F77"/>
    </row>
    <row r="78" spans="1:6" x14ac:dyDescent="0.25">
      <c r="A78"/>
      <c r="B78"/>
      <c r="C78"/>
      <c r="D78"/>
      <c r="E78"/>
      <c r="F78"/>
    </row>
    <row r="79" spans="1:6" x14ac:dyDescent="0.25">
      <c r="A79"/>
      <c r="B79"/>
      <c r="C79"/>
      <c r="D79"/>
      <c r="E79"/>
      <c r="F79"/>
    </row>
    <row r="80" spans="1:6" x14ac:dyDescent="0.25">
      <c r="A80"/>
      <c r="B80"/>
      <c r="C80"/>
      <c r="D80"/>
      <c r="E80"/>
      <c r="F80"/>
    </row>
    <row r="81" spans="1:6" x14ac:dyDescent="0.25">
      <c r="A81"/>
      <c r="B81"/>
      <c r="C81"/>
      <c r="D81"/>
      <c r="E81"/>
      <c r="F81"/>
    </row>
    <row r="82" spans="1:6" x14ac:dyDescent="0.25">
      <c r="A82"/>
      <c r="B82"/>
      <c r="C82"/>
      <c r="D82"/>
      <c r="E82"/>
      <c r="F82"/>
    </row>
    <row r="83" spans="1:6" x14ac:dyDescent="0.25">
      <c r="A83"/>
      <c r="B83"/>
      <c r="C83"/>
      <c r="D83"/>
      <c r="E83"/>
      <c r="F83"/>
    </row>
  </sheetData>
  <pageMargins left="0.7" right="0.7" top="0.75" bottom="0.75" header="0.3" footer="0.3"/>
  <pageSetup paperSize="9" orientation="portrait" r:id="rId2"/>
  <drawing r:id="rId3"/>
  <tableParts count="1">
    <tablePart r:id="rId4"/>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D9526-4A88-4460-8E81-BF30381CB037}">
  <dimension ref="A2:F15"/>
  <sheetViews>
    <sheetView showGridLines="0" zoomScale="85" zoomScaleNormal="85" workbookViewId="0">
      <selection activeCell="B19" sqref="B19"/>
    </sheetView>
  </sheetViews>
  <sheetFormatPr defaultColWidth="8" defaultRowHeight="15" x14ac:dyDescent="0.25"/>
  <cols>
    <col min="1" max="1" width="39.625" style="60" customWidth="1"/>
    <col min="2" max="2" width="36.125" style="60" customWidth="1"/>
    <col min="3" max="6" width="16.25" style="60" customWidth="1"/>
    <col min="7" max="16384" width="8" style="60"/>
  </cols>
  <sheetData>
    <row r="2" spans="1:6" ht="15.75" thickBot="1" x14ac:dyDescent="0.3"/>
    <row r="3" spans="1:6" ht="38.25" thickBot="1" x14ac:dyDescent="0.3">
      <c r="A3" s="61" t="s">
        <v>241</v>
      </c>
      <c r="B3" s="61" t="s">
        <v>242</v>
      </c>
      <c r="C3" s="61" t="s">
        <v>247</v>
      </c>
      <c r="D3" s="61" t="s">
        <v>248</v>
      </c>
      <c r="E3" s="61" t="s">
        <v>232</v>
      </c>
      <c r="F3" s="61" t="s">
        <v>233</v>
      </c>
    </row>
    <row r="4" spans="1:6" ht="76.900000000000006" customHeight="1" x14ac:dyDescent="0.25">
      <c r="A4" s="62" t="s">
        <v>251</v>
      </c>
      <c r="B4" s="118"/>
      <c r="C4" s="63">
        <v>124399448.04000001</v>
      </c>
      <c r="D4" s="64">
        <v>14638140.569999993</v>
      </c>
      <c r="E4" s="64">
        <f>+C4+D4</f>
        <v>139037588.61000001</v>
      </c>
      <c r="F4" s="65">
        <f>+E4/$E$6*100</f>
        <v>80.538644354204621</v>
      </c>
    </row>
    <row r="5" spans="1:6" ht="90.6" customHeight="1" x14ac:dyDescent="0.25">
      <c r="A5" s="62" t="s">
        <v>23</v>
      </c>
      <c r="B5" s="119"/>
      <c r="C5" s="87">
        <v>0</v>
      </c>
      <c r="D5" s="88">
        <v>33597038.810000002</v>
      </c>
      <c r="E5" s="88">
        <f t="shared" ref="E5" si="0">+C5+D5</f>
        <v>33597038.810000002</v>
      </c>
      <c r="F5" s="89">
        <f>+E5/$E$6*100</f>
        <v>19.461355645795386</v>
      </c>
    </row>
    <row r="6" spans="1:6" ht="18.75" x14ac:dyDescent="0.25">
      <c r="A6" s="66" t="s">
        <v>243</v>
      </c>
      <c r="B6" s="67"/>
      <c r="C6" s="68">
        <f>SUM(C4:C5)</f>
        <v>124399448.04000001</v>
      </c>
      <c r="D6" s="68">
        <f>SUM(D4:D5)</f>
        <v>48235179.379999995</v>
      </c>
      <c r="E6" s="68">
        <f>SUM(E4:E5)</f>
        <v>172634627.42000002</v>
      </c>
      <c r="F6" s="69">
        <v>100</v>
      </c>
    </row>
    <row r="10" spans="1:6" x14ac:dyDescent="0.25">
      <c r="E10" s="70"/>
    </row>
    <row r="11" spans="1:6" x14ac:dyDescent="0.25">
      <c r="C11" s="70"/>
    </row>
    <row r="15" spans="1:6" x14ac:dyDescent="0.25">
      <c r="C15" s="70"/>
    </row>
  </sheetData>
  <mergeCells count="1">
    <mergeCell ref="B4:B5"/>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4ED8CE-FEFE-43F0-A640-244AEED438B6}">
  <sheetPr>
    <tabColor rgb="FFE1F6F5"/>
  </sheetPr>
  <dimension ref="A1:K44"/>
  <sheetViews>
    <sheetView showGridLines="0" tabSelected="1" zoomScale="115" zoomScaleNormal="115" workbookViewId="0">
      <selection activeCell="E15" sqref="E15"/>
    </sheetView>
  </sheetViews>
  <sheetFormatPr defaultColWidth="8.25" defaultRowHeight="15" x14ac:dyDescent="0.25"/>
  <cols>
    <col min="1" max="1" width="24.625" style="54" customWidth="1"/>
    <col min="2" max="2" width="37.875" style="72" customWidth="1"/>
    <col min="3" max="4" width="11.75" style="54" customWidth="1"/>
    <col min="5" max="5" width="13.25" style="54" customWidth="1"/>
    <col min="6" max="6" width="10" style="71" bestFit="1" customWidth="1"/>
    <col min="7" max="7" width="11.75" style="71" bestFit="1" customWidth="1"/>
    <col min="8" max="8" width="33.625" style="54" customWidth="1"/>
    <col min="9" max="16384" width="8.25" style="54"/>
  </cols>
  <sheetData>
    <row r="1" spans="1:11" x14ac:dyDescent="0.25">
      <c r="A1" s="124" t="s">
        <v>246</v>
      </c>
      <c r="B1" s="126" t="s">
        <v>5</v>
      </c>
      <c r="C1" s="120" t="s">
        <v>245</v>
      </c>
      <c r="D1" s="120"/>
      <c r="E1" s="122" t="s">
        <v>253</v>
      </c>
    </row>
    <row r="2" spans="1:11" ht="15.75" thickBot="1" x14ac:dyDescent="0.3">
      <c r="A2" s="125"/>
      <c r="B2" s="127"/>
      <c r="C2" s="78" t="s">
        <v>244</v>
      </c>
      <c r="D2" s="78" t="s">
        <v>252</v>
      </c>
      <c r="E2" s="121"/>
    </row>
    <row r="3" spans="1:11" x14ac:dyDescent="0.25">
      <c r="A3" s="128" t="s">
        <v>249</v>
      </c>
      <c r="B3" s="77" t="s">
        <v>191</v>
      </c>
      <c r="C3" s="76">
        <v>62519922.590000004</v>
      </c>
      <c r="D3" s="76">
        <v>0</v>
      </c>
      <c r="E3" s="76">
        <f>+C3+D3</f>
        <v>62519922.590000004</v>
      </c>
    </row>
    <row r="4" spans="1:11" x14ac:dyDescent="0.25">
      <c r="A4" s="129"/>
      <c r="B4" s="75" t="s">
        <v>194</v>
      </c>
      <c r="C4" s="74">
        <v>51585967.68</v>
      </c>
      <c r="D4" s="74">
        <v>14638140.569999993</v>
      </c>
      <c r="E4" s="74">
        <f t="shared" ref="E4:E5" si="0">+C4+D4</f>
        <v>66224108.249999993</v>
      </c>
    </row>
    <row r="5" spans="1:11" x14ac:dyDescent="0.25">
      <c r="A5" s="130"/>
      <c r="B5" s="75" t="s">
        <v>197</v>
      </c>
      <c r="C5" s="74">
        <v>10293557.77</v>
      </c>
      <c r="D5" s="74">
        <v>0</v>
      </c>
      <c r="E5" s="74">
        <f t="shared" si="0"/>
        <v>10293557.77</v>
      </c>
    </row>
    <row r="6" spans="1:11" x14ac:dyDescent="0.25">
      <c r="B6" s="91" t="s">
        <v>249</v>
      </c>
      <c r="C6" s="90">
        <f>SUM(C3:C5)</f>
        <v>124399448.04000001</v>
      </c>
      <c r="D6" s="90">
        <f t="shared" ref="D6:E6" si="1">SUM(D3:D5)</f>
        <v>14638140.569999993</v>
      </c>
      <c r="E6" s="90">
        <f t="shared" si="1"/>
        <v>139037588.61000001</v>
      </c>
    </row>
    <row r="7" spans="1:11" x14ac:dyDescent="0.25">
      <c r="C7" s="90"/>
      <c r="D7" s="90"/>
      <c r="E7" s="90"/>
    </row>
    <row r="9" spans="1:11" x14ac:dyDescent="0.25">
      <c r="A9" s="120" t="s">
        <v>246</v>
      </c>
      <c r="B9" s="122" t="s">
        <v>5</v>
      </c>
      <c r="C9" s="120" t="s">
        <v>245</v>
      </c>
      <c r="D9" s="120"/>
      <c r="E9" s="122" t="s">
        <v>254</v>
      </c>
    </row>
    <row r="10" spans="1:11" x14ac:dyDescent="0.25">
      <c r="A10" s="121"/>
      <c r="B10" s="123"/>
      <c r="C10" s="78" t="s">
        <v>244</v>
      </c>
      <c r="D10" s="78" t="s">
        <v>252</v>
      </c>
      <c r="E10" s="121"/>
    </row>
    <row r="11" spans="1:11" ht="30" x14ac:dyDescent="0.25">
      <c r="A11" s="81" t="s">
        <v>23</v>
      </c>
      <c r="B11" s="81" t="s">
        <v>24</v>
      </c>
      <c r="C11" s="80">
        <v>0</v>
      </c>
      <c r="D11" s="80">
        <v>33597038.810000002</v>
      </c>
      <c r="E11" s="80">
        <f>+D11+C11</f>
        <v>33597038.810000002</v>
      </c>
    </row>
    <row r="12" spans="1:11" s="71" customFormat="1" x14ac:dyDescent="0.25">
      <c r="A12" s="60"/>
      <c r="B12" s="91" t="s">
        <v>23</v>
      </c>
      <c r="C12" s="90">
        <f>SUM(C11:C11)</f>
        <v>0</v>
      </c>
      <c r="D12" s="90">
        <f>SUM(D11:D11)</f>
        <v>33597038.810000002</v>
      </c>
      <c r="E12" s="90">
        <f>SUM(E11:E11)</f>
        <v>33597038.810000002</v>
      </c>
      <c r="F12" s="79">
        <f>+C12+D12</f>
        <v>33597038.810000002</v>
      </c>
      <c r="H12" s="54"/>
      <c r="I12" s="54"/>
      <c r="J12" s="54"/>
      <c r="K12" s="54"/>
    </row>
    <row r="13" spans="1:11" x14ac:dyDescent="0.25">
      <c r="A13" s="60"/>
      <c r="B13" s="73"/>
      <c r="C13" s="60"/>
      <c r="D13" s="60"/>
      <c r="E13" s="60"/>
    </row>
    <row r="14" spans="1:11" s="71" customFormat="1" x14ac:dyDescent="0.25">
      <c r="A14"/>
      <c r="B14"/>
      <c r="C14"/>
      <c r="D14"/>
      <c r="E14"/>
      <c r="F14"/>
      <c r="H14" s="54"/>
      <c r="I14" s="54"/>
      <c r="J14" s="54"/>
      <c r="K14" s="54"/>
    </row>
    <row r="15" spans="1:11" s="71" customFormat="1" ht="14.65" customHeight="1" x14ac:dyDescent="0.25">
      <c r="A15"/>
      <c r="B15"/>
      <c r="C15"/>
      <c r="D15"/>
      <c r="E15" s="12"/>
      <c r="F15"/>
      <c r="H15" s="54"/>
      <c r="I15" s="54"/>
      <c r="J15" s="54"/>
      <c r="K15" s="54"/>
    </row>
    <row r="16" spans="1:11" s="71" customFormat="1" x14ac:dyDescent="0.25">
      <c r="A16"/>
      <c r="B16"/>
      <c r="C16"/>
      <c r="D16"/>
      <c r="E16"/>
      <c r="F16"/>
      <c r="H16" s="54"/>
      <c r="I16" s="54"/>
      <c r="J16" s="54"/>
      <c r="K16" s="54"/>
    </row>
    <row r="17" spans="1:11" s="71" customFormat="1" x14ac:dyDescent="0.25">
      <c r="A17"/>
      <c r="B17"/>
      <c r="C17"/>
      <c r="D17"/>
      <c r="E17"/>
      <c r="F17"/>
      <c r="H17" s="54"/>
      <c r="I17" s="54"/>
      <c r="J17" s="54"/>
      <c r="K17" s="54"/>
    </row>
    <row r="18" spans="1:11" x14ac:dyDescent="0.25">
      <c r="A18"/>
      <c r="B18"/>
      <c r="C18"/>
      <c r="D18"/>
      <c r="E18"/>
      <c r="F18"/>
    </row>
    <row r="19" spans="1:11" x14ac:dyDescent="0.25">
      <c r="A19"/>
      <c r="B19"/>
      <c r="C19"/>
      <c r="D19"/>
      <c r="E19"/>
      <c r="F19"/>
    </row>
    <row r="20" spans="1:11" s="60" customFormat="1" x14ac:dyDescent="0.25">
      <c r="A20"/>
      <c r="B20"/>
      <c r="C20"/>
      <c r="D20"/>
      <c r="E20"/>
      <c r="F20"/>
      <c r="G20"/>
      <c r="H20"/>
    </row>
    <row r="21" spans="1:11" s="60" customFormat="1" x14ac:dyDescent="0.25">
      <c r="A21"/>
      <c r="B21"/>
      <c r="C21"/>
      <c r="D21"/>
      <c r="E21" s="12"/>
      <c r="F21"/>
      <c r="G21"/>
      <c r="H21"/>
    </row>
    <row r="22" spans="1:11" s="60" customFormat="1" x14ac:dyDescent="0.25">
      <c r="A22"/>
      <c r="B22"/>
      <c r="C22"/>
      <c r="D22"/>
      <c r="E22"/>
      <c r="F22"/>
      <c r="G22"/>
      <c r="H22"/>
    </row>
    <row r="23" spans="1:11" s="60" customFormat="1" ht="15" customHeight="1" x14ac:dyDescent="0.25">
      <c r="A23"/>
      <c r="B23"/>
      <c r="C23"/>
      <c r="D23"/>
      <c r="E23"/>
      <c r="F23"/>
      <c r="G23"/>
      <c r="H23"/>
    </row>
    <row r="24" spans="1:11" s="60" customFormat="1" x14ac:dyDescent="0.25">
      <c r="A24"/>
      <c r="B24"/>
      <c r="C24"/>
      <c r="D24"/>
      <c r="E24"/>
      <c r="F24"/>
      <c r="G24"/>
      <c r="H24"/>
    </row>
    <row r="25" spans="1:11" s="60" customFormat="1" x14ac:dyDescent="0.25">
      <c r="A25"/>
      <c r="B25"/>
      <c r="C25"/>
      <c r="D25"/>
      <c r="E25"/>
      <c r="F25"/>
      <c r="G25"/>
      <c r="H25"/>
    </row>
    <row r="26" spans="1:11" s="60" customFormat="1" x14ac:dyDescent="0.25">
      <c r="A26"/>
      <c r="B26"/>
      <c r="C26"/>
      <c r="D26"/>
      <c r="E26"/>
      <c r="F26"/>
      <c r="G26"/>
      <c r="H26"/>
    </row>
    <row r="27" spans="1:11" s="60" customFormat="1" x14ac:dyDescent="0.25">
      <c r="A27"/>
      <c r="B27"/>
      <c r="C27"/>
      <c r="D27"/>
      <c r="E27"/>
      <c r="F27"/>
      <c r="G27"/>
      <c r="H27"/>
    </row>
    <row r="28" spans="1:11" s="60" customFormat="1" x14ac:dyDescent="0.25">
      <c r="A28"/>
      <c r="B28"/>
      <c r="C28"/>
      <c r="D28"/>
      <c r="E28"/>
      <c r="F28"/>
      <c r="G28"/>
      <c r="H28"/>
    </row>
    <row r="29" spans="1:11" s="60" customFormat="1" x14ac:dyDescent="0.25">
      <c r="A29"/>
      <c r="B29"/>
      <c r="C29"/>
      <c r="D29"/>
      <c r="E29"/>
      <c r="F29"/>
      <c r="G29"/>
      <c r="H29"/>
    </row>
    <row r="30" spans="1:11" s="60" customFormat="1" x14ac:dyDescent="0.25">
      <c r="A30"/>
      <c r="B30"/>
      <c r="C30"/>
      <c r="D30"/>
      <c r="E30"/>
      <c r="F30"/>
      <c r="G30"/>
      <c r="H30"/>
    </row>
    <row r="31" spans="1:11" s="60" customFormat="1" x14ac:dyDescent="0.25">
      <c r="A31"/>
      <c r="B31"/>
      <c r="C31"/>
      <c r="D31"/>
      <c r="E31"/>
      <c r="F31"/>
      <c r="G31"/>
      <c r="H31"/>
    </row>
    <row r="32" spans="1:11" s="60" customFormat="1" x14ac:dyDescent="0.25">
      <c r="A32"/>
      <c r="B32"/>
      <c r="C32"/>
      <c r="D32"/>
      <c r="E32"/>
      <c r="F32"/>
      <c r="G32"/>
      <c r="H32"/>
    </row>
    <row r="33" spans="1:8" s="60" customFormat="1" x14ac:dyDescent="0.25">
      <c r="A33"/>
      <c r="B33"/>
      <c r="C33"/>
      <c r="D33"/>
      <c r="E33"/>
      <c r="F33"/>
      <c r="G33"/>
      <c r="H33"/>
    </row>
    <row r="34" spans="1:8" s="60" customFormat="1" x14ac:dyDescent="0.25"/>
    <row r="35" spans="1:8" s="60" customFormat="1" x14ac:dyDescent="0.25"/>
    <row r="36" spans="1:8" s="60" customFormat="1" x14ac:dyDescent="0.25"/>
    <row r="37" spans="1:8" s="60" customFormat="1" x14ac:dyDescent="0.25"/>
    <row r="38" spans="1:8" s="60" customFormat="1" x14ac:dyDescent="0.25"/>
    <row r="39" spans="1:8" s="60" customFormat="1" x14ac:dyDescent="0.25"/>
    <row r="40" spans="1:8" s="60" customFormat="1" x14ac:dyDescent="0.25"/>
    <row r="41" spans="1:8" s="60" customFormat="1" x14ac:dyDescent="0.25"/>
    <row r="42" spans="1:8" s="60" customFormat="1" x14ac:dyDescent="0.25"/>
    <row r="43" spans="1:8" s="60" customFormat="1" x14ac:dyDescent="0.25"/>
    <row r="44" spans="1:8" s="60" customFormat="1" x14ac:dyDescent="0.25"/>
  </sheetData>
  <mergeCells count="9">
    <mergeCell ref="A9:A10"/>
    <mergeCell ref="B9:B10"/>
    <mergeCell ref="C9:D9"/>
    <mergeCell ref="E9:E10"/>
    <mergeCell ref="A1:A2"/>
    <mergeCell ref="B1:B2"/>
    <mergeCell ref="C1:D1"/>
    <mergeCell ref="E1:E2"/>
    <mergeCell ref="A3:A5"/>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249977111117893"/>
    <pageSetUpPr fitToPage="1"/>
  </sheetPr>
  <dimension ref="A1:U52"/>
  <sheetViews>
    <sheetView zoomScale="80" zoomScaleNormal="80" workbookViewId="0">
      <pane xSplit="2" ySplit="1" topLeftCell="F2" activePane="bottomRight" state="frozen"/>
      <selection pane="topRight" activeCell="D1" sqref="D1"/>
      <selection pane="bottomLeft" activeCell="A4" sqref="A4"/>
      <selection pane="bottomRight" activeCell="A4" sqref="A4:XFD4"/>
    </sheetView>
  </sheetViews>
  <sheetFormatPr defaultColWidth="8.75" defaultRowHeight="54.95" customHeight="1" x14ac:dyDescent="0.2"/>
  <cols>
    <col min="1" max="1" width="11.25" customWidth="1"/>
    <col min="2" max="2" width="16.375" customWidth="1"/>
    <col min="3" max="3" width="43.375" style="1" customWidth="1"/>
    <col min="4" max="4" width="81.625" style="1" customWidth="1"/>
    <col min="5" max="6" width="30.875" customWidth="1"/>
    <col min="7" max="7" width="23.875" customWidth="1"/>
    <col min="8" max="8" width="29.125" style="1" customWidth="1"/>
    <col min="9" max="9" width="21.625" style="1" customWidth="1"/>
    <col min="10" max="10" width="18.75" customWidth="1"/>
    <col min="11" max="11" width="18.625" customWidth="1"/>
    <col min="12" max="12" width="24" customWidth="1"/>
    <col min="13" max="13" width="28.375" customWidth="1"/>
    <col min="14" max="14" width="19.625" customWidth="1"/>
    <col min="15" max="17" width="22.375" customWidth="1"/>
    <col min="18" max="18" width="19.25" customWidth="1"/>
  </cols>
  <sheetData>
    <row r="1" spans="1:21" s="10" customFormat="1" ht="45" x14ac:dyDescent="0.2">
      <c r="A1" s="16" t="s">
        <v>0</v>
      </c>
      <c r="B1" s="17" t="s">
        <v>1</v>
      </c>
      <c r="C1" s="17" t="s">
        <v>2</v>
      </c>
      <c r="D1" s="16" t="s">
        <v>3</v>
      </c>
      <c r="E1" s="17" t="s">
        <v>4</v>
      </c>
      <c r="F1" s="17" t="s">
        <v>5</v>
      </c>
      <c r="G1" s="17" t="s">
        <v>6</v>
      </c>
      <c r="H1" s="17" t="s">
        <v>7</v>
      </c>
      <c r="I1" s="17" t="s">
        <v>8</v>
      </c>
      <c r="J1" s="18" t="s">
        <v>9</v>
      </c>
      <c r="K1" s="17" t="s">
        <v>10</v>
      </c>
      <c r="L1" s="17" t="s">
        <v>11</v>
      </c>
      <c r="M1" s="17" t="s">
        <v>12</v>
      </c>
      <c r="N1" s="17" t="s">
        <v>222</v>
      </c>
      <c r="O1" s="15" t="s">
        <v>183</v>
      </c>
      <c r="P1" s="15" t="s">
        <v>223</v>
      </c>
      <c r="Q1" s="15" t="s">
        <v>258</v>
      </c>
      <c r="R1" s="17" t="s">
        <v>13</v>
      </c>
      <c r="T1"/>
    </row>
    <row r="2" spans="1:21" s="11" customFormat="1" ht="94.5" customHeight="1" x14ac:dyDescent="0.25">
      <c r="A2" s="26">
        <v>3</v>
      </c>
      <c r="B2" s="27" t="s">
        <v>184</v>
      </c>
      <c r="C2" s="102" t="s">
        <v>494</v>
      </c>
      <c r="D2" s="102" t="s">
        <v>501</v>
      </c>
      <c r="E2" s="22" t="s">
        <v>23</v>
      </c>
      <c r="F2" s="22" t="s">
        <v>24</v>
      </c>
      <c r="G2" s="22" t="s">
        <v>25</v>
      </c>
      <c r="H2" s="22" t="s">
        <v>22</v>
      </c>
      <c r="I2" s="22" t="s">
        <v>182</v>
      </c>
      <c r="J2" s="22" t="s">
        <v>502</v>
      </c>
      <c r="K2" s="22" t="s">
        <v>17</v>
      </c>
      <c r="L2" s="24">
        <v>165419768.99000001</v>
      </c>
      <c r="M2" s="24">
        <v>165419768.99000001</v>
      </c>
      <c r="N2" s="24">
        <f>+Social[[#This Row],[RS financing 2024 (EUR)]]+Social[[#This Row],[RS financing 2025 (EUR)]]</f>
        <v>33597038.810000002</v>
      </c>
      <c r="O2" s="82">
        <v>0</v>
      </c>
      <c r="P2" s="24">
        <v>33597038.810000002</v>
      </c>
      <c r="Q2" s="92">
        <f>+Social[[#This Row],[Bond eligible amount (EUR)
Σ 24+25]]/Social[[#This Row],[Total project amount (EUR)]]</f>
        <v>0.20310171520086584</v>
      </c>
      <c r="R2" s="28" t="s">
        <v>185</v>
      </c>
      <c r="T2"/>
    </row>
    <row r="3" spans="1:21" s="11" customFormat="1" ht="94.5" customHeight="1" x14ac:dyDescent="0.25">
      <c r="A3" s="26">
        <v>4</v>
      </c>
      <c r="B3" s="19" t="s">
        <v>186</v>
      </c>
      <c r="C3" s="101" t="s">
        <v>189</v>
      </c>
      <c r="D3" s="101" t="s">
        <v>190</v>
      </c>
      <c r="E3" s="20" t="s">
        <v>27</v>
      </c>
      <c r="F3" s="20" t="s">
        <v>191</v>
      </c>
      <c r="G3" s="20" t="s">
        <v>25</v>
      </c>
      <c r="H3" s="20" t="s">
        <v>22</v>
      </c>
      <c r="I3" s="20" t="s">
        <v>198</v>
      </c>
      <c r="J3" s="20" t="s">
        <v>199</v>
      </c>
      <c r="K3" s="20" t="s">
        <v>17</v>
      </c>
      <c r="L3" s="24">
        <v>350393180.86000001</v>
      </c>
      <c r="M3" s="24">
        <v>350393180.86000001</v>
      </c>
      <c r="N3" s="24">
        <f>+Social[[#This Row],[RS financing 2024 (EUR)]]+Social[[#This Row],[RS financing 2025 (EUR)]]</f>
        <v>55112869.710000001</v>
      </c>
      <c r="O3" s="82">
        <v>55112869.710000001</v>
      </c>
      <c r="P3" s="24">
        <v>0</v>
      </c>
      <c r="Q3" s="92">
        <f>+Social[[#This Row],[Bond eligible amount (EUR)
Σ 24+25]]/Social[[#This Row],[Total project amount (EUR)]]</f>
        <v>0.15728864806881163</v>
      </c>
      <c r="R3" s="21" t="s">
        <v>58</v>
      </c>
      <c r="T3"/>
    </row>
    <row r="4" spans="1:21" s="11" customFormat="1" ht="94.5" customHeight="1" x14ac:dyDescent="0.25">
      <c r="A4" s="26">
        <v>5</v>
      </c>
      <c r="B4" s="19" t="s">
        <v>228</v>
      </c>
      <c r="C4" s="101" t="s">
        <v>192</v>
      </c>
      <c r="D4" s="101" t="s">
        <v>193</v>
      </c>
      <c r="E4" s="20" t="s">
        <v>27</v>
      </c>
      <c r="F4" s="20" t="s">
        <v>194</v>
      </c>
      <c r="G4" s="20" t="s">
        <v>25</v>
      </c>
      <c r="H4" s="20" t="s">
        <v>29</v>
      </c>
      <c r="I4" s="20" t="s">
        <v>200</v>
      </c>
      <c r="J4" s="20" t="s">
        <v>201</v>
      </c>
      <c r="K4" s="20" t="s">
        <v>17</v>
      </c>
      <c r="L4" s="24">
        <v>774937052.3900001</v>
      </c>
      <c r="M4" s="24">
        <v>641005052.3900001</v>
      </c>
      <c r="N4" s="24">
        <f>+Social[[#This Row],[RS financing 2024 (EUR)]]+Social[[#This Row],[RS financing 2025 (EUR)]]</f>
        <v>66224108.249999993</v>
      </c>
      <c r="O4" s="82">
        <v>51585967.68</v>
      </c>
      <c r="P4" s="24">
        <v>14638140.569999993</v>
      </c>
      <c r="Q4" s="92">
        <f>+Social[[#This Row],[Bond eligible amount (EUR)
Σ 24+25]]/Social[[#This Row],[Total project amount (EUR)]]</f>
        <v>8.5457403341028526E-2</v>
      </c>
      <c r="R4" s="21" t="s">
        <v>58</v>
      </c>
      <c r="T4"/>
    </row>
    <row r="5" spans="1:21" s="11" customFormat="1" ht="94.5" customHeight="1" x14ac:dyDescent="0.25">
      <c r="A5" s="26">
        <v>6</v>
      </c>
      <c r="B5" s="27" t="s">
        <v>229</v>
      </c>
      <c r="C5" s="102" t="s">
        <v>195</v>
      </c>
      <c r="D5" s="102" t="s">
        <v>196</v>
      </c>
      <c r="E5" s="22" t="s">
        <v>27</v>
      </c>
      <c r="F5" s="22" t="s">
        <v>197</v>
      </c>
      <c r="G5" s="22" t="s">
        <v>25</v>
      </c>
      <c r="H5" s="22" t="s">
        <v>29</v>
      </c>
      <c r="I5" s="22" t="s">
        <v>200</v>
      </c>
      <c r="J5" s="22" t="s">
        <v>201</v>
      </c>
      <c r="K5" s="22" t="s">
        <v>17</v>
      </c>
      <c r="L5" s="29">
        <v>512329441.05000001</v>
      </c>
      <c r="M5" s="29">
        <v>333606901.00999999</v>
      </c>
      <c r="N5" s="24">
        <f>+Social[[#This Row],[RS financing 2024 (EUR)]]+Social[[#This Row],[RS financing 2025 (EUR)]]</f>
        <v>10293557.77</v>
      </c>
      <c r="O5" s="83">
        <v>10293557.77</v>
      </c>
      <c r="P5" s="30">
        <v>0</v>
      </c>
      <c r="Q5" s="92">
        <f>+Social[[#This Row],[Bond eligible amount (EUR)
Σ 24+25]]/Social[[#This Row],[Total project amount (EUR)]]</f>
        <v>2.009167723975366E-2</v>
      </c>
      <c r="R5" s="28" t="s">
        <v>58</v>
      </c>
      <c r="T5"/>
    </row>
    <row r="6" spans="1:21" s="11" customFormat="1" ht="94.5" customHeight="1" x14ac:dyDescent="0.25">
      <c r="A6" s="26">
        <v>7</v>
      </c>
      <c r="B6" s="27" t="s">
        <v>230</v>
      </c>
      <c r="C6" s="102" t="s">
        <v>224</v>
      </c>
      <c r="D6" s="102" t="s">
        <v>225</v>
      </c>
      <c r="E6" s="22" t="s">
        <v>27</v>
      </c>
      <c r="F6" s="22" t="s">
        <v>191</v>
      </c>
      <c r="G6" s="22" t="s">
        <v>25</v>
      </c>
      <c r="H6" s="22" t="s">
        <v>226</v>
      </c>
      <c r="I6" s="22" t="s">
        <v>227</v>
      </c>
      <c r="J6" s="22" t="s">
        <v>18</v>
      </c>
      <c r="K6" s="22" t="s">
        <v>17</v>
      </c>
      <c r="L6" s="29">
        <v>630869992.12</v>
      </c>
      <c r="M6" s="29">
        <v>142555512.61000001</v>
      </c>
      <c r="N6" s="24">
        <f>+Social[[#This Row],[RS financing 2024 (EUR)]]+Social[[#This Row],[RS financing 2025 (EUR)]]</f>
        <v>7407052.8799999999</v>
      </c>
      <c r="O6" s="83">
        <v>7407052.8799999999</v>
      </c>
      <c r="P6" s="29">
        <v>0</v>
      </c>
      <c r="Q6" s="92">
        <f>+Social[[#This Row],[Bond eligible amount (EUR)
Σ 24+25]]/Social[[#This Row],[Total project amount (EUR)]]</f>
        <v>1.1741013160427954E-2</v>
      </c>
      <c r="R6" s="28" t="s">
        <v>58</v>
      </c>
      <c r="T6"/>
    </row>
    <row r="7" spans="1:21" ht="74.45" customHeight="1" thickBot="1" x14ac:dyDescent="0.3">
      <c r="A7" s="131"/>
      <c r="B7" s="132"/>
      <c r="C7" s="132"/>
      <c r="D7" s="132"/>
      <c r="E7" s="132"/>
      <c r="F7" s="132"/>
      <c r="G7" s="132"/>
      <c r="H7" s="132"/>
      <c r="I7" s="132"/>
      <c r="J7" s="132"/>
      <c r="K7" s="132"/>
      <c r="L7" s="25">
        <f>SUM(Social[Total project amount (EUR)])</f>
        <v>2433949435.4100003</v>
      </c>
      <c r="M7" s="25">
        <f>SUM(Social[Total RS financing amount (EUR)])</f>
        <v>1632980415.8600001</v>
      </c>
      <c r="N7" s="25">
        <f>SUM(Social[Bond eligible amount (EUR)
Σ 24+25])</f>
        <v>172634627.42000002</v>
      </c>
      <c r="O7" s="25">
        <f>SUM(Social[RS financing 2024 (EUR)])</f>
        <v>124399448.03999999</v>
      </c>
      <c r="P7" s="25">
        <f>SUM(Social[RS financing 2025 (EUR)])</f>
        <v>48235179.379999995</v>
      </c>
      <c r="Q7" s="25"/>
      <c r="R7" s="23"/>
      <c r="U7" s="11"/>
    </row>
    <row r="8" spans="1:21" ht="59.45" customHeight="1" x14ac:dyDescent="0.2">
      <c r="C8"/>
      <c r="D8"/>
      <c r="H8"/>
      <c r="I8"/>
      <c r="U8" s="11"/>
    </row>
    <row r="9" spans="1:21" ht="54.95" customHeight="1" x14ac:dyDescent="0.2">
      <c r="C9"/>
      <c r="D9"/>
      <c r="H9"/>
      <c r="I9"/>
      <c r="U9" s="11"/>
    </row>
    <row r="10" spans="1:21" ht="54.95" customHeight="1" x14ac:dyDescent="0.2">
      <c r="C10"/>
      <c r="D10"/>
      <c r="H10"/>
      <c r="I10"/>
      <c r="P10" s="12"/>
      <c r="U10" s="11"/>
    </row>
    <row r="11" spans="1:21" ht="54.95" customHeight="1" x14ac:dyDescent="0.2">
      <c r="C11"/>
      <c r="D11"/>
      <c r="H11"/>
      <c r="I11"/>
      <c r="U11" s="11"/>
    </row>
    <row r="12" spans="1:21" ht="54.95" customHeight="1" x14ac:dyDescent="0.2">
      <c r="C12"/>
      <c r="D12"/>
      <c r="H12"/>
      <c r="I12"/>
      <c r="U12" s="11"/>
    </row>
    <row r="13" spans="1:21" ht="54.95" customHeight="1" x14ac:dyDescent="0.2">
      <c r="C13"/>
      <c r="D13"/>
      <c r="H13"/>
      <c r="I13"/>
      <c r="U13" s="11"/>
    </row>
    <row r="14" spans="1:21" ht="54.95" customHeight="1" x14ac:dyDescent="0.2">
      <c r="C14"/>
      <c r="D14"/>
      <c r="H14"/>
      <c r="I14"/>
      <c r="U14" s="11"/>
    </row>
    <row r="15" spans="1:21" ht="54.95" customHeight="1" x14ac:dyDescent="0.2">
      <c r="C15"/>
      <c r="D15"/>
      <c r="H15"/>
      <c r="I15"/>
      <c r="U15" s="11"/>
    </row>
    <row r="16" spans="1:21" ht="54.95" customHeight="1" x14ac:dyDescent="0.2">
      <c r="C16"/>
      <c r="D16"/>
      <c r="H16"/>
      <c r="I16"/>
      <c r="U16" s="11"/>
    </row>
    <row r="17" spans="3:21" ht="54.95" customHeight="1" x14ac:dyDescent="0.2">
      <c r="C17"/>
      <c r="D17"/>
      <c r="H17"/>
      <c r="I17"/>
      <c r="U17" s="11"/>
    </row>
    <row r="18" spans="3:21" ht="54.95" customHeight="1" x14ac:dyDescent="0.2">
      <c r="C18"/>
      <c r="D18"/>
      <c r="H18"/>
      <c r="I18"/>
      <c r="U18" s="11"/>
    </row>
    <row r="19" spans="3:21" ht="54.95" customHeight="1" x14ac:dyDescent="0.2">
      <c r="C19"/>
      <c r="D19"/>
      <c r="H19"/>
      <c r="I19"/>
      <c r="U19" s="11"/>
    </row>
    <row r="20" spans="3:21" ht="54.95" customHeight="1" x14ac:dyDescent="0.2">
      <c r="C20"/>
      <c r="D20"/>
      <c r="H20"/>
      <c r="I20"/>
      <c r="U20" s="11"/>
    </row>
    <row r="21" spans="3:21" ht="54.95" customHeight="1" x14ac:dyDescent="0.2">
      <c r="C21"/>
      <c r="D21"/>
      <c r="H21"/>
      <c r="I21"/>
      <c r="U21" s="11"/>
    </row>
    <row r="22" spans="3:21" ht="54.95" customHeight="1" x14ac:dyDescent="0.2">
      <c r="C22"/>
      <c r="D22"/>
      <c r="H22"/>
      <c r="I22"/>
      <c r="U22" s="11"/>
    </row>
    <row r="23" spans="3:21" ht="54.95" customHeight="1" x14ac:dyDescent="0.2">
      <c r="C23"/>
      <c r="D23"/>
      <c r="H23"/>
      <c r="I23"/>
      <c r="U23" s="11"/>
    </row>
    <row r="24" spans="3:21" ht="54.95" customHeight="1" x14ac:dyDescent="0.2">
      <c r="C24"/>
      <c r="D24"/>
      <c r="H24"/>
      <c r="I24"/>
      <c r="U24" s="11"/>
    </row>
    <row r="25" spans="3:21" ht="54.95" customHeight="1" x14ac:dyDescent="0.2">
      <c r="C25"/>
      <c r="D25"/>
      <c r="H25"/>
      <c r="I25"/>
      <c r="U25" s="11"/>
    </row>
    <row r="26" spans="3:21" ht="54.95" customHeight="1" x14ac:dyDescent="0.2">
      <c r="C26"/>
      <c r="D26"/>
      <c r="H26"/>
      <c r="I26"/>
      <c r="U26" s="11"/>
    </row>
    <row r="27" spans="3:21" ht="54.95" customHeight="1" x14ac:dyDescent="0.2">
      <c r="C27"/>
      <c r="D27"/>
      <c r="H27"/>
      <c r="I27"/>
      <c r="U27" s="11"/>
    </row>
    <row r="28" spans="3:21" ht="54.95" customHeight="1" x14ac:dyDescent="0.2">
      <c r="C28"/>
      <c r="D28"/>
      <c r="H28"/>
      <c r="I28"/>
      <c r="U28" s="11"/>
    </row>
    <row r="29" spans="3:21" ht="54.95" customHeight="1" x14ac:dyDescent="0.2">
      <c r="C29"/>
      <c r="D29"/>
      <c r="H29"/>
      <c r="I29"/>
      <c r="U29" s="11"/>
    </row>
    <row r="30" spans="3:21" ht="54.95" customHeight="1" x14ac:dyDescent="0.2">
      <c r="C30"/>
      <c r="D30"/>
      <c r="H30"/>
      <c r="I30"/>
      <c r="U30" s="11"/>
    </row>
    <row r="31" spans="3:21" ht="54.95" customHeight="1" x14ac:dyDescent="0.2">
      <c r="C31"/>
      <c r="D31"/>
      <c r="H31"/>
      <c r="I31"/>
      <c r="U31" s="11"/>
    </row>
    <row r="32" spans="3:21" ht="54.95" customHeight="1" x14ac:dyDescent="0.2">
      <c r="C32"/>
      <c r="D32"/>
      <c r="H32"/>
      <c r="I32"/>
      <c r="U32" s="11"/>
    </row>
    <row r="33" spans="3:21" ht="54.95" customHeight="1" x14ac:dyDescent="0.2">
      <c r="C33"/>
      <c r="D33"/>
      <c r="H33"/>
      <c r="I33"/>
      <c r="U33" s="11"/>
    </row>
    <row r="34" spans="3:21" ht="54.95" customHeight="1" x14ac:dyDescent="0.2">
      <c r="C34"/>
      <c r="D34"/>
      <c r="H34"/>
      <c r="I34"/>
      <c r="U34" s="11"/>
    </row>
    <row r="35" spans="3:21" ht="54.95" customHeight="1" x14ac:dyDescent="0.2">
      <c r="C35"/>
      <c r="D35"/>
      <c r="H35"/>
      <c r="I35"/>
      <c r="U35" s="11"/>
    </row>
    <row r="36" spans="3:21" ht="54.95" customHeight="1" x14ac:dyDescent="0.2">
      <c r="C36"/>
      <c r="D36"/>
      <c r="H36"/>
      <c r="I36"/>
    </row>
    <row r="37" spans="3:21" ht="54.95" customHeight="1" x14ac:dyDescent="0.2">
      <c r="C37"/>
      <c r="D37"/>
      <c r="H37"/>
      <c r="I37"/>
    </row>
    <row r="38" spans="3:21" ht="54.95" customHeight="1" x14ac:dyDescent="0.2">
      <c r="C38"/>
      <c r="D38"/>
      <c r="H38"/>
      <c r="I38"/>
    </row>
    <row r="39" spans="3:21" ht="54.95" customHeight="1" x14ac:dyDescent="0.2">
      <c r="C39"/>
      <c r="D39"/>
      <c r="H39"/>
      <c r="I39"/>
    </row>
    <row r="40" spans="3:21" ht="54.95" customHeight="1" x14ac:dyDescent="0.2">
      <c r="C40"/>
      <c r="D40"/>
      <c r="H40"/>
      <c r="I40"/>
    </row>
    <row r="41" spans="3:21" ht="54.95" customHeight="1" x14ac:dyDescent="0.2">
      <c r="C41"/>
      <c r="D41"/>
      <c r="H41"/>
      <c r="I41"/>
    </row>
    <row r="42" spans="3:21" ht="54.95" customHeight="1" x14ac:dyDescent="0.2">
      <c r="C42"/>
      <c r="D42"/>
      <c r="H42"/>
      <c r="I42"/>
    </row>
    <row r="43" spans="3:21" ht="54.95" customHeight="1" x14ac:dyDescent="0.2">
      <c r="C43"/>
      <c r="D43"/>
      <c r="H43"/>
      <c r="I43"/>
    </row>
    <row r="44" spans="3:21" ht="54.95" customHeight="1" x14ac:dyDescent="0.2">
      <c r="C44"/>
      <c r="D44"/>
      <c r="H44"/>
      <c r="I44"/>
    </row>
    <row r="45" spans="3:21" ht="54.95" customHeight="1" x14ac:dyDescent="0.2">
      <c r="C45"/>
      <c r="D45"/>
      <c r="H45"/>
      <c r="I45"/>
    </row>
    <row r="46" spans="3:21" ht="54.95" customHeight="1" x14ac:dyDescent="0.2">
      <c r="C46"/>
      <c r="D46"/>
      <c r="H46"/>
      <c r="I46"/>
    </row>
    <row r="47" spans="3:21" ht="54.95" customHeight="1" x14ac:dyDescent="0.2">
      <c r="C47"/>
      <c r="D47"/>
      <c r="H47"/>
      <c r="I47"/>
    </row>
    <row r="48" spans="3:21" ht="54.95" customHeight="1" x14ac:dyDescent="0.2">
      <c r="C48"/>
      <c r="D48"/>
      <c r="H48"/>
      <c r="I48"/>
    </row>
    <row r="49" customFormat="1" ht="54.95" customHeight="1" x14ac:dyDescent="0.2"/>
    <row r="50" customFormat="1" ht="54.95" customHeight="1" x14ac:dyDescent="0.2"/>
    <row r="51" customFormat="1" ht="54.95" customHeight="1" x14ac:dyDescent="0.2"/>
    <row r="52" customFormat="1" ht="54.95" customHeight="1" x14ac:dyDescent="0.2"/>
  </sheetData>
  <mergeCells count="1">
    <mergeCell ref="A7:K7"/>
  </mergeCells>
  <phoneticPr fontId="17" type="noConversion"/>
  <pageMargins left="0.7" right="0.7" top="0.75" bottom="0.75" header="0.3" footer="0.3"/>
  <pageSetup paperSize="8" scale="36" fitToHeight="0" orientation="landscape" r:id="rId1"/>
  <headerFooter>
    <oddFooter>&amp;R&amp;1#&amp;"Calibri"&amp;10&amp;K0078D7Classification : Internal</oddFooter>
  </headerFooter>
  <ignoredErrors>
    <ignoredError sqref="R2" listDataValidation="1"/>
  </ignoredErrors>
  <tableParts count="1">
    <tablePart r:id="rId2"/>
  </tableParts>
  <extLst>
    <ext xmlns:x14="http://schemas.microsoft.com/office/spreadsheetml/2009/9/main" uri="{CCE6A557-97BC-4b89-ADB6-D9C93CAAB3DF}">
      <x14:dataValidations xmlns:xm="http://schemas.microsoft.com/office/excel/2006/main" count="5">
        <x14:dataValidation type="list" allowBlank="1" showInputMessage="1" showErrorMessage="1" xr:uid="{BD5D20A2-6DED-4370-85F0-798B18EAC8B3}">
          <x14:formula1>
            <xm:f>'Drop list'!$F$2:$F$11</xm:f>
          </x14:formula1>
          <xm:sqref>R2:R6</xm:sqref>
        </x14:dataValidation>
        <x14:dataValidation type="list" allowBlank="1" showInputMessage="1" showErrorMessage="1" xr:uid="{F1FD857F-6444-49B9-90F8-9D233F9E9C25}">
          <x14:formula1>
            <xm:f>'Drop list'!$F$14:$F$18</xm:f>
          </x14:formula1>
          <xm:sqref>K2:K6</xm:sqref>
        </x14:dataValidation>
        <x14:dataValidation type="list" allowBlank="1" showInputMessage="1" showErrorMessage="1" xr:uid="{38C4FA08-8F1A-410E-B78A-4DF7CD1A9274}">
          <x14:formula1>
            <xm:f>'Drop list'!$A$16:$A$20</xm:f>
          </x14:formula1>
          <xm:sqref>E2:E6</xm:sqref>
        </x14:dataValidation>
        <x14:dataValidation type="list" allowBlank="1" showInputMessage="1" showErrorMessage="1" xr:uid="{16EDCA69-5B41-4DFB-A799-B6C0AD72293F}">
          <x14:formula1>
            <xm:f>'Drop list'!$D$2:$D$16</xm:f>
          </x14:formula1>
          <xm:sqref>G2:G6</xm:sqref>
        </x14:dataValidation>
        <x14:dataValidation type="list" allowBlank="1" showInputMessage="1" showErrorMessage="1" xr:uid="{3863E147-A699-48D0-9CC8-CC5629757B6C}">
          <x14:formula1>
            <xm:f>'Drop list'!$A$44:$A$48</xm:f>
          </x14:formula1>
          <xm:sqref>H2:H6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154586-AB17-466D-9799-599F8DD9C8B4}">
  <dimension ref="A1:G115"/>
  <sheetViews>
    <sheetView workbookViewId="0">
      <selection activeCell="I33" sqref="I33"/>
    </sheetView>
  </sheetViews>
  <sheetFormatPr defaultColWidth="8.75" defaultRowHeight="12.75" x14ac:dyDescent="0.2"/>
  <cols>
    <col min="1" max="1" width="11.75" style="35" bestFit="1" customWidth="1"/>
    <col min="2" max="2" width="73.25" style="35" bestFit="1" customWidth="1"/>
    <col min="3" max="3" width="23.75" style="35" customWidth="1"/>
    <col min="4" max="4" width="24" style="35" customWidth="1"/>
    <col min="5" max="5" width="15.75" style="35" customWidth="1"/>
    <col min="6" max="7" width="11.25" style="35" customWidth="1"/>
    <col min="8" max="16384" width="8.75" style="35"/>
  </cols>
  <sheetData>
    <row r="1" spans="1:7" ht="38.25" x14ac:dyDescent="0.2">
      <c r="A1" s="31" t="s">
        <v>204</v>
      </c>
      <c r="B1" s="32" t="s">
        <v>205</v>
      </c>
      <c r="C1" s="33" t="s">
        <v>11</v>
      </c>
      <c r="D1" s="33" t="s">
        <v>206</v>
      </c>
      <c r="E1" s="33" t="s">
        <v>222</v>
      </c>
      <c r="F1" s="34" t="s">
        <v>183</v>
      </c>
      <c r="G1" s="34" t="s">
        <v>223</v>
      </c>
    </row>
    <row r="2" spans="1:7" x14ac:dyDescent="0.2">
      <c r="A2" s="35" t="s">
        <v>220</v>
      </c>
      <c r="B2" s="35" t="s">
        <v>388</v>
      </c>
      <c r="C2" s="103">
        <v>3206808.46</v>
      </c>
      <c r="D2" s="103">
        <v>2123440.61</v>
      </c>
      <c r="E2" s="103">
        <f>+Tabela1345614[[#This Row],[RS financing 2024 (EUR)]]+Tabela1345614[[#This Row],[RS financing 2025 (EUR)]]</f>
        <v>975047.61</v>
      </c>
      <c r="F2" s="103">
        <v>400432.61</v>
      </c>
      <c r="G2" s="103">
        <v>574615</v>
      </c>
    </row>
    <row r="3" spans="1:7" x14ac:dyDescent="0.2">
      <c r="A3" s="35" t="s">
        <v>268</v>
      </c>
      <c r="B3" s="35" t="s">
        <v>387</v>
      </c>
      <c r="C3" s="103">
        <v>5181574.03</v>
      </c>
      <c r="D3" s="103">
        <v>1008561.05</v>
      </c>
      <c r="E3" s="103">
        <f>+Tabela1345614[[#This Row],[RS financing 2024 (EUR)]]+Tabela1345614[[#This Row],[RS financing 2025 (EUR)]]</f>
        <v>972215.28</v>
      </c>
      <c r="F3" s="103">
        <v>372215.28</v>
      </c>
      <c r="G3" s="103">
        <v>600000</v>
      </c>
    </row>
    <row r="4" spans="1:7" x14ac:dyDescent="0.2">
      <c r="A4" s="35" t="s">
        <v>269</v>
      </c>
      <c r="B4" s="35" t="s">
        <v>447</v>
      </c>
      <c r="C4" s="103">
        <v>2530177.27</v>
      </c>
      <c r="D4" s="103">
        <v>1000000</v>
      </c>
      <c r="E4" s="103">
        <f>+Tabela1345614[[#This Row],[RS financing 2024 (EUR)]]+Tabela1345614[[#This Row],[RS financing 2025 (EUR)]]</f>
        <v>1000000</v>
      </c>
      <c r="F4" s="103">
        <v>29766</v>
      </c>
      <c r="G4" s="103">
        <v>970234</v>
      </c>
    </row>
    <row r="5" spans="1:7" x14ac:dyDescent="0.2">
      <c r="A5" s="35" t="s">
        <v>270</v>
      </c>
      <c r="B5" s="35" t="s">
        <v>389</v>
      </c>
      <c r="C5" s="103">
        <v>987353.5</v>
      </c>
      <c r="D5" s="103">
        <v>468348.63</v>
      </c>
      <c r="E5" s="103">
        <f>+Tabela1345614[[#This Row],[RS financing 2024 (EUR)]]+Tabela1345614[[#This Row],[RS financing 2025 (EUR)]]</f>
        <v>0</v>
      </c>
      <c r="F5" s="103">
        <v>0</v>
      </c>
      <c r="G5" s="103">
        <v>0</v>
      </c>
    </row>
    <row r="6" spans="1:7" x14ac:dyDescent="0.2">
      <c r="A6" s="35" t="s">
        <v>213</v>
      </c>
      <c r="B6" s="35" t="s">
        <v>390</v>
      </c>
      <c r="C6" s="103">
        <v>3225935.11</v>
      </c>
      <c r="D6" s="103">
        <v>1172667.07</v>
      </c>
      <c r="E6" s="103">
        <f>+Tabela1345614[[#This Row],[RS financing 2024 (EUR)]]+Tabela1345614[[#This Row],[RS financing 2025 (EUR)]]</f>
        <v>784667.07</v>
      </c>
      <c r="F6" s="103">
        <v>784667.07</v>
      </c>
      <c r="G6" s="103">
        <v>0</v>
      </c>
    </row>
    <row r="7" spans="1:7" x14ac:dyDescent="0.2">
      <c r="A7" s="35" t="s">
        <v>207</v>
      </c>
      <c r="B7" s="35" t="s">
        <v>448</v>
      </c>
      <c r="C7" s="103">
        <v>1567145.78</v>
      </c>
      <c r="D7" s="103">
        <v>685038.19</v>
      </c>
      <c r="E7" s="103">
        <f>+Tabela1345614[[#This Row],[RS financing 2024 (EUR)]]+Tabela1345614[[#This Row],[RS financing 2025 (EUR)]]</f>
        <v>573038.18999999994</v>
      </c>
      <c r="F7" s="103">
        <v>573038.18999999994</v>
      </c>
      <c r="G7" s="103">
        <v>0</v>
      </c>
    </row>
    <row r="8" spans="1:7" x14ac:dyDescent="0.2">
      <c r="A8" s="35" t="s">
        <v>219</v>
      </c>
      <c r="B8" s="35" t="s">
        <v>449</v>
      </c>
      <c r="C8" s="103">
        <v>2933157.4</v>
      </c>
      <c r="D8" s="103">
        <v>1144355.0900000001</v>
      </c>
      <c r="E8" s="103">
        <f>+Tabela1345614[[#This Row],[RS financing 2024 (EUR)]]+Tabela1345614[[#This Row],[RS financing 2025 (EUR)]]</f>
        <v>294355.09000000003</v>
      </c>
      <c r="F8" s="103">
        <v>294355.09000000003</v>
      </c>
      <c r="G8" s="103">
        <v>0</v>
      </c>
    </row>
    <row r="9" spans="1:7" x14ac:dyDescent="0.2">
      <c r="A9" s="35" t="s">
        <v>271</v>
      </c>
      <c r="B9" s="35" t="s">
        <v>450</v>
      </c>
      <c r="C9" s="103">
        <v>10086501.710000001</v>
      </c>
      <c r="D9" s="103">
        <v>4166275.89</v>
      </c>
      <c r="E9" s="103">
        <f>+Tabela1345614[[#This Row],[RS financing 2024 (EUR)]]+Tabela1345614[[#This Row],[RS financing 2025 (EUR)]]</f>
        <v>821927.89</v>
      </c>
      <c r="F9" s="103">
        <v>0</v>
      </c>
      <c r="G9" s="103">
        <v>821927.89</v>
      </c>
    </row>
    <row r="10" spans="1:7" x14ac:dyDescent="0.2">
      <c r="A10" s="35" t="s">
        <v>221</v>
      </c>
      <c r="B10" s="35" t="s">
        <v>451</v>
      </c>
      <c r="C10" s="103">
        <v>9281676.1099999994</v>
      </c>
      <c r="D10" s="103">
        <v>1785492.54</v>
      </c>
      <c r="E10" s="103">
        <f>+Tabela1345614[[#This Row],[RS financing 2024 (EUR)]]+Tabela1345614[[#This Row],[RS financing 2025 (EUR)]]</f>
        <v>500000</v>
      </c>
      <c r="F10" s="103">
        <v>500000</v>
      </c>
      <c r="G10" s="103">
        <v>0</v>
      </c>
    </row>
    <row r="11" spans="1:7" x14ac:dyDescent="0.2">
      <c r="A11" s="35" t="s">
        <v>209</v>
      </c>
      <c r="B11" s="35" t="s">
        <v>391</v>
      </c>
      <c r="C11" s="103">
        <v>2244361.11</v>
      </c>
      <c r="D11" s="103">
        <v>586815.41</v>
      </c>
      <c r="E11" s="103">
        <f>+Tabela1345614[[#This Row],[RS financing 2024 (EUR)]]+Tabela1345614[[#This Row],[RS financing 2025 (EUR)]]</f>
        <v>317957.40999999997</v>
      </c>
      <c r="F11" s="103">
        <v>317957.40999999997</v>
      </c>
      <c r="G11" s="103">
        <v>0</v>
      </c>
    </row>
    <row r="12" spans="1:7" x14ac:dyDescent="0.2">
      <c r="A12" s="35" t="s">
        <v>211</v>
      </c>
      <c r="B12" s="35" t="s">
        <v>392</v>
      </c>
      <c r="C12" s="103">
        <v>892739.34</v>
      </c>
      <c r="D12" s="103">
        <v>362196.64</v>
      </c>
      <c r="E12" s="103">
        <f>+Tabela1345614[[#This Row],[RS financing 2024 (EUR)]]+Tabela1345614[[#This Row],[RS financing 2025 (EUR)]]</f>
        <v>68817.36</v>
      </c>
      <c r="F12" s="103">
        <v>68817.36</v>
      </c>
      <c r="G12" s="103">
        <v>0</v>
      </c>
    </row>
    <row r="13" spans="1:7" x14ac:dyDescent="0.2">
      <c r="A13" s="35" t="s">
        <v>208</v>
      </c>
      <c r="B13" s="35" t="s">
        <v>393</v>
      </c>
      <c r="C13" s="103">
        <v>2496642.0499999998</v>
      </c>
      <c r="D13" s="103">
        <v>508588.96</v>
      </c>
      <c r="E13" s="103">
        <f>+Tabela1345614[[#This Row],[RS financing 2024 (EUR)]]+Tabela1345614[[#This Row],[RS financing 2025 (EUR)]]</f>
        <v>258588.96</v>
      </c>
      <c r="F13" s="103">
        <v>258588.96</v>
      </c>
      <c r="G13" s="103">
        <v>0</v>
      </c>
    </row>
    <row r="14" spans="1:7" x14ac:dyDescent="0.2">
      <c r="A14" s="35" t="s">
        <v>217</v>
      </c>
      <c r="B14" s="35" t="s">
        <v>394</v>
      </c>
      <c r="C14" s="103">
        <v>3899452.9</v>
      </c>
      <c r="D14" s="103">
        <v>879714.51</v>
      </c>
      <c r="E14" s="103">
        <f>+Tabela1345614[[#This Row],[RS financing 2024 (EUR)]]+Tabela1345614[[#This Row],[RS financing 2025 (EUR)]]</f>
        <v>393714.85</v>
      </c>
      <c r="F14" s="103">
        <v>393714.85</v>
      </c>
      <c r="G14" s="103">
        <v>0</v>
      </c>
    </row>
    <row r="15" spans="1:7" x14ac:dyDescent="0.2">
      <c r="A15" s="35" t="s">
        <v>214</v>
      </c>
      <c r="B15" s="35" t="s">
        <v>395</v>
      </c>
      <c r="C15" s="103">
        <v>4009312.92</v>
      </c>
      <c r="D15" s="103">
        <v>1172667.07</v>
      </c>
      <c r="E15" s="103">
        <f>+Tabela1345614[[#This Row],[RS financing 2024 (EUR)]]+Tabela1345614[[#This Row],[RS financing 2025 (EUR)]]</f>
        <v>774574.05</v>
      </c>
      <c r="F15" s="103">
        <v>774574.05</v>
      </c>
      <c r="G15" s="103">
        <v>0</v>
      </c>
    </row>
    <row r="16" spans="1:7" x14ac:dyDescent="0.2">
      <c r="A16" s="35" t="s">
        <v>212</v>
      </c>
      <c r="B16" s="35" t="s">
        <v>396</v>
      </c>
      <c r="C16" s="103">
        <v>2269458.87</v>
      </c>
      <c r="D16" s="103">
        <v>974330.56</v>
      </c>
      <c r="E16" s="103">
        <f>+Tabela1345614[[#This Row],[RS financing 2024 (EUR)]]+Tabela1345614[[#This Row],[RS financing 2025 (EUR)]]</f>
        <v>650330.56000000006</v>
      </c>
      <c r="F16" s="103">
        <v>574330.56000000006</v>
      </c>
      <c r="G16" s="103">
        <v>76000</v>
      </c>
    </row>
    <row r="17" spans="1:7" x14ac:dyDescent="0.2">
      <c r="A17" s="35" t="s">
        <v>216</v>
      </c>
      <c r="B17" s="35" t="s">
        <v>397</v>
      </c>
      <c r="C17" s="103">
        <v>3594945.99</v>
      </c>
      <c r="D17" s="103">
        <v>1172667.07</v>
      </c>
      <c r="E17" s="103">
        <f>+Tabela1345614[[#This Row],[RS financing 2024 (EUR)]]+Tabela1345614[[#This Row],[RS financing 2025 (EUR)]]</f>
        <v>708806.74</v>
      </c>
      <c r="F17" s="103">
        <v>600000</v>
      </c>
      <c r="G17" s="103">
        <v>108806.74</v>
      </c>
    </row>
    <row r="18" spans="1:7" x14ac:dyDescent="0.2">
      <c r="A18" s="35" t="s">
        <v>210</v>
      </c>
      <c r="B18" s="35" t="s">
        <v>398</v>
      </c>
      <c r="C18" s="103">
        <v>4865461.5599999996</v>
      </c>
      <c r="D18" s="103">
        <v>1381133.74</v>
      </c>
      <c r="E18" s="103">
        <f>+Tabela1345614[[#This Row],[RS financing 2024 (EUR)]]+Tabela1345614[[#This Row],[RS financing 2025 (EUR)]]</f>
        <v>1096347.19</v>
      </c>
      <c r="F18" s="103">
        <v>1096347.19</v>
      </c>
      <c r="G18" s="103">
        <v>0</v>
      </c>
    </row>
    <row r="19" spans="1:7" x14ac:dyDescent="0.2">
      <c r="A19" s="35" t="s">
        <v>218</v>
      </c>
      <c r="B19" s="35" t="s">
        <v>399</v>
      </c>
      <c r="C19" s="103">
        <v>3169317.02</v>
      </c>
      <c r="D19" s="103">
        <v>1089115.22</v>
      </c>
      <c r="E19" s="103">
        <f>+Tabela1345614[[#This Row],[RS financing 2024 (EUR)]]+Tabela1345614[[#This Row],[RS financing 2025 (EUR)]]</f>
        <v>250000</v>
      </c>
      <c r="F19" s="103">
        <v>250000</v>
      </c>
      <c r="G19" s="103">
        <v>0</v>
      </c>
    </row>
    <row r="20" spans="1:7" x14ac:dyDescent="0.2">
      <c r="A20" s="35" t="s">
        <v>215</v>
      </c>
      <c r="B20" s="35" t="s">
        <v>400</v>
      </c>
      <c r="C20" s="103">
        <v>2716208.6</v>
      </c>
      <c r="D20" s="103">
        <v>970229.54</v>
      </c>
      <c r="E20" s="103">
        <f>+Tabela1345614[[#This Row],[RS financing 2024 (EUR)]]+Tabela1345614[[#This Row],[RS financing 2025 (EUR)]]</f>
        <v>520229.54</v>
      </c>
      <c r="F20" s="103">
        <v>520229.54</v>
      </c>
      <c r="G20" s="103">
        <v>0</v>
      </c>
    </row>
    <row r="21" spans="1:7" x14ac:dyDescent="0.2">
      <c r="A21" s="35" t="s">
        <v>272</v>
      </c>
      <c r="B21" s="35" t="s">
        <v>452</v>
      </c>
      <c r="C21" s="103">
        <v>4571278.72</v>
      </c>
      <c r="D21" s="103">
        <v>919592.79</v>
      </c>
      <c r="E21" s="103">
        <f>+Tabela1345614[[#This Row],[RS financing 2024 (EUR)]]+Tabela1345614[[#This Row],[RS financing 2025 (EUR)]]</f>
        <v>0</v>
      </c>
      <c r="F21" s="103">
        <v>0</v>
      </c>
      <c r="G21" s="103">
        <v>0</v>
      </c>
    </row>
    <row r="22" spans="1:7" x14ac:dyDescent="0.2">
      <c r="A22" s="35" t="s">
        <v>273</v>
      </c>
      <c r="B22" s="35" t="s">
        <v>453</v>
      </c>
      <c r="C22" s="103">
        <v>4416492.96</v>
      </c>
      <c r="D22" s="103">
        <v>1904374.91</v>
      </c>
      <c r="E22" s="103">
        <f>+Tabela1345614[[#This Row],[RS financing 2024 (EUR)]]+Tabela1345614[[#This Row],[RS financing 2025 (EUR)]]</f>
        <v>0</v>
      </c>
      <c r="F22" s="103">
        <v>0</v>
      </c>
      <c r="G22" s="103">
        <v>0</v>
      </c>
    </row>
    <row r="23" spans="1:7" x14ac:dyDescent="0.2">
      <c r="A23" s="35" t="s">
        <v>274</v>
      </c>
      <c r="B23" s="35" t="s">
        <v>454</v>
      </c>
      <c r="C23" s="103">
        <v>7953583.2000000002</v>
      </c>
      <c r="D23" s="103">
        <v>1683799</v>
      </c>
      <c r="E23" s="103">
        <f>+Tabela1345614[[#This Row],[RS financing 2024 (EUR)]]+Tabela1345614[[#This Row],[RS financing 2025 (EUR)]]</f>
        <v>0</v>
      </c>
      <c r="F23" s="103">
        <v>0</v>
      </c>
      <c r="G23" s="103">
        <v>0</v>
      </c>
    </row>
    <row r="24" spans="1:7" x14ac:dyDescent="0.2">
      <c r="A24" s="35" t="s">
        <v>275</v>
      </c>
      <c r="B24" s="35" t="s">
        <v>455</v>
      </c>
      <c r="C24" s="103">
        <v>19038777.530000001</v>
      </c>
      <c r="D24" s="103">
        <v>3344348</v>
      </c>
      <c r="E24" s="103">
        <f>+Tabela1345614[[#This Row],[RS financing 2024 (EUR)]]+Tabela1345614[[#This Row],[RS financing 2025 (EUR)]]</f>
        <v>0</v>
      </c>
      <c r="F24" s="103">
        <v>0</v>
      </c>
      <c r="G24" s="103">
        <v>0</v>
      </c>
    </row>
    <row r="25" spans="1:7" x14ac:dyDescent="0.2">
      <c r="A25" s="35" t="s">
        <v>276</v>
      </c>
      <c r="B25" s="35" t="s">
        <v>456</v>
      </c>
      <c r="C25" s="103">
        <v>5332468.22</v>
      </c>
      <c r="D25" s="103">
        <v>916305.91</v>
      </c>
      <c r="E25" s="103">
        <f>+Tabela1345614[[#This Row],[RS financing 2024 (EUR)]]+Tabela1345614[[#This Row],[RS financing 2025 (EUR)]]</f>
        <v>0</v>
      </c>
      <c r="F25" s="103">
        <v>0</v>
      </c>
      <c r="G25" s="103">
        <v>0</v>
      </c>
    </row>
    <row r="26" spans="1:7" x14ac:dyDescent="0.2">
      <c r="A26" s="35" t="s">
        <v>277</v>
      </c>
      <c r="B26" s="35" t="s">
        <v>457</v>
      </c>
      <c r="C26" s="103">
        <v>21204675.629999999</v>
      </c>
      <c r="D26" s="103">
        <v>2159065</v>
      </c>
      <c r="E26" s="103">
        <f>+Tabela1345614[[#This Row],[RS financing 2024 (EUR)]]+Tabela1345614[[#This Row],[RS financing 2025 (EUR)]]</f>
        <v>0</v>
      </c>
      <c r="F26" s="103">
        <v>0</v>
      </c>
      <c r="G26" s="103">
        <v>0</v>
      </c>
    </row>
    <row r="27" spans="1:7" x14ac:dyDescent="0.2">
      <c r="A27" s="35" t="s">
        <v>278</v>
      </c>
      <c r="B27" s="35" t="s">
        <v>458</v>
      </c>
      <c r="C27" s="103">
        <v>3437671.37</v>
      </c>
      <c r="D27" s="103">
        <v>1835670.37</v>
      </c>
      <c r="E27" s="103">
        <f>+Tabela1345614[[#This Row],[RS financing 2024 (EUR)]]+Tabela1345614[[#This Row],[RS financing 2025 (EUR)]]</f>
        <v>0</v>
      </c>
      <c r="F27" s="103">
        <v>0</v>
      </c>
      <c r="G27" s="103">
        <v>0</v>
      </c>
    </row>
    <row r="28" spans="1:7" x14ac:dyDescent="0.2">
      <c r="A28" s="35" t="s">
        <v>279</v>
      </c>
      <c r="B28" s="35" t="s">
        <v>459</v>
      </c>
      <c r="C28" s="103">
        <v>906368.17</v>
      </c>
      <c r="D28" s="103">
        <v>263914.65999999997</v>
      </c>
      <c r="E28" s="103">
        <f>+Tabela1345614[[#This Row],[RS financing 2024 (EUR)]]+Tabela1345614[[#This Row],[RS financing 2025 (EUR)]]</f>
        <v>0</v>
      </c>
      <c r="F28" s="103">
        <v>0</v>
      </c>
      <c r="G28" s="103">
        <v>0</v>
      </c>
    </row>
    <row r="29" spans="1:7" x14ac:dyDescent="0.2">
      <c r="A29" s="35" t="s">
        <v>280</v>
      </c>
      <c r="B29" s="35" t="s">
        <v>460</v>
      </c>
      <c r="C29" s="103">
        <v>1201440.8700000001</v>
      </c>
      <c r="D29" s="103">
        <v>591450.59</v>
      </c>
      <c r="E29" s="103">
        <f>+Tabela1345614[[#This Row],[RS financing 2024 (EUR)]]+Tabela1345614[[#This Row],[RS financing 2025 (EUR)]]</f>
        <v>0</v>
      </c>
      <c r="F29" s="103">
        <v>0</v>
      </c>
      <c r="G29" s="103">
        <v>0</v>
      </c>
    </row>
    <row r="30" spans="1:7" x14ac:dyDescent="0.2">
      <c r="A30" s="35" t="s">
        <v>281</v>
      </c>
      <c r="B30" s="35" t="s">
        <v>461</v>
      </c>
      <c r="C30" s="103">
        <v>2427644.73</v>
      </c>
      <c r="D30" s="103">
        <v>777639.52</v>
      </c>
      <c r="E30" s="103">
        <f>+Tabela1345614[[#This Row],[RS financing 2024 (EUR)]]+Tabela1345614[[#This Row],[RS financing 2025 (EUR)]]</f>
        <v>0</v>
      </c>
      <c r="F30" s="103">
        <v>0</v>
      </c>
      <c r="G30" s="103">
        <v>0</v>
      </c>
    </row>
    <row r="31" spans="1:7" x14ac:dyDescent="0.2">
      <c r="A31" s="35" t="s">
        <v>282</v>
      </c>
      <c r="B31" s="35" t="s">
        <v>462</v>
      </c>
      <c r="C31" s="103">
        <v>2497000</v>
      </c>
      <c r="D31" s="103">
        <v>793120.06</v>
      </c>
      <c r="E31" s="103">
        <f>+Tabela1345614[[#This Row],[RS financing 2024 (EUR)]]+Tabela1345614[[#This Row],[RS financing 2025 (EUR)]]</f>
        <v>0</v>
      </c>
      <c r="F31" s="103">
        <v>0</v>
      </c>
      <c r="G31" s="103">
        <v>0</v>
      </c>
    </row>
    <row r="32" spans="1:7" x14ac:dyDescent="0.2">
      <c r="A32" s="35" t="s">
        <v>283</v>
      </c>
      <c r="B32" s="35" t="s">
        <v>463</v>
      </c>
      <c r="C32" s="103">
        <v>1874137.11</v>
      </c>
      <c r="D32" s="103">
        <v>742065.94</v>
      </c>
      <c r="E32" s="103">
        <f>+Tabela1345614[[#This Row],[RS financing 2024 (EUR)]]+Tabela1345614[[#This Row],[RS financing 2025 (EUR)]]</f>
        <v>0</v>
      </c>
      <c r="F32" s="103">
        <v>0</v>
      </c>
      <c r="G32" s="103">
        <v>0</v>
      </c>
    </row>
    <row r="33" spans="1:7" x14ac:dyDescent="0.2">
      <c r="A33" s="35" t="s">
        <v>284</v>
      </c>
      <c r="B33" s="35" t="s">
        <v>464</v>
      </c>
      <c r="C33" s="103">
        <v>4197366</v>
      </c>
      <c r="D33" s="103">
        <v>1266866.82</v>
      </c>
      <c r="E33" s="103">
        <f>+Tabela1345614[[#This Row],[RS financing 2024 (EUR)]]+Tabela1345614[[#This Row],[RS financing 2025 (EUR)]]</f>
        <v>0</v>
      </c>
      <c r="F33" s="103">
        <v>0</v>
      </c>
      <c r="G33" s="103">
        <v>0</v>
      </c>
    </row>
    <row r="34" spans="1:7" x14ac:dyDescent="0.2">
      <c r="A34" s="35" t="s">
        <v>285</v>
      </c>
      <c r="B34" s="35" t="s">
        <v>401</v>
      </c>
      <c r="C34" s="103">
        <v>16435317.210000001</v>
      </c>
      <c r="D34" s="103">
        <v>3344348</v>
      </c>
      <c r="E34" s="103">
        <f>+Tabela1345614[[#This Row],[RS financing 2024 (EUR)]]+Tabela1345614[[#This Row],[RS financing 2025 (EUR)]]</f>
        <v>0</v>
      </c>
      <c r="F34" s="103">
        <v>0</v>
      </c>
      <c r="G34" s="103">
        <v>0</v>
      </c>
    </row>
    <row r="35" spans="1:7" x14ac:dyDescent="0.2">
      <c r="A35" s="35" t="s">
        <v>286</v>
      </c>
      <c r="B35" s="35" t="s">
        <v>402</v>
      </c>
      <c r="C35" s="103">
        <v>12928404.41</v>
      </c>
      <c r="D35" s="103">
        <v>800000</v>
      </c>
      <c r="E35" s="103">
        <f>+Tabela1345614[[#This Row],[RS financing 2024 (EUR)]]+Tabela1345614[[#This Row],[RS financing 2025 (EUR)]]</f>
        <v>0</v>
      </c>
      <c r="F35" s="103">
        <v>0</v>
      </c>
      <c r="G35" s="103">
        <v>0</v>
      </c>
    </row>
    <row r="36" spans="1:7" x14ac:dyDescent="0.2">
      <c r="A36" s="35" t="s">
        <v>287</v>
      </c>
      <c r="B36" s="35" t="s">
        <v>465</v>
      </c>
      <c r="C36" s="103">
        <v>47211730.159999996</v>
      </c>
      <c r="D36" s="103">
        <v>2100000</v>
      </c>
      <c r="E36" s="103">
        <f>+Tabela1345614[[#This Row],[RS financing 2024 (EUR)]]+Tabela1345614[[#This Row],[RS financing 2025 (EUR)]]</f>
        <v>0</v>
      </c>
      <c r="F36" s="103">
        <v>0</v>
      </c>
      <c r="G36" s="103">
        <v>0</v>
      </c>
    </row>
    <row r="37" spans="1:7" x14ac:dyDescent="0.2">
      <c r="A37" s="35" t="s">
        <v>288</v>
      </c>
      <c r="B37" s="35" t="s">
        <v>466</v>
      </c>
      <c r="C37" s="103">
        <v>4899787.8899999997</v>
      </c>
      <c r="D37" s="103">
        <v>1936368.85</v>
      </c>
      <c r="E37" s="103">
        <f>+Tabela1345614[[#This Row],[RS financing 2024 (EUR)]]+Tabela1345614[[#This Row],[RS financing 2025 (EUR)]]</f>
        <v>0</v>
      </c>
      <c r="F37" s="103">
        <v>0</v>
      </c>
      <c r="G37" s="103">
        <v>0</v>
      </c>
    </row>
    <row r="38" spans="1:7" x14ac:dyDescent="0.2">
      <c r="A38" s="35" t="s">
        <v>289</v>
      </c>
      <c r="B38" s="35" t="s">
        <v>467</v>
      </c>
      <c r="C38" s="103">
        <v>8685565.5700000003</v>
      </c>
      <c r="D38" s="103">
        <v>1250000</v>
      </c>
      <c r="E38" s="103">
        <f>+Tabela1345614[[#This Row],[RS financing 2024 (EUR)]]+Tabela1345614[[#This Row],[RS financing 2025 (EUR)]]</f>
        <v>0</v>
      </c>
      <c r="F38" s="103">
        <v>0</v>
      </c>
      <c r="G38" s="103">
        <v>0</v>
      </c>
    </row>
    <row r="39" spans="1:7" x14ac:dyDescent="0.2">
      <c r="A39" s="35" t="s">
        <v>290</v>
      </c>
      <c r="B39" s="35" t="s">
        <v>468</v>
      </c>
      <c r="C39" s="103">
        <v>3154133.16</v>
      </c>
      <c r="D39" s="103">
        <v>1193204.77</v>
      </c>
      <c r="E39" s="103">
        <f>+Tabela1345614[[#This Row],[RS financing 2024 (EUR)]]+Tabela1345614[[#This Row],[RS financing 2025 (EUR)]]</f>
        <v>0</v>
      </c>
      <c r="F39" s="103">
        <v>0</v>
      </c>
      <c r="G39" s="103">
        <v>0</v>
      </c>
    </row>
    <row r="40" spans="1:7" x14ac:dyDescent="0.2">
      <c r="A40" s="35" t="s">
        <v>291</v>
      </c>
      <c r="B40" s="35" t="s">
        <v>469</v>
      </c>
      <c r="C40" s="103">
        <v>14299032.539999999</v>
      </c>
      <c r="D40" s="103">
        <v>1200000</v>
      </c>
      <c r="E40" s="103">
        <f>+Tabela1345614[[#This Row],[RS financing 2024 (EUR)]]+Tabela1345614[[#This Row],[RS financing 2025 (EUR)]]</f>
        <v>0</v>
      </c>
      <c r="F40" s="103">
        <v>0</v>
      </c>
      <c r="G40" s="103">
        <v>0</v>
      </c>
    </row>
    <row r="41" spans="1:7" x14ac:dyDescent="0.2">
      <c r="A41" s="35" t="s">
        <v>292</v>
      </c>
      <c r="B41" s="35" t="s">
        <v>470</v>
      </c>
      <c r="C41" s="103">
        <v>14516250.380000001</v>
      </c>
      <c r="D41" s="103">
        <v>3344348</v>
      </c>
      <c r="E41" s="103">
        <f>+Tabela1345614[[#This Row],[RS financing 2024 (EUR)]]+Tabela1345614[[#This Row],[RS financing 2025 (EUR)]]</f>
        <v>0</v>
      </c>
      <c r="F41" s="103">
        <v>0</v>
      </c>
      <c r="G41" s="103">
        <v>0</v>
      </c>
    </row>
    <row r="42" spans="1:7" x14ac:dyDescent="0.2">
      <c r="A42" s="35" t="s">
        <v>293</v>
      </c>
      <c r="B42" s="35" t="s">
        <v>403</v>
      </c>
      <c r="C42" s="103">
        <v>1035628.52</v>
      </c>
      <c r="D42" s="103">
        <v>582164.69999999995</v>
      </c>
      <c r="E42" s="103">
        <f>+Tabela1345614[[#This Row],[RS financing 2024 (EUR)]]+Tabela1345614[[#This Row],[RS financing 2025 (EUR)]]</f>
        <v>0</v>
      </c>
      <c r="F42" s="103">
        <v>0</v>
      </c>
      <c r="G42" s="103">
        <v>0</v>
      </c>
    </row>
    <row r="43" spans="1:7" x14ac:dyDescent="0.2">
      <c r="A43" s="35" t="s">
        <v>294</v>
      </c>
      <c r="B43" s="35" t="s">
        <v>471</v>
      </c>
      <c r="C43" s="103">
        <v>3552524.6</v>
      </c>
      <c r="D43" s="103">
        <v>1546107.64</v>
      </c>
      <c r="E43" s="103">
        <f>+Tabela1345614[[#This Row],[RS financing 2024 (EUR)]]+Tabela1345614[[#This Row],[RS financing 2025 (EUR)]]</f>
        <v>0</v>
      </c>
      <c r="F43" s="103">
        <v>0</v>
      </c>
      <c r="G43" s="103">
        <v>0</v>
      </c>
    </row>
    <row r="44" spans="1:7" x14ac:dyDescent="0.2">
      <c r="A44" s="35" t="s">
        <v>295</v>
      </c>
      <c r="B44" s="35" t="s">
        <v>472</v>
      </c>
      <c r="C44" s="103">
        <v>4671934.1100000003</v>
      </c>
      <c r="D44" s="103">
        <v>1200000</v>
      </c>
      <c r="E44" s="103">
        <f>+Tabela1345614[[#This Row],[RS financing 2024 (EUR)]]+Tabela1345614[[#This Row],[RS financing 2025 (EUR)]]</f>
        <v>0</v>
      </c>
      <c r="F44" s="103">
        <v>0</v>
      </c>
      <c r="G44" s="103">
        <v>0</v>
      </c>
    </row>
    <row r="45" spans="1:7" x14ac:dyDescent="0.2">
      <c r="A45" s="35" t="s">
        <v>296</v>
      </c>
      <c r="B45" s="35" t="s">
        <v>473</v>
      </c>
      <c r="C45" s="103">
        <v>796745.22</v>
      </c>
      <c r="D45" s="103">
        <v>539472.62</v>
      </c>
      <c r="E45" s="103">
        <f>+Tabela1345614[[#This Row],[RS financing 2024 (EUR)]]+Tabela1345614[[#This Row],[RS financing 2025 (EUR)]]</f>
        <v>0</v>
      </c>
      <c r="F45" s="103">
        <v>0</v>
      </c>
      <c r="G45" s="103">
        <v>0</v>
      </c>
    </row>
    <row r="46" spans="1:7" x14ac:dyDescent="0.2">
      <c r="A46" s="35" t="s">
        <v>297</v>
      </c>
      <c r="B46" s="35" t="s">
        <v>475</v>
      </c>
      <c r="C46" s="103">
        <v>1534936.97</v>
      </c>
      <c r="D46" s="103">
        <v>627072</v>
      </c>
      <c r="E46" s="103">
        <f>+Tabela1345614[[#This Row],[RS financing 2024 (EUR)]]+Tabela1345614[[#This Row],[RS financing 2025 (EUR)]]</f>
        <v>0</v>
      </c>
      <c r="F46" s="103">
        <v>0</v>
      </c>
      <c r="G46" s="103">
        <v>0</v>
      </c>
    </row>
    <row r="47" spans="1:7" x14ac:dyDescent="0.2">
      <c r="A47" s="35" t="s">
        <v>298</v>
      </c>
      <c r="B47" s="35" t="s">
        <v>404</v>
      </c>
      <c r="C47" s="103">
        <v>1038268.54</v>
      </c>
      <c r="D47" s="103">
        <v>300000</v>
      </c>
      <c r="E47" s="103">
        <f>+Tabela1345614[[#This Row],[RS financing 2024 (EUR)]]+Tabela1345614[[#This Row],[RS financing 2025 (EUR)]]</f>
        <v>0</v>
      </c>
      <c r="F47" s="103">
        <v>0</v>
      </c>
      <c r="G47" s="103">
        <v>0</v>
      </c>
    </row>
    <row r="48" spans="1:7" x14ac:dyDescent="0.2">
      <c r="A48" s="35" t="s">
        <v>299</v>
      </c>
      <c r="B48" s="35" t="s">
        <v>474</v>
      </c>
      <c r="C48" s="103">
        <v>12352448.35</v>
      </c>
      <c r="D48" s="103">
        <v>1480806.52</v>
      </c>
      <c r="E48" s="103">
        <f>+Tabela1345614[[#This Row],[RS financing 2024 (EUR)]]+Tabela1345614[[#This Row],[RS financing 2025 (EUR)]]</f>
        <v>0</v>
      </c>
      <c r="F48" s="103">
        <v>0</v>
      </c>
      <c r="G48" s="103">
        <v>0</v>
      </c>
    </row>
    <row r="49" spans="1:7" x14ac:dyDescent="0.2">
      <c r="A49" s="35" t="s">
        <v>300</v>
      </c>
      <c r="B49" s="35" t="s">
        <v>405</v>
      </c>
      <c r="C49" s="103">
        <v>8604504.0399999991</v>
      </c>
      <c r="D49" s="103">
        <v>1936368.85</v>
      </c>
      <c r="E49" s="103">
        <f>+Tabela1345614[[#This Row],[RS financing 2024 (EUR)]]+Tabela1345614[[#This Row],[RS financing 2025 (EUR)]]</f>
        <v>0</v>
      </c>
      <c r="F49" s="103">
        <v>0</v>
      </c>
      <c r="G49" s="103">
        <v>0</v>
      </c>
    </row>
    <row r="50" spans="1:7" x14ac:dyDescent="0.2">
      <c r="A50" s="35" t="s">
        <v>301</v>
      </c>
      <c r="B50" s="35" t="s">
        <v>406</v>
      </c>
      <c r="C50" s="103">
        <v>1381375.94</v>
      </c>
      <c r="D50" s="103">
        <v>810087.85</v>
      </c>
      <c r="E50" s="103">
        <f>+Tabela1345614[[#This Row],[RS financing 2024 (EUR)]]+Tabela1345614[[#This Row],[RS financing 2025 (EUR)]]</f>
        <v>0</v>
      </c>
      <c r="F50" s="103">
        <v>0</v>
      </c>
      <c r="G50" s="103">
        <v>0</v>
      </c>
    </row>
    <row r="51" spans="1:7" x14ac:dyDescent="0.2">
      <c r="A51" s="35" t="s">
        <v>302</v>
      </c>
      <c r="B51" s="35" t="s">
        <v>407</v>
      </c>
      <c r="C51" s="103">
        <v>6398515.8099999996</v>
      </c>
      <c r="D51" s="103">
        <v>1683799</v>
      </c>
      <c r="E51" s="103">
        <f>+Tabela1345614[[#This Row],[RS financing 2024 (EUR)]]+Tabela1345614[[#This Row],[RS financing 2025 (EUR)]]</f>
        <v>0</v>
      </c>
      <c r="F51" s="103">
        <v>0</v>
      </c>
      <c r="G51" s="103">
        <v>0</v>
      </c>
    </row>
    <row r="52" spans="1:7" x14ac:dyDescent="0.2">
      <c r="A52" s="35" t="s">
        <v>303</v>
      </c>
      <c r="B52" s="35" t="s">
        <v>408</v>
      </c>
      <c r="C52" s="103">
        <v>2747576.37</v>
      </c>
      <c r="D52" s="103">
        <v>1074228.5</v>
      </c>
      <c r="E52" s="103">
        <f>+Tabela1345614[[#This Row],[RS financing 2024 (EUR)]]+Tabela1345614[[#This Row],[RS financing 2025 (EUR)]]</f>
        <v>0</v>
      </c>
      <c r="F52" s="103">
        <v>0</v>
      </c>
      <c r="G52" s="103">
        <v>0</v>
      </c>
    </row>
    <row r="53" spans="1:7" x14ac:dyDescent="0.2">
      <c r="A53" s="35" t="s">
        <v>304</v>
      </c>
      <c r="B53" s="35" t="s">
        <v>409</v>
      </c>
      <c r="C53" s="103">
        <v>7031820.96</v>
      </c>
      <c r="D53" s="103">
        <v>1802159.18</v>
      </c>
      <c r="E53" s="103">
        <f>+Tabela1345614[[#This Row],[RS financing 2024 (EUR)]]+Tabela1345614[[#This Row],[RS financing 2025 (EUR)]]</f>
        <v>0</v>
      </c>
      <c r="F53" s="103">
        <v>0</v>
      </c>
      <c r="G53" s="103">
        <v>0</v>
      </c>
    </row>
    <row r="54" spans="1:7" x14ac:dyDescent="0.2">
      <c r="A54" s="35" t="s">
        <v>305</v>
      </c>
      <c r="B54" s="35" t="s">
        <v>410</v>
      </c>
      <c r="C54" s="103">
        <v>7826193.1399999997</v>
      </c>
      <c r="D54" s="103">
        <v>1854718.63</v>
      </c>
      <c r="E54" s="103">
        <f>+Tabela1345614[[#This Row],[RS financing 2024 (EUR)]]+Tabela1345614[[#This Row],[RS financing 2025 (EUR)]]</f>
        <v>0</v>
      </c>
      <c r="F54" s="103">
        <v>0</v>
      </c>
      <c r="G54" s="103">
        <v>0</v>
      </c>
    </row>
    <row r="55" spans="1:7" x14ac:dyDescent="0.2">
      <c r="A55" s="35" t="s">
        <v>306</v>
      </c>
      <c r="B55" s="35" t="s">
        <v>411</v>
      </c>
      <c r="C55" s="103">
        <v>8133218.9400000004</v>
      </c>
      <c r="D55" s="103">
        <v>983148</v>
      </c>
      <c r="E55" s="103">
        <f>+Tabela1345614[[#This Row],[RS financing 2024 (EUR)]]+Tabela1345614[[#This Row],[RS financing 2025 (EUR)]]</f>
        <v>0</v>
      </c>
      <c r="F55" s="103">
        <v>0</v>
      </c>
      <c r="G55" s="103">
        <v>0</v>
      </c>
    </row>
    <row r="56" spans="1:7" x14ac:dyDescent="0.2">
      <c r="A56" s="35" t="s">
        <v>307</v>
      </c>
      <c r="B56" s="35" t="s">
        <v>412</v>
      </c>
      <c r="C56" s="103">
        <v>2622366.63</v>
      </c>
      <c r="D56" s="103">
        <v>400000</v>
      </c>
      <c r="E56" s="103">
        <f>+Tabela1345614[[#This Row],[RS financing 2024 (EUR)]]+Tabela1345614[[#This Row],[RS financing 2025 (EUR)]]</f>
        <v>0</v>
      </c>
      <c r="F56" s="103">
        <v>0</v>
      </c>
      <c r="G56" s="103">
        <v>0</v>
      </c>
    </row>
    <row r="57" spans="1:7" x14ac:dyDescent="0.2">
      <c r="A57" s="35" t="s">
        <v>308</v>
      </c>
      <c r="B57" s="35" t="s">
        <v>413</v>
      </c>
      <c r="C57" s="103">
        <v>4912852.6500000004</v>
      </c>
      <c r="D57" s="103">
        <v>1836209.56</v>
      </c>
      <c r="E57" s="103">
        <f>+Tabela1345614[[#This Row],[RS financing 2024 (EUR)]]+Tabela1345614[[#This Row],[RS financing 2025 (EUR)]]</f>
        <v>0</v>
      </c>
      <c r="F57" s="103">
        <v>0</v>
      </c>
      <c r="G57" s="103">
        <v>0</v>
      </c>
    </row>
    <row r="58" spans="1:7" x14ac:dyDescent="0.2">
      <c r="A58" s="35" t="s">
        <v>309</v>
      </c>
      <c r="B58" s="35" t="s">
        <v>414</v>
      </c>
      <c r="C58" s="103">
        <v>1448266.94</v>
      </c>
      <c r="D58" s="103">
        <v>1187104.05</v>
      </c>
      <c r="E58" s="103">
        <f>+Tabela1345614[[#This Row],[RS financing 2024 (EUR)]]+Tabela1345614[[#This Row],[RS financing 2025 (EUR)]]</f>
        <v>0</v>
      </c>
      <c r="F58" s="103">
        <v>0</v>
      </c>
      <c r="G58" s="103">
        <v>0</v>
      </c>
    </row>
    <row r="59" spans="1:7" x14ac:dyDescent="0.2">
      <c r="A59" s="35" t="s">
        <v>310</v>
      </c>
      <c r="B59" s="35" t="s">
        <v>415</v>
      </c>
      <c r="C59" s="103">
        <v>2290281.6</v>
      </c>
      <c r="D59" s="103">
        <v>813651.3</v>
      </c>
      <c r="E59" s="103">
        <f>+Tabela1345614[[#This Row],[RS financing 2024 (EUR)]]+Tabela1345614[[#This Row],[RS financing 2025 (EUR)]]</f>
        <v>0</v>
      </c>
      <c r="F59" s="103">
        <v>0</v>
      </c>
      <c r="G59" s="103">
        <v>0</v>
      </c>
    </row>
    <row r="60" spans="1:7" x14ac:dyDescent="0.2">
      <c r="A60" s="35" t="s">
        <v>311</v>
      </c>
      <c r="B60" s="35" t="s">
        <v>416</v>
      </c>
      <c r="C60" s="103">
        <v>925919</v>
      </c>
      <c r="D60" s="103">
        <v>368017.15</v>
      </c>
      <c r="E60" s="103">
        <f>+Tabela1345614[[#This Row],[RS financing 2024 (EUR)]]+Tabela1345614[[#This Row],[RS financing 2025 (EUR)]]</f>
        <v>0</v>
      </c>
      <c r="F60" s="103">
        <v>0</v>
      </c>
      <c r="G60" s="103">
        <v>0</v>
      </c>
    </row>
    <row r="61" spans="1:7" x14ac:dyDescent="0.2">
      <c r="A61" s="35" t="s">
        <v>312</v>
      </c>
      <c r="B61" s="35" t="s">
        <v>417</v>
      </c>
      <c r="C61" s="103">
        <v>3708460.16</v>
      </c>
      <c r="D61" s="103">
        <v>919231.5</v>
      </c>
      <c r="E61" s="103">
        <f>+Tabela1345614[[#This Row],[RS financing 2024 (EUR)]]+Tabela1345614[[#This Row],[RS financing 2025 (EUR)]]</f>
        <v>0</v>
      </c>
      <c r="F61" s="103">
        <v>0</v>
      </c>
      <c r="G61" s="103">
        <v>0</v>
      </c>
    </row>
    <row r="62" spans="1:7" x14ac:dyDescent="0.2">
      <c r="A62" s="35" t="s">
        <v>313</v>
      </c>
      <c r="B62" s="35" t="s">
        <v>418</v>
      </c>
      <c r="C62" s="103">
        <v>3647041.36</v>
      </c>
      <c r="D62" s="103">
        <v>656099.62</v>
      </c>
      <c r="E62" s="103">
        <f>+Tabela1345614[[#This Row],[RS financing 2024 (EUR)]]+Tabela1345614[[#This Row],[RS financing 2025 (EUR)]]</f>
        <v>0</v>
      </c>
      <c r="F62" s="103">
        <v>0</v>
      </c>
      <c r="G62" s="103">
        <v>0</v>
      </c>
    </row>
    <row r="63" spans="1:7" x14ac:dyDescent="0.2">
      <c r="A63" s="35" t="s">
        <v>314</v>
      </c>
      <c r="B63" s="35" t="s">
        <v>419</v>
      </c>
      <c r="C63" s="103">
        <v>7797393.7800000003</v>
      </c>
      <c r="D63" s="103">
        <v>2178626.4</v>
      </c>
      <c r="E63" s="103">
        <f>+Tabela1345614[[#This Row],[RS financing 2024 (EUR)]]+Tabela1345614[[#This Row],[RS financing 2025 (EUR)]]</f>
        <v>0</v>
      </c>
      <c r="F63" s="103">
        <v>0</v>
      </c>
      <c r="G63" s="103">
        <v>0</v>
      </c>
    </row>
    <row r="64" spans="1:7" x14ac:dyDescent="0.2">
      <c r="A64" s="35" t="s">
        <v>315</v>
      </c>
      <c r="B64" s="35" t="s">
        <v>420</v>
      </c>
      <c r="C64" s="103">
        <v>2608822.35</v>
      </c>
      <c r="D64" s="103">
        <v>1380834.96</v>
      </c>
      <c r="E64" s="103">
        <f>+Tabela1345614[[#This Row],[RS financing 2024 (EUR)]]+Tabela1345614[[#This Row],[RS financing 2025 (EUR)]]</f>
        <v>0</v>
      </c>
      <c r="F64" s="103">
        <v>0</v>
      </c>
      <c r="G64" s="103">
        <v>0</v>
      </c>
    </row>
    <row r="65" spans="1:7" x14ac:dyDescent="0.2">
      <c r="A65" s="35" t="s">
        <v>316</v>
      </c>
      <c r="B65" s="35" t="s">
        <v>421</v>
      </c>
      <c r="C65" s="103">
        <v>1146743.07</v>
      </c>
      <c r="D65" s="103">
        <v>560641.72</v>
      </c>
      <c r="E65" s="103">
        <f>+Tabela1345614[[#This Row],[RS financing 2024 (EUR)]]+Tabela1345614[[#This Row],[RS financing 2025 (EUR)]]</f>
        <v>0</v>
      </c>
      <c r="F65" s="103">
        <v>0</v>
      </c>
      <c r="G65" s="103">
        <v>0</v>
      </c>
    </row>
    <row r="66" spans="1:7" x14ac:dyDescent="0.2">
      <c r="A66" s="35" t="s">
        <v>317</v>
      </c>
      <c r="B66" s="35" t="s">
        <v>422</v>
      </c>
      <c r="C66" s="103">
        <v>3849218.76</v>
      </c>
      <c r="D66" s="103">
        <v>1239346.69</v>
      </c>
      <c r="E66" s="103">
        <f>+Tabela1345614[[#This Row],[RS financing 2024 (EUR)]]+Tabela1345614[[#This Row],[RS financing 2025 (EUR)]]</f>
        <v>0</v>
      </c>
      <c r="F66" s="103">
        <v>0</v>
      </c>
      <c r="G66" s="103">
        <v>0</v>
      </c>
    </row>
    <row r="67" spans="1:7" x14ac:dyDescent="0.2">
      <c r="A67" s="35" t="s">
        <v>318</v>
      </c>
      <c r="B67" s="35" t="s">
        <v>423</v>
      </c>
      <c r="C67" s="103">
        <v>2476863.83</v>
      </c>
      <c r="D67" s="103">
        <v>550000</v>
      </c>
      <c r="E67" s="103">
        <f>+Tabela1345614[[#This Row],[RS financing 2024 (EUR)]]+Tabela1345614[[#This Row],[RS financing 2025 (EUR)]]</f>
        <v>0</v>
      </c>
      <c r="F67" s="103">
        <v>0</v>
      </c>
      <c r="G67" s="103">
        <v>0</v>
      </c>
    </row>
    <row r="68" spans="1:7" x14ac:dyDescent="0.2">
      <c r="A68" s="35" t="s">
        <v>319</v>
      </c>
      <c r="B68" s="35" t="s">
        <v>424</v>
      </c>
      <c r="C68" s="103">
        <v>7689564.4400000004</v>
      </c>
      <c r="D68" s="103">
        <v>975953.41</v>
      </c>
      <c r="E68" s="103">
        <f>+Tabela1345614[[#This Row],[RS financing 2024 (EUR)]]+Tabela1345614[[#This Row],[RS financing 2025 (EUR)]]</f>
        <v>0</v>
      </c>
      <c r="F68" s="103">
        <v>0</v>
      </c>
      <c r="G68" s="103">
        <v>0</v>
      </c>
    </row>
    <row r="69" spans="1:7" x14ac:dyDescent="0.2">
      <c r="A69" s="35" t="s">
        <v>320</v>
      </c>
      <c r="B69" s="35" t="s">
        <v>425</v>
      </c>
      <c r="C69" s="103">
        <v>4656055.57</v>
      </c>
      <c r="D69" s="103">
        <v>841899.5</v>
      </c>
      <c r="E69" s="103">
        <f>+Tabela1345614[[#This Row],[RS financing 2024 (EUR)]]+Tabela1345614[[#This Row],[RS financing 2025 (EUR)]]</f>
        <v>0</v>
      </c>
      <c r="F69" s="103">
        <v>0</v>
      </c>
      <c r="G69" s="103">
        <v>0</v>
      </c>
    </row>
    <row r="70" spans="1:7" x14ac:dyDescent="0.2">
      <c r="A70" s="35" t="s">
        <v>321</v>
      </c>
      <c r="B70" s="35" t="s">
        <v>426</v>
      </c>
      <c r="C70" s="103">
        <v>21093878.73</v>
      </c>
      <c r="D70" s="103">
        <v>2000000</v>
      </c>
      <c r="E70" s="103">
        <f>+Tabela1345614[[#This Row],[RS financing 2024 (EUR)]]+Tabela1345614[[#This Row],[RS financing 2025 (EUR)]]</f>
        <v>0</v>
      </c>
      <c r="F70" s="103">
        <v>0</v>
      </c>
      <c r="G70" s="103">
        <v>0</v>
      </c>
    </row>
    <row r="71" spans="1:7" x14ac:dyDescent="0.2">
      <c r="A71" s="35" t="s">
        <v>322</v>
      </c>
      <c r="B71" s="35" t="s">
        <v>427</v>
      </c>
      <c r="C71" s="103">
        <v>4450656.7</v>
      </c>
      <c r="D71" s="103">
        <v>346193.94</v>
      </c>
      <c r="E71" s="103">
        <f>+Tabela1345614[[#This Row],[RS financing 2024 (EUR)]]+Tabela1345614[[#This Row],[RS financing 2025 (EUR)]]</f>
        <v>0</v>
      </c>
      <c r="F71" s="103">
        <v>0</v>
      </c>
      <c r="G71" s="103">
        <v>0</v>
      </c>
    </row>
    <row r="72" spans="1:7" x14ac:dyDescent="0.2">
      <c r="A72" s="35" t="s">
        <v>323</v>
      </c>
      <c r="B72" s="35" t="s">
        <v>428</v>
      </c>
      <c r="C72" s="103">
        <v>1046825.02</v>
      </c>
      <c r="D72" s="103">
        <v>463717.22</v>
      </c>
      <c r="E72" s="103">
        <f>+Tabela1345614[[#This Row],[RS financing 2024 (EUR)]]+Tabela1345614[[#This Row],[RS financing 2025 (EUR)]]</f>
        <v>0</v>
      </c>
      <c r="F72" s="103">
        <v>0</v>
      </c>
      <c r="G72" s="103">
        <v>0</v>
      </c>
    </row>
    <row r="73" spans="1:7" x14ac:dyDescent="0.2">
      <c r="A73" s="35" t="s">
        <v>324</v>
      </c>
      <c r="B73" s="35" t="s">
        <v>429</v>
      </c>
      <c r="C73" s="103">
        <v>2349977.29</v>
      </c>
      <c r="D73" s="103">
        <v>1331172</v>
      </c>
      <c r="E73" s="103">
        <f>+Tabela1345614[[#This Row],[RS financing 2024 (EUR)]]+Tabela1345614[[#This Row],[RS financing 2025 (EUR)]]</f>
        <v>0</v>
      </c>
      <c r="F73" s="103">
        <v>0</v>
      </c>
      <c r="G73" s="103">
        <v>0</v>
      </c>
    </row>
    <row r="74" spans="1:7" x14ac:dyDescent="0.2">
      <c r="A74" s="35" t="s">
        <v>325</v>
      </c>
      <c r="B74" s="35" t="s">
        <v>430</v>
      </c>
      <c r="C74" s="103">
        <v>10571127.699999999</v>
      </c>
      <c r="D74" s="103">
        <v>2119348</v>
      </c>
      <c r="E74" s="103">
        <f>+Tabela1345614[[#This Row],[RS financing 2024 (EUR)]]+Tabela1345614[[#This Row],[RS financing 2025 (EUR)]]</f>
        <v>0</v>
      </c>
      <c r="F74" s="103">
        <v>0</v>
      </c>
      <c r="G74" s="103">
        <v>0</v>
      </c>
    </row>
    <row r="75" spans="1:7" x14ac:dyDescent="0.2">
      <c r="A75" s="35" t="s">
        <v>326</v>
      </c>
      <c r="B75" s="35" t="s">
        <v>431</v>
      </c>
      <c r="C75" s="103">
        <v>574573.52</v>
      </c>
      <c r="D75" s="103">
        <v>333534.31</v>
      </c>
      <c r="E75" s="103">
        <f>+Tabela1345614[[#This Row],[RS financing 2024 (EUR)]]+Tabela1345614[[#This Row],[RS financing 2025 (EUR)]]</f>
        <v>0</v>
      </c>
      <c r="F75" s="103">
        <v>0</v>
      </c>
      <c r="G75" s="103">
        <v>0</v>
      </c>
    </row>
    <row r="76" spans="1:7" x14ac:dyDescent="0.2">
      <c r="A76" s="35" t="s">
        <v>327</v>
      </c>
      <c r="B76" s="35" t="s">
        <v>432</v>
      </c>
      <c r="C76" s="103">
        <v>20528286.079999998</v>
      </c>
      <c r="D76" s="103">
        <v>1590379.49</v>
      </c>
      <c r="E76" s="103">
        <f>+Tabela1345614[[#This Row],[RS financing 2024 (EUR)]]+Tabela1345614[[#This Row],[RS financing 2025 (EUR)]]</f>
        <v>0</v>
      </c>
      <c r="F76" s="103">
        <v>0</v>
      </c>
      <c r="G76" s="103">
        <v>0</v>
      </c>
    </row>
    <row r="77" spans="1:7" x14ac:dyDescent="0.2">
      <c r="A77" s="35" t="s">
        <v>328</v>
      </c>
      <c r="B77" s="35" t="s">
        <v>433</v>
      </c>
      <c r="C77" s="103">
        <v>18839579.760000002</v>
      </c>
      <c r="D77" s="103">
        <v>4196770.82</v>
      </c>
      <c r="E77" s="103">
        <f>+Tabela1345614[[#This Row],[RS financing 2024 (EUR)]]+Tabela1345614[[#This Row],[RS financing 2025 (EUR)]]</f>
        <v>0</v>
      </c>
      <c r="F77" s="103">
        <v>0</v>
      </c>
      <c r="G77" s="103">
        <v>0</v>
      </c>
    </row>
    <row r="78" spans="1:7" x14ac:dyDescent="0.2">
      <c r="A78" s="35" t="s">
        <v>329</v>
      </c>
      <c r="B78" s="35" t="s">
        <v>434</v>
      </c>
      <c r="C78" s="103">
        <v>821767.83</v>
      </c>
      <c r="D78" s="103">
        <v>575583.84</v>
      </c>
      <c r="E78" s="103">
        <f>+Tabela1345614[[#This Row],[RS financing 2024 (EUR)]]+Tabela1345614[[#This Row],[RS financing 2025 (EUR)]]</f>
        <v>0</v>
      </c>
      <c r="F78" s="103">
        <v>0</v>
      </c>
      <c r="G78" s="103">
        <v>0</v>
      </c>
    </row>
    <row r="79" spans="1:7" x14ac:dyDescent="0.2">
      <c r="A79" s="35" t="s">
        <v>330</v>
      </c>
      <c r="B79" s="35" t="s">
        <v>435</v>
      </c>
      <c r="C79" s="103">
        <v>1889893.9</v>
      </c>
      <c r="D79" s="103">
        <v>727472.14</v>
      </c>
      <c r="E79" s="103">
        <f>+Tabela1345614[[#This Row],[RS financing 2024 (EUR)]]+Tabela1345614[[#This Row],[RS financing 2025 (EUR)]]</f>
        <v>0</v>
      </c>
      <c r="F79" s="103">
        <v>0</v>
      </c>
      <c r="G79" s="103">
        <v>0</v>
      </c>
    </row>
    <row r="80" spans="1:7" x14ac:dyDescent="0.2">
      <c r="A80" s="35" t="s">
        <v>331</v>
      </c>
      <c r="B80" s="35" t="s">
        <v>436</v>
      </c>
      <c r="C80" s="103">
        <v>1712156.38</v>
      </c>
      <c r="D80" s="103">
        <v>651835.43999999994</v>
      </c>
      <c r="E80" s="103">
        <f>+Tabela1345614[[#This Row],[RS financing 2024 (EUR)]]+Tabela1345614[[#This Row],[RS financing 2025 (EUR)]]</f>
        <v>0</v>
      </c>
      <c r="F80" s="103">
        <v>0</v>
      </c>
      <c r="G80" s="103">
        <v>0</v>
      </c>
    </row>
    <row r="81" spans="1:7" x14ac:dyDescent="0.2">
      <c r="A81" s="35" t="s">
        <v>332</v>
      </c>
      <c r="B81" s="35" t="s">
        <v>437</v>
      </c>
      <c r="C81" s="103">
        <v>5271273.12</v>
      </c>
      <c r="D81" s="103">
        <v>1683799</v>
      </c>
      <c r="E81" s="103">
        <f>+Tabela1345614[[#This Row],[RS financing 2024 (EUR)]]+Tabela1345614[[#This Row],[RS financing 2025 (EUR)]]</f>
        <v>0</v>
      </c>
      <c r="F81" s="103">
        <v>0</v>
      </c>
      <c r="G81" s="103">
        <v>0</v>
      </c>
    </row>
    <row r="82" spans="1:7" x14ac:dyDescent="0.2">
      <c r="A82" s="35" t="s">
        <v>333</v>
      </c>
      <c r="B82" s="35" t="s">
        <v>438</v>
      </c>
      <c r="C82" s="103">
        <v>3255118.75</v>
      </c>
      <c r="D82" s="103">
        <v>1280405.3400000001</v>
      </c>
      <c r="E82" s="103">
        <f>+Tabela1345614[[#This Row],[RS financing 2024 (EUR)]]+Tabela1345614[[#This Row],[RS financing 2025 (EUR)]]</f>
        <v>0</v>
      </c>
      <c r="F82" s="103">
        <v>0</v>
      </c>
      <c r="G82" s="103">
        <v>0</v>
      </c>
    </row>
    <row r="83" spans="1:7" x14ac:dyDescent="0.2">
      <c r="A83" s="35" t="s">
        <v>334</v>
      </c>
      <c r="B83" s="35" t="s">
        <v>439</v>
      </c>
      <c r="C83" s="103">
        <v>2852424.11</v>
      </c>
      <c r="D83" s="103">
        <v>914756.89</v>
      </c>
      <c r="E83" s="103">
        <f>+Tabela1345614[[#This Row],[RS financing 2024 (EUR)]]+Tabela1345614[[#This Row],[RS financing 2025 (EUR)]]</f>
        <v>0</v>
      </c>
      <c r="F83" s="103">
        <v>0</v>
      </c>
      <c r="G83" s="103">
        <v>0</v>
      </c>
    </row>
    <row r="84" spans="1:7" x14ac:dyDescent="0.2">
      <c r="A84" s="35" t="s">
        <v>335</v>
      </c>
      <c r="B84" s="35" t="s">
        <v>440</v>
      </c>
      <c r="C84" s="103">
        <v>768164.36</v>
      </c>
      <c r="D84" s="103">
        <v>437653.49</v>
      </c>
      <c r="E84" s="103">
        <f>+Tabela1345614[[#This Row],[RS financing 2024 (EUR)]]+Tabela1345614[[#This Row],[RS financing 2025 (EUR)]]</f>
        <v>0</v>
      </c>
      <c r="F84" s="103">
        <v>0</v>
      </c>
      <c r="G84" s="103">
        <v>0</v>
      </c>
    </row>
    <row r="85" spans="1:7" x14ac:dyDescent="0.2">
      <c r="A85" s="35" t="s">
        <v>336</v>
      </c>
      <c r="B85" s="35" t="s">
        <v>441</v>
      </c>
      <c r="C85" s="103">
        <v>2087956.16</v>
      </c>
      <c r="D85" s="103">
        <v>1296755.78</v>
      </c>
      <c r="E85" s="103">
        <f>+Tabela1345614[[#This Row],[RS financing 2024 (EUR)]]+Tabela1345614[[#This Row],[RS financing 2025 (EUR)]]</f>
        <v>0</v>
      </c>
      <c r="F85" s="103">
        <v>0</v>
      </c>
      <c r="G85" s="103">
        <v>0</v>
      </c>
    </row>
    <row r="86" spans="1:7" x14ac:dyDescent="0.2">
      <c r="A86" s="35" t="s">
        <v>337</v>
      </c>
      <c r="B86" s="35" t="s">
        <v>442</v>
      </c>
      <c r="C86" s="103">
        <v>4346081</v>
      </c>
      <c r="D86" s="103">
        <v>1000000</v>
      </c>
      <c r="E86" s="103">
        <f>+Tabela1345614[[#This Row],[RS financing 2024 (EUR)]]+Tabela1345614[[#This Row],[RS financing 2025 (EUR)]]</f>
        <v>0</v>
      </c>
      <c r="F86" s="103">
        <v>0</v>
      </c>
      <c r="G86" s="103">
        <v>0</v>
      </c>
    </row>
    <row r="87" spans="1:7" x14ac:dyDescent="0.2">
      <c r="A87" s="35" t="s">
        <v>338</v>
      </c>
      <c r="B87" s="35" t="s">
        <v>443</v>
      </c>
      <c r="C87" s="103">
        <v>11310828.550000001</v>
      </c>
      <c r="D87" s="103">
        <v>1940000</v>
      </c>
      <c r="E87" s="103">
        <f>+Tabela1345614[[#This Row],[RS financing 2024 (EUR)]]+Tabela1345614[[#This Row],[RS financing 2025 (EUR)]]</f>
        <v>0</v>
      </c>
      <c r="F87" s="103">
        <v>0</v>
      </c>
      <c r="G87" s="103">
        <v>0</v>
      </c>
    </row>
    <row r="88" spans="1:7" x14ac:dyDescent="0.2">
      <c r="A88" s="35" t="s">
        <v>339</v>
      </c>
      <c r="B88" s="35" t="s">
        <v>444</v>
      </c>
      <c r="C88" s="103">
        <v>1936966.58</v>
      </c>
      <c r="D88" s="103">
        <v>661336.26</v>
      </c>
      <c r="E88" s="103">
        <f>+Tabela1345614[[#This Row],[RS financing 2024 (EUR)]]+Tabela1345614[[#This Row],[RS financing 2025 (EUR)]]</f>
        <v>0</v>
      </c>
      <c r="F88" s="103">
        <v>0</v>
      </c>
      <c r="G88" s="103">
        <v>0</v>
      </c>
    </row>
    <row r="89" spans="1:7" x14ac:dyDescent="0.2">
      <c r="A89" s="35" t="s">
        <v>340</v>
      </c>
      <c r="B89" s="35" t="s">
        <v>445</v>
      </c>
      <c r="C89" s="103">
        <v>7183428.0899999999</v>
      </c>
      <c r="D89" s="103">
        <v>1100000</v>
      </c>
      <c r="E89" s="103">
        <f>+Tabela1345614[[#This Row],[RS financing 2024 (EUR)]]+Tabela1345614[[#This Row],[RS financing 2025 (EUR)]]</f>
        <v>0</v>
      </c>
      <c r="F89" s="103">
        <v>0</v>
      </c>
      <c r="G89" s="103">
        <v>0</v>
      </c>
    </row>
    <row r="90" spans="1:7" x14ac:dyDescent="0.2">
      <c r="A90" s="35" t="s">
        <v>341</v>
      </c>
      <c r="B90" s="35" t="s">
        <v>446</v>
      </c>
      <c r="C90" s="103">
        <v>7410010.1200000001</v>
      </c>
      <c r="D90" s="103">
        <v>1727836.82</v>
      </c>
      <c r="E90" s="103">
        <f>+Tabela1345614[[#This Row],[RS financing 2024 (EUR)]]+Tabela1345614[[#This Row],[RS financing 2025 (EUR)]]</f>
        <v>0</v>
      </c>
      <c r="F90" s="103">
        <v>0</v>
      </c>
      <c r="G90" s="103">
        <v>0</v>
      </c>
    </row>
    <row r="91" spans="1:7" x14ac:dyDescent="0.2">
      <c r="A91" s="35" t="s">
        <v>342</v>
      </c>
      <c r="B91" s="35" t="s">
        <v>476</v>
      </c>
      <c r="C91" s="103">
        <v>3136658.3</v>
      </c>
      <c r="D91" s="103">
        <v>1300000</v>
      </c>
      <c r="E91" s="103">
        <f>+Tabela1345614[[#This Row],[RS financing 2024 (EUR)]]+Tabela1345614[[#This Row],[RS financing 2025 (EUR)]]</f>
        <v>0</v>
      </c>
      <c r="F91" s="103">
        <v>0</v>
      </c>
      <c r="G91" s="103">
        <v>0</v>
      </c>
    </row>
    <row r="92" spans="1:7" x14ac:dyDescent="0.2">
      <c r="A92" s="35" t="s">
        <v>343</v>
      </c>
      <c r="B92" s="35" t="s">
        <v>477</v>
      </c>
      <c r="C92" s="103">
        <v>6522131.4000000004</v>
      </c>
      <c r="D92" s="103">
        <v>1683799</v>
      </c>
      <c r="E92" s="103">
        <f>+Tabela1345614[[#This Row],[RS financing 2024 (EUR)]]+Tabela1345614[[#This Row],[RS financing 2025 (EUR)]]</f>
        <v>0</v>
      </c>
      <c r="F92" s="103">
        <v>0</v>
      </c>
      <c r="G92" s="103">
        <v>0</v>
      </c>
    </row>
    <row r="93" spans="1:7" x14ac:dyDescent="0.2">
      <c r="A93" s="35" t="s">
        <v>344</v>
      </c>
      <c r="B93" s="35" t="s">
        <v>345</v>
      </c>
      <c r="C93" s="103">
        <v>1794214.48</v>
      </c>
      <c r="D93" s="103">
        <v>1077631.6399999999</v>
      </c>
      <c r="E93" s="103">
        <f>+Tabela1345614[[#This Row],[RS financing 2024 (EUR)]]+Tabela1345614[[#This Row],[RS financing 2025 (EUR)]]</f>
        <v>0</v>
      </c>
      <c r="F93" s="103">
        <v>0</v>
      </c>
      <c r="G93" s="103">
        <v>0</v>
      </c>
    </row>
    <row r="94" spans="1:7" x14ac:dyDescent="0.2">
      <c r="A94" s="35" t="s">
        <v>346</v>
      </c>
      <c r="B94" s="35" t="s">
        <v>347</v>
      </c>
      <c r="C94" s="103">
        <v>403142.18</v>
      </c>
      <c r="D94" s="103">
        <v>104595.59</v>
      </c>
      <c r="E94" s="103">
        <f>+Tabela1345614[[#This Row],[RS financing 2024 (EUR)]]+Tabela1345614[[#This Row],[RS financing 2025 (EUR)]]</f>
        <v>0</v>
      </c>
      <c r="F94" s="103">
        <v>0</v>
      </c>
      <c r="G94" s="103">
        <v>0</v>
      </c>
    </row>
    <row r="95" spans="1:7" x14ac:dyDescent="0.2">
      <c r="A95" s="35" t="s">
        <v>348</v>
      </c>
      <c r="B95" s="35" t="s">
        <v>349</v>
      </c>
      <c r="C95" s="103">
        <v>653310</v>
      </c>
      <c r="D95" s="103">
        <v>344474.42</v>
      </c>
      <c r="E95" s="103">
        <f>+Tabela1345614[[#This Row],[RS financing 2024 (EUR)]]+Tabela1345614[[#This Row],[RS financing 2025 (EUR)]]</f>
        <v>0</v>
      </c>
      <c r="F95" s="103">
        <v>0</v>
      </c>
      <c r="G95" s="103">
        <v>0</v>
      </c>
    </row>
    <row r="96" spans="1:7" x14ac:dyDescent="0.2">
      <c r="A96" s="35" t="s">
        <v>350</v>
      </c>
      <c r="B96" s="35" t="s">
        <v>478</v>
      </c>
      <c r="C96" s="103">
        <v>4069162.1</v>
      </c>
      <c r="D96" s="103">
        <v>1500000</v>
      </c>
      <c r="E96" s="103">
        <f>+Tabela1345614[[#This Row],[RS financing 2024 (EUR)]]+Tabela1345614[[#This Row],[RS financing 2025 (EUR)]]</f>
        <v>0</v>
      </c>
      <c r="F96" s="103">
        <v>0</v>
      </c>
      <c r="G96" s="103">
        <v>0</v>
      </c>
    </row>
    <row r="97" spans="1:7" x14ac:dyDescent="0.2">
      <c r="A97" s="35" t="s">
        <v>351</v>
      </c>
      <c r="B97" s="35" t="s">
        <v>352</v>
      </c>
      <c r="C97" s="103">
        <v>4073391.88</v>
      </c>
      <c r="D97" s="103">
        <v>1755000.55</v>
      </c>
      <c r="E97" s="103">
        <f>+Tabela1345614[[#This Row],[RS financing 2024 (EUR)]]+Tabela1345614[[#This Row],[RS financing 2025 (EUR)]]</f>
        <v>0</v>
      </c>
      <c r="F97" s="103">
        <v>0</v>
      </c>
      <c r="G97" s="103">
        <v>0</v>
      </c>
    </row>
    <row r="98" spans="1:7" x14ac:dyDescent="0.2">
      <c r="A98" s="35" t="s">
        <v>353</v>
      </c>
      <c r="B98" s="35" t="s">
        <v>354</v>
      </c>
      <c r="C98" s="103">
        <v>7991323.1900000004</v>
      </c>
      <c r="D98" s="103">
        <v>1001385.9</v>
      </c>
      <c r="E98" s="103">
        <f>+Tabela1345614[[#This Row],[RS financing 2024 (EUR)]]+Tabela1345614[[#This Row],[RS financing 2025 (EUR)]]</f>
        <v>0</v>
      </c>
      <c r="F98" s="103">
        <v>0</v>
      </c>
      <c r="G98" s="103">
        <v>0</v>
      </c>
    </row>
    <row r="99" spans="1:7" x14ac:dyDescent="0.2">
      <c r="A99" s="35" t="s">
        <v>355</v>
      </c>
      <c r="B99" s="35" t="s">
        <v>356</v>
      </c>
      <c r="C99" s="103">
        <v>3089280.35</v>
      </c>
      <c r="D99" s="103">
        <v>400000</v>
      </c>
      <c r="E99" s="103">
        <f>+Tabela1345614[[#This Row],[RS financing 2024 (EUR)]]+Tabela1345614[[#This Row],[RS financing 2025 (EUR)]]</f>
        <v>0</v>
      </c>
      <c r="F99" s="103">
        <v>0</v>
      </c>
      <c r="G99" s="103">
        <v>0</v>
      </c>
    </row>
    <row r="100" spans="1:7" x14ac:dyDescent="0.2">
      <c r="A100" s="35" t="s">
        <v>357</v>
      </c>
      <c r="B100" s="35" t="s">
        <v>358</v>
      </c>
      <c r="C100" s="103">
        <v>5161012</v>
      </c>
      <c r="D100" s="103">
        <v>900000</v>
      </c>
      <c r="E100" s="103">
        <f>+Tabela1345614[[#This Row],[RS financing 2024 (EUR)]]+Tabela1345614[[#This Row],[RS financing 2025 (EUR)]]</f>
        <v>0</v>
      </c>
      <c r="F100" s="103">
        <v>0</v>
      </c>
      <c r="G100" s="103">
        <v>0</v>
      </c>
    </row>
    <row r="101" spans="1:7" x14ac:dyDescent="0.2">
      <c r="A101" s="35" t="s">
        <v>359</v>
      </c>
      <c r="B101" s="35" t="s">
        <v>360</v>
      </c>
      <c r="C101" s="103">
        <v>10030043.949999999</v>
      </c>
      <c r="D101" s="103">
        <v>1936368.85</v>
      </c>
      <c r="E101" s="103">
        <f>+Tabela1345614[[#This Row],[RS financing 2024 (EUR)]]+Tabela1345614[[#This Row],[RS financing 2025 (EUR)]]</f>
        <v>0</v>
      </c>
      <c r="F101" s="103">
        <v>0</v>
      </c>
      <c r="G101" s="103">
        <v>0</v>
      </c>
    </row>
    <row r="102" spans="1:7" x14ac:dyDescent="0.2">
      <c r="A102" s="35" t="s">
        <v>361</v>
      </c>
      <c r="B102" s="35" t="s">
        <v>362</v>
      </c>
      <c r="C102" s="103">
        <v>875658.67</v>
      </c>
      <c r="D102" s="103">
        <v>727356.78</v>
      </c>
      <c r="E102" s="103">
        <f>+Tabela1345614[[#This Row],[RS financing 2024 (EUR)]]+Tabela1345614[[#This Row],[RS financing 2025 (EUR)]]</f>
        <v>0</v>
      </c>
      <c r="F102" s="103">
        <v>0</v>
      </c>
      <c r="G102" s="103">
        <v>0</v>
      </c>
    </row>
    <row r="103" spans="1:7" x14ac:dyDescent="0.2">
      <c r="A103" s="35" t="s">
        <v>363</v>
      </c>
      <c r="B103" s="35" t="s">
        <v>364</v>
      </c>
      <c r="C103" s="103">
        <v>6993466.1900000004</v>
      </c>
      <c r="D103" s="103">
        <v>1845326.19</v>
      </c>
      <c r="E103" s="103">
        <f>+Tabela1345614[[#This Row],[RS financing 2024 (EUR)]]+Tabela1345614[[#This Row],[RS financing 2025 (EUR)]]</f>
        <v>0</v>
      </c>
      <c r="F103" s="103">
        <v>0</v>
      </c>
      <c r="G103" s="103">
        <v>0</v>
      </c>
    </row>
    <row r="104" spans="1:7" x14ac:dyDescent="0.2">
      <c r="A104" s="35" t="s">
        <v>365</v>
      </c>
      <c r="B104" s="35" t="s">
        <v>366</v>
      </c>
      <c r="C104" s="103">
        <v>7859447.7800000003</v>
      </c>
      <c r="D104" s="103">
        <v>1200000</v>
      </c>
      <c r="E104" s="103">
        <f>+Tabela1345614[[#This Row],[RS financing 2024 (EUR)]]+Tabela1345614[[#This Row],[RS financing 2025 (EUR)]]</f>
        <v>0</v>
      </c>
      <c r="F104" s="103">
        <v>0</v>
      </c>
      <c r="G104" s="103">
        <v>0</v>
      </c>
    </row>
    <row r="105" spans="1:7" x14ac:dyDescent="0.2">
      <c r="A105" s="35" t="s">
        <v>367</v>
      </c>
      <c r="B105" s="35" t="s">
        <v>368</v>
      </c>
      <c r="C105" s="103">
        <v>4720596.63</v>
      </c>
      <c r="D105" s="103">
        <v>2939145.43</v>
      </c>
      <c r="E105" s="103">
        <f>+Tabela1345614[[#This Row],[RS financing 2024 (EUR)]]+Tabela1345614[[#This Row],[RS financing 2025 (EUR)]]</f>
        <v>0</v>
      </c>
      <c r="F105" s="103">
        <v>0</v>
      </c>
      <c r="G105" s="103">
        <v>0</v>
      </c>
    </row>
    <row r="106" spans="1:7" x14ac:dyDescent="0.2">
      <c r="A106" s="35" t="s">
        <v>369</v>
      </c>
      <c r="B106" s="35" t="s">
        <v>370</v>
      </c>
      <c r="C106" s="103">
        <v>3895011.08</v>
      </c>
      <c r="D106" s="103">
        <v>1188749.76</v>
      </c>
      <c r="E106" s="103">
        <f>+Tabela1345614[[#This Row],[RS financing 2024 (EUR)]]+Tabela1345614[[#This Row],[RS financing 2025 (EUR)]]</f>
        <v>0</v>
      </c>
      <c r="F106" s="103">
        <v>0</v>
      </c>
      <c r="G106" s="103">
        <v>0</v>
      </c>
    </row>
    <row r="107" spans="1:7" x14ac:dyDescent="0.2">
      <c r="A107" s="35" t="s">
        <v>371</v>
      </c>
      <c r="B107" s="35" t="s">
        <v>372</v>
      </c>
      <c r="C107" s="103">
        <v>4499570.0199999996</v>
      </c>
      <c r="D107" s="103">
        <v>1683799</v>
      </c>
      <c r="E107" s="103">
        <f>+Tabela1345614[[#This Row],[RS financing 2024 (EUR)]]+Tabela1345614[[#This Row],[RS financing 2025 (EUR)]]</f>
        <v>0</v>
      </c>
      <c r="F107" s="103">
        <v>0</v>
      </c>
      <c r="G107" s="103">
        <v>0</v>
      </c>
    </row>
    <row r="108" spans="1:7" x14ac:dyDescent="0.2">
      <c r="A108" s="35" t="s">
        <v>373</v>
      </c>
      <c r="B108" s="35" t="s">
        <v>374</v>
      </c>
      <c r="C108" s="103">
        <v>5011470.2</v>
      </c>
      <c r="D108" s="103">
        <v>1586925.44</v>
      </c>
      <c r="E108" s="103">
        <f>+Tabela1345614[[#This Row],[RS financing 2024 (EUR)]]+Tabela1345614[[#This Row],[RS financing 2025 (EUR)]]</f>
        <v>0</v>
      </c>
      <c r="F108" s="103">
        <v>0</v>
      </c>
      <c r="G108" s="103">
        <v>0</v>
      </c>
    </row>
    <row r="109" spans="1:7" x14ac:dyDescent="0.2">
      <c r="A109" s="35" t="s">
        <v>375</v>
      </c>
      <c r="B109" s="35" t="s">
        <v>376</v>
      </c>
      <c r="C109" s="103">
        <v>14557458</v>
      </c>
      <c r="D109" s="103">
        <v>3344348</v>
      </c>
      <c r="E109" s="103">
        <f>+Tabela1345614[[#This Row],[RS financing 2024 (EUR)]]+Tabela1345614[[#This Row],[RS financing 2025 (EUR)]]</f>
        <v>0</v>
      </c>
      <c r="F109" s="103">
        <v>0</v>
      </c>
      <c r="G109" s="103">
        <v>0</v>
      </c>
    </row>
    <row r="110" spans="1:7" x14ac:dyDescent="0.2">
      <c r="A110" s="35" t="s">
        <v>377</v>
      </c>
      <c r="B110" s="35" t="s">
        <v>378</v>
      </c>
      <c r="C110" s="103">
        <v>4083688.32</v>
      </c>
      <c r="D110" s="103">
        <v>900000</v>
      </c>
      <c r="E110" s="103">
        <f>+Tabela1345614[[#This Row],[RS financing 2024 (EUR)]]+Tabela1345614[[#This Row],[RS financing 2025 (EUR)]]</f>
        <v>0</v>
      </c>
      <c r="F110" s="103">
        <v>0</v>
      </c>
      <c r="G110" s="103">
        <v>0</v>
      </c>
    </row>
    <row r="111" spans="1:7" x14ac:dyDescent="0.2">
      <c r="A111" s="35" t="s">
        <v>379</v>
      </c>
      <c r="B111" s="35" t="s">
        <v>380</v>
      </c>
      <c r="C111" s="103">
        <v>3471509.71</v>
      </c>
      <c r="D111" s="103">
        <v>1017116.37</v>
      </c>
      <c r="E111" s="103">
        <f>+Tabela1345614[[#This Row],[RS financing 2024 (EUR)]]+Tabela1345614[[#This Row],[RS financing 2025 (EUR)]]</f>
        <v>0</v>
      </c>
      <c r="F111" s="103">
        <v>0</v>
      </c>
      <c r="G111" s="103">
        <v>0</v>
      </c>
    </row>
    <row r="112" spans="1:7" x14ac:dyDescent="0.2">
      <c r="A112" s="35" t="s">
        <v>381</v>
      </c>
      <c r="B112" s="35" t="s">
        <v>382</v>
      </c>
      <c r="C112" s="103">
        <v>3923189.08</v>
      </c>
      <c r="D112" s="103">
        <v>1012644.15</v>
      </c>
      <c r="E112" s="103">
        <f>+Tabela1345614[[#This Row],[RS financing 2024 (EUR)]]+Tabela1345614[[#This Row],[RS financing 2025 (EUR)]]</f>
        <v>0</v>
      </c>
      <c r="F112" s="103">
        <v>0</v>
      </c>
      <c r="G112" s="103">
        <v>0</v>
      </c>
    </row>
    <row r="113" spans="1:7" x14ac:dyDescent="0.2">
      <c r="A113" s="35" t="s">
        <v>383</v>
      </c>
      <c r="B113" s="35" t="s">
        <v>384</v>
      </c>
      <c r="C113" s="103">
        <v>750969.08</v>
      </c>
      <c r="D113" s="103">
        <v>324710.65000000002</v>
      </c>
      <c r="E113" s="103">
        <f>+Tabela1345614[[#This Row],[RS financing 2024 (EUR)]]+Tabela1345614[[#This Row],[RS financing 2025 (EUR)]]</f>
        <v>0</v>
      </c>
      <c r="F113" s="103">
        <v>0</v>
      </c>
      <c r="G113" s="103">
        <v>0</v>
      </c>
    </row>
    <row r="114" spans="1:7" x14ac:dyDescent="0.2">
      <c r="A114" s="35" t="s">
        <v>385</v>
      </c>
      <c r="B114" s="35" t="s">
        <v>386</v>
      </c>
      <c r="C114" s="103">
        <v>5770416.5700000003</v>
      </c>
      <c r="D114" s="103">
        <v>1057713.78</v>
      </c>
      <c r="E114" s="103">
        <f>+Tabela1345614[[#This Row],[RS financing 2024 (EUR)]]+Tabela1345614[[#This Row],[RS financing 2025 (EUR)]]</f>
        <v>0</v>
      </c>
      <c r="F114" s="103">
        <v>0</v>
      </c>
      <c r="G114" s="103">
        <v>0</v>
      </c>
    </row>
    <row r="115" spans="1:7" x14ac:dyDescent="0.2">
      <c r="A115" s="36"/>
      <c r="B115" s="36"/>
      <c r="C115" s="37">
        <f>SUBTOTAL(109,Tabela1345614[Total project amount (EUR)])</f>
        <v>630869992.12000048</v>
      </c>
      <c r="D115" s="37">
        <f>SUBTOTAL(109,Tabela1345614[RS financing amount (EUR)])</f>
        <v>142555512.61000001</v>
      </c>
      <c r="E115" s="37">
        <f>SUBTOTAL(109,Tabela1345614[Bond eligible amount (EUR)
Σ 24+25])</f>
        <v>10960617.789999999</v>
      </c>
      <c r="F115" s="37">
        <f>SUBTOTAL(109,Tabela1345614[RS financing 2024 (EUR)])</f>
        <v>7809034.1599999992</v>
      </c>
      <c r="G115" s="37">
        <f>SUBTOTAL(109,Tabela1345614[RS financing 2025 (EUR)])</f>
        <v>3151583.6300000004</v>
      </c>
    </row>
  </sheetData>
  <pageMargins left="0.7" right="0.7" top="0.75" bottom="0.75" header="0.3" footer="0.3"/>
  <ignoredErrors>
    <ignoredError sqref="E2" calculatedColumn="1"/>
  </ignoredErrors>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0DA3FD-0452-47E9-B677-F35A1F90DD56}">
  <dimension ref="A1:G4"/>
  <sheetViews>
    <sheetView workbookViewId="0">
      <selection activeCell="G4" sqref="G4"/>
    </sheetView>
  </sheetViews>
  <sheetFormatPr defaultRowHeight="14.25" x14ac:dyDescent="0.2"/>
  <cols>
    <col min="1" max="1" width="12.125" bestFit="1" customWidth="1"/>
    <col min="2" max="2" width="40.75" bestFit="1" customWidth="1"/>
    <col min="3" max="7" width="15.75" customWidth="1"/>
  </cols>
  <sheetData>
    <row r="1" spans="1:7" ht="38.25" x14ac:dyDescent="0.2">
      <c r="A1" s="38" t="s">
        <v>204</v>
      </c>
      <c r="B1" s="38" t="s">
        <v>205</v>
      </c>
      <c r="C1" s="38" t="s">
        <v>11</v>
      </c>
      <c r="D1" s="38" t="s">
        <v>206</v>
      </c>
      <c r="E1" s="38" t="s">
        <v>222</v>
      </c>
      <c r="F1" s="38" t="s">
        <v>183</v>
      </c>
      <c r="G1" s="38" t="s">
        <v>223</v>
      </c>
    </row>
    <row r="2" spans="1:7" ht="25.5" x14ac:dyDescent="0.2">
      <c r="A2" s="39" t="s">
        <v>187</v>
      </c>
      <c r="B2" s="38" t="s">
        <v>192</v>
      </c>
      <c r="C2" s="40">
        <v>394269008.10000002</v>
      </c>
      <c r="D2" s="40">
        <v>420775487.94</v>
      </c>
      <c r="E2" s="40">
        <f>+Tabela3[[#This Row],[RS financing 2024 (EUR)]]+Tabela3[[#This Row],[RS financing 2025 (EUR)]]</f>
        <v>51585967.68</v>
      </c>
      <c r="F2" s="40">
        <v>51585967.68</v>
      </c>
      <c r="G2" s="40">
        <v>0</v>
      </c>
    </row>
    <row r="3" spans="1:7" x14ac:dyDescent="0.2">
      <c r="A3" s="39" t="s">
        <v>202</v>
      </c>
      <c r="B3" s="38" t="s">
        <v>203</v>
      </c>
      <c r="C3" s="40">
        <v>380668044.29000002</v>
      </c>
      <c r="D3" s="40">
        <v>194757396.05000001</v>
      </c>
      <c r="E3" s="40">
        <f>+Tabela3[[#This Row],[RS financing 2024 (EUR)]]+Tabela3[[#This Row],[RS financing 2025 (EUR)]]</f>
        <v>51978648.240000002</v>
      </c>
      <c r="F3" s="40">
        <v>0</v>
      </c>
      <c r="G3" s="40">
        <v>51978648.240000002</v>
      </c>
    </row>
    <row r="4" spans="1:7" x14ac:dyDescent="0.2">
      <c r="A4" s="39"/>
      <c r="B4" s="38"/>
      <c r="C4" s="40">
        <f>SUM(Tabela3[Total project amount (EUR)])</f>
        <v>774937052.3900001</v>
      </c>
      <c r="D4" s="40">
        <f>SUM(Tabela3[RS financing amount (EUR)])</f>
        <v>615532883.99000001</v>
      </c>
      <c r="E4" s="40">
        <f>SUM(Tabela3[Bond eligible amount (EUR)
Σ 24+25])</f>
        <v>103564615.92</v>
      </c>
      <c r="F4" s="40">
        <f>SUM(Tabela3[RS financing 2024 (EUR)])</f>
        <v>51585967.68</v>
      </c>
      <c r="G4" s="40">
        <f>SUM(Tabela3[RS financing 2025 (EUR)])</f>
        <v>51978648.240000002</v>
      </c>
    </row>
  </sheetData>
  <pageMargins left="0.7" right="0.7" top="0.75" bottom="0.75" header="0.3" footer="0.3"/>
  <ignoredErrors>
    <ignoredError sqref="E2" calculatedColumn="1"/>
  </ignoredErrors>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DA5660-BD95-4041-A450-CB9833448636}">
  <dimension ref="A1:G4"/>
  <sheetViews>
    <sheetView workbookViewId="0">
      <selection activeCell="G4" sqref="G4"/>
    </sheetView>
  </sheetViews>
  <sheetFormatPr defaultRowHeight="14.25" x14ac:dyDescent="0.2"/>
  <cols>
    <col min="1" max="1" width="11.125" bestFit="1" customWidth="1"/>
    <col min="2" max="2" width="29.75" customWidth="1"/>
    <col min="3" max="4" width="12.75" customWidth="1"/>
    <col min="5" max="5" width="16" bestFit="1" customWidth="1"/>
    <col min="6" max="7" width="12.75" customWidth="1"/>
  </cols>
  <sheetData>
    <row r="1" spans="1:7" ht="38.25" x14ac:dyDescent="0.2">
      <c r="A1" s="38" t="s">
        <v>204</v>
      </c>
      <c r="B1" s="38" t="s">
        <v>205</v>
      </c>
      <c r="C1" s="38" t="s">
        <v>11</v>
      </c>
      <c r="D1" s="38" t="s">
        <v>206</v>
      </c>
      <c r="E1" s="38" t="s">
        <v>222</v>
      </c>
      <c r="F1" s="38" t="s">
        <v>183</v>
      </c>
      <c r="G1" s="38" t="s">
        <v>223</v>
      </c>
    </row>
    <row r="2" spans="1:7" ht="38.25" x14ac:dyDescent="0.2">
      <c r="A2" s="39" t="s">
        <v>188</v>
      </c>
      <c r="B2" s="38" t="s">
        <v>195</v>
      </c>
      <c r="C2" s="40">
        <v>131661396.76000001</v>
      </c>
      <c r="D2" s="40">
        <v>138849504.96000001</v>
      </c>
      <c r="E2" s="40">
        <f>+Tabela36[[#This Row],[RS financing 2024 (EUR)]]+Tabela36[[#This Row],[RS financing 2025 (EUR)]]</f>
        <v>10293557.77</v>
      </c>
      <c r="F2" s="40">
        <v>10293557.77</v>
      </c>
      <c r="G2" s="40">
        <v>0</v>
      </c>
    </row>
    <row r="3" spans="1:7" ht="25.5" x14ac:dyDescent="0.2">
      <c r="A3" s="39" t="s">
        <v>202</v>
      </c>
      <c r="B3" s="38" t="s">
        <v>203</v>
      </c>
      <c r="C3" s="40">
        <v>380668044.29000002</v>
      </c>
      <c r="D3" s="40">
        <v>194757396.05000001</v>
      </c>
      <c r="E3" s="40">
        <f>+Tabela36[[#This Row],[RS financing 2024 (EUR)]]+Tabela36[[#This Row],[RS financing 2025 (EUR)]]</f>
        <v>51978648.240000002</v>
      </c>
      <c r="F3" s="40">
        <v>0</v>
      </c>
      <c r="G3" s="40">
        <v>51978648.240000002</v>
      </c>
    </row>
    <row r="4" spans="1:7" x14ac:dyDescent="0.2">
      <c r="A4" s="39"/>
      <c r="B4" s="38"/>
      <c r="C4" s="40">
        <f>SUM(Tabela36[Total project amount (EUR)])</f>
        <v>512329441.05000001</v>
      </c>
      <c r="D4" s="40">
        <f>SUM(Tabela36[RS financing amount (EUR)])</f>
        <v>333606901.00999999</v>
      </c>
      <c r="E4" s="40">
        <f>SUM(Tabela36[Bond eligible amount (EUR)
Σ 24+25])</f>
        <v>62272206.010000005</v>
      </c>
      <c r="F4" s="40">
        <f>SUM(Tabela36[RS financing 2024 (EUR)])</f>
        <v>10293557.77</v>
      </c>
      <c r="G4" s="40">
        <f>SUM(Tabela36[RS financing 2025 (EUR)])</f>
        <v>51978648.240000002</v>
      </c>
    </row>
  </sheetData>
  <pageMargins left="0.7" right="0.7" top="0.75" bottom="0.75" header="0.3" footer="0.3"/>
  <ignoredErrors>
    <ignoredError sqref="E2" calculatedColumn="1"/>
  </ignoredErrors>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ttachment2 xmlns="f016ebea-e21a-472c-94ed-541d7bd0669d">
      <Url xsi:nil="true"/>
      <Description xsi:nil="true"/>
    </Attachment2>
    <lcf76f155ced4ddcb4097134ff3c332f xmlns="f016ebea-e21a-472c-94ed-541d7bd0669d">
      <Terms xmlns="http://schemas.microsoft.com/office/infopath/2007/PartnerControls"/>
    </lcf76f155ced4ddcb4097134ff3c332f>
    <Attachment xmlns="f016ebea-e21a-472c-94ed-541d7bd0669d">
      <Url xsi:nil="true"/>
      <Description xsi:nil="true"/>
    </Attachment>
    <TaxCatchAll xmlns="6e78ff2e-7cd1-4db1-a5aa-e80c3081f3be" xsi:nil="true"/>
    <Description0 xmlns="f016ebea-e21a-472c-94ed-541d7bd0669d" xsi:nil="true"/>
    <Index xmlns="f016ebea-e21a-472c-94ed-541d7bd0669d" xsi:nil="true"/>
    <_ip_UnifiedCompliancePolicyUIAction xmlns="6190d666-f4d8-4735-95f5-ac271db94982" xsi:nil="true"/>
    <_ip_UnifiedCompliancePolicyProperties xmlns="6190d666-f4d8-4735-95f5-ac271db9498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3FCCACABF3D6E4288FAA94952BF1762" ma:contentTypeVersion="49" ma:contentTypeDescription="Create a new document." ma:contentTypeScope="" ma:versionID="1ad7e7997fd14cb468efecd8939bb3ba">
  <xsd:schema xmlns:xsd="http://www.w3.org/2001/XMLSchema" xmlns:xs="http://www.w3.org/2001/XMLSchema" xmlns:p="http://schemas.microsoft.com/office/2006/metadata/properties" xmlns:ns2="f016ebea-e21a-472c-94ed-541d7bd0669d" xmlns:ns3="6190d666-f4d8-4735-95f5-ac271db94982" xmlns:ns4="6e78ff2e-7cd1-4db1-a5aa-e80c3081f3be" targetNamespace="http://schemas.microsoft.com/office/2006/metadata/properties" ma:root="true" ma:fieldsID="7df5bae44b32b70dac670758291642a9" ns2:_="" ns3:_="" ns4:_="">
    <xsd:import namespace="f016ebea-e21a-472c-94ed-541d7bd0669d"/>
    <xsd:import namespace="6190d666-f4d8-4735-95f5-ac271db94982"/>
    <xsd:import namespace="6e78ff2e-7cd1-4db1-a5aa-e80c3081f3b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DateTaken" minOccurs="0"/>
                <xsd:element ref="ns3:SharedWithUsers" minOccurs="0"/>
                <xsd:element ref="ns3:SharedWithDetails" minOccurs="0"/>
                <xsd:element ref="ns2:Description0" minOccurs="0"/>
                <xsd:element ref="ns2:MediaServiceGenerationTime" minOccurs="0"/>
                <xsd:element ref="ns2:MediaServiceEventHashCode" minOccurs="0"/>
                <xsd:element ref="ns2:Index" minOccurs="0"/>
                <xsd:element ref="ns2:MediaServiceAutoKeyPoints" minOccurs="0"/>
                <xsd:element ref="ns2:MediaServiceKeyPoints" minOccurs="0"/>
                <xsd:element ref="ns2:Attachment" minOccurs="0"/>
                <xsd:element ref="ns2:Attachment2" minOccurs="0"/>
                <xsd:element ref="ns3:_dlc_DocId" minOccurs="0"/>
                <xsd:element ref="ns3:_dlc_DocIdUrl" minOccurs="0"/>
                <xsd:element ref="ns3:_dlc_DocIdPersistId" minOccurs="0"/>
                <xsd:element ref="ns2:MediaServiceLocation" minOccurs="0"/>
                <xsd:element ref="ns2:MediaLengthInSeconds" minOccurs="0"/>
                <xsd:element ref="ns4:TaxCatchAll" minOccurs="0"/>
                <xsd:element ref="ns2:lcf76f155ced4ddcb4097134ff3c332f" minOccurs="0"/>
                <xsd:element ref="ns3:_ip_UnifiedCompliancePolicyProperties" minOccurs="0"/>
                <xsd:element ref="ns3:_ip_UnifiedCompliancePolicyUIAc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016ebea-e21a-472c-94ed-541d7bd0669d"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AutoTags" ma:index="6" nillable="true" ma:displayName="Tags" ma:description="" ma:hidden="true" ma:internalName="MediaServiceAutoTags" ma:readOnly="true">
      <xsd:simpleType>
        <xsd:restriction base="dms:Text"/>
      </xsd:simpleType>
    </xsd:element>
    <xsd:element name="MediaServiceOCR" ma:index="7" nillable="true" ma:displayName="Extracted Text" ma:description="" ma:hidden="true" ma:internalName="MediaServiceOCR" ma:readOnly="true">
      <xsd:simpleType>
        <xsd:restriction base="dms:Note"/>
      </xsd:simpleType>
    </xsd:element>
    <xsd:element name="MediaServiceDateTaken" ma:index="8" nillable="true" ma:displayName="MediaServiceDateTaken" ma:hidden="true" ma:internalName="MediaServiceDateTaken" ma:readOnly="true">
      <xsd:simpleType>
        <xsd:restriction base="dms:Text"/>
      </xsd:simpleType>
    </xsd:element>
    <xsd:element name="Description0" ma:index="11" nillable="true" ma:displayName="Document Description" ma:format="Dropdown" ma:internalName="Description0">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Index" ma:index="14" nillable="true" ma:displayName="Index" ma:format="Dropdown" ma:internalName="Index" ma:readOnly="false">
      <xsd:simpleType>
        <xsd:restriction base="dms:Choice">
          <xsd:enumeration value="Legal"/>
          <xsd:enumeration value="Processes"/>
          <xsd:enumeration value="SPO Sales"/>
          <xsd:enumeration value="ESG Sales"/>
          <xsd:enumeration value="Disqualify"/>
          <xsd:enumeration value="Sustainability Linked Loan"/>
          <xsd:enumeration value="Competitive Intelligence Sales"/>
          <xsd:enumeration value="Sustainable Eligibility Guide Sales"/>
          <xsd:enumeration value="Marketing"/>
          <xsd:enumeration value="Attachment"/>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description="" ma:hidden="true" ma:internalName="MediaServiceKeyPoints" ma:readOnly="true">
      <xsd:simpleType>
        <xsd:restriction base="dms:Note"/>
      </xsd:simpleType>
    </xsd:element>
    <xsd:element name="Attachment" ma:index="17" nillable="true" ma:displayName="Attachment 1" ma:format="Hyperlink" ma:internalName="Attachment"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Attachment2" ma:index="18" nillable="true" ma:displayName="Attachment 2 " ma:format="Hyperlink" ma:internalName="Attachment2"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MediaServiceLocation" ma:index="26" nillable="true" ma:displayName="Location" ma:internalName="MediaServiceLocation" ma:readOnly="true">
      <xsd:simpleType>
        <xsd:restriction base="dms:Text"/>
      </xsd:simpleType>
    </xsd:element>
    <xsd:element name="MediaLengthInSeconds" ma:index="27" nillable="true" ma:displayName="Length (seconds)" ma:internalName="MediaLengthInSeconds" ma:readOnly="true">
      <xsd:simpleType>
        <xsd:restriction base="dms:Unknown"/>
      </xsd:simpleType>
    </xsd:element>
    <xsd:element name="lcf76f155ced4ddcb4097134ff3c332f" ma:index="30" nillable="true" ma:taxonomy="true" ma:internalName="lcf76f155ced4ddcb4097134ff3c332f" ma:taxonomyFieldName="MediaServiceImageTags" ma:displayName="Image Tags" ma:readOnly="false" ma:fieldId="{5cf76f15-5ced-4ddc-b409-7134ff3c332f}" ma:taxonomyMulti="true" ma:sspId="f957a171-654f-4563-9f59-7d53f9f4325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3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190d666-f4d8-4735-95f5-ac271db94982" elementFormDefault="qualified">
    <xsd:import namespace="http://schemas.microsoft.com/office/2006/documentManagement/types"/>
    <xsd:import namespace="http://schemas.microsoft.com/office/infopath/2007/PartnerControls"/>
    <xsd:element name="SharedWithUsers" ma:index="9" nillable="true" ma:displayName="Shared With" ma:description="" ma:hidden="true" ma:SearchPeopleOnly="false" ma:SharePointGroup="0" ma:internalName="SharedWithUsers" ma:readOnly="true"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description="" ma:hidden="true" ma:internalName="SharedWithDetails" ma:readOnly="true">
      <xsd:simpleType>
        <xsd:restriction base="dms:Note"/>
      </xsd:simpleType>
    </xsd:element>
    <xsd:element name="_dlc_DocId" ma:index="23" nillable="true" ma:displayName="Document ID Value" ma:description="The value of the document ID assigned to this item." ma:internalName="_dlc_DocId" ma:readOnly="true">
      <xsd:simpleType>
        <xsd:restriction base="dms:Text"/>
      </xsd:simpleType>
    </xsd:element>
    <xsd:element name="_dlc_DocIdUrl" ma:index="2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5" nillable="true" ma:displayName="Persist ID" ma:description="Keep ID on add." ma:hidden="true" ma:internalName="_dlc_DocIdPersistId" ma:readOnly="true">
      <xsd:simpleType>
        <xsd:restriction base="dms:Boolean"/>
      </xsd:simpleType>
    </xsd:element>
    <xsd:element name="_ip_UnifiedCompliancePolicyProperties" ma:index="31" nillable="true" ma:displayName="Unified Compliance Policy Properties" ma:internalName="_ip_UnifiedCompliancePolicyProperties" ma:readOnly="false">
      <xsd:simpleType>
        <xsd:restriction base="dms:Note"/>
      </xsd:simpleType>
    </xsd:element>
    <xsd:element name="_ip_UnifiedCompliancePolicyUIAction" ma:index="32" nillable="true" ma:displayName="Unified Compliance Policy UI Action" ma:hidden="true" ma:internalName="_ip_UnifiedCompliancePolicyUIAction"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e78ff2e-7cd1-4db1-a5aa-e80c3081f3be" elementFormDefault="qualified">
    <xsd:import namespace="http://schemas.microsoft.com/office/2006/documentManagement/types"/>
    <xsd:import namespace="http://schemas.microsoft.com/office/infopath/2007/PartnerControls"/>
    <xsd:element name="TaxCatchAll" ma:index="28" nillable="true" ma:displayName="Taxonomy Catch All Column" ma:hidden="true" ma:list="{af29951c-86ca-4d55-9ace-384e8b246067}" ma:internalName="TaxCatchAll" ma:showField="CatchAllData" ma:web="6190d666-f4d8-4735-95f5-ac271db9498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71F5BB-7FDC-45A8-8512-3F7608615D24}">
  <ds:schemaRefs>
    <ds:schemaRef ds:uri="http://schemas.microsoft.com/sharepoint/events"/>
  </ds:schemaRefs>
</ds:datastoreItem>
</file>

<file path=customXml/itemProps2.xml><?xml version="1.0" encoding="utf-8"?>
<ds:datastoreItem xmlns:ds="http://schemas.openxmlformats.org/officeDocument/2006/customXml" ds:itemID="{A4991EF4-37BB-4841-940F-F78DEF3F1797}">
  <ds:schemaRefs>
    <ds:schemaRef ds:uri="http://schemas.microsoft.com/sharepoint/v3/contenttype/forms"/>
  </ds:schemaRefs>
</ds:datastoreItem>
</file>

<file path=customXml/itemProps3.xml><?xml version="1.0" encoding="utf-8"?>
<ds:datastoreItem xmlns:ds="http://schemas.openxmlformats.org/officeDocument/2006/customXml" ds:itemID="{F2E55074-CD92-49DA-A7FA-963B1B6D03AC}">
  <ds:schemaRefs>
    <ds:schemaRef ds:uri="http://schemas.microsoft.com/office/2006/metadata/properties"/>
    <ds:schemaRef ds:uri="http://schemas.microsoft.com/office/infopath/2007/PartnerControls"/>
    <ds:schemaRef ds:uri="f016ebea-e21a-472c-94ed-541d7bd0669d"/>
    <ds:schemaRef ds:uri="6e78ff2e-7cd1-4db1-a5aa-e80c3081f3be"/>
    <ds:schemaRef ds:uri="6190d666-f4d8-4735-95f5-ac271db94982"/>
  </ds:schemaRefs>
</ds:datastoreItem>
</file>

<file path=customXml/itemProps4.xml><?xml version="1.0" encoding="utf-8"?>
<ds:datastoreItem xmlns:ds="http://schemas.openxmlformats.org/officeDocument/2006/customXml" ds:itemID="{6B419F84-4F57-410A-8F6B-D8DF8460154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016ebea-e21a-472c-94ed-541d7bd0669d"/>
    <ds:schemaRef ds:uri="6190d666-f4d8-4735-95f5-ac271db94982"/>
    <ds:schemaRef ds:uri="6e78ff2e-7cd1-4db1-a5aa-e80c3081f3b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12</vt:i4>
      </vt:variant>
    </vt:vector>
  </HeadingPairs>
  <TitlesOfParts>
    <vt:vector size="12" baseType="lpstr">
      <vt:lpstr>Drop list</vt:lpstr>
      <vt:lpstr>Summary 2024-2025</vt:lpstr>
      <vt:lpstr>Analysis</vt:lpstr>
      <vt:lpstr>Allocation aggregate</vt:lpstr>
      <vt:lpstr>Allocation report contracted</vt:lpstr>
      <vt:lpstr>Social projects (SP)</vt:lpstr>
      <vt:lpstr>Portfolio 1</vt:lpstr>
      <vt:lpstr>Portfolio 2</vt:lpstr>
      <vt:lpstr>Portfolio 3</vt:lpstr>
      <vt:lpstr>Portfolio 4</vt:lpstr>
      <vt:lpstr>Impact Education</vt:lpstr>
      <vt:lpstr>Impact Social inclusion</vt:lpstr>
    </vt:vector>
  </TitlesOfParts>
  <Manager/>
  <Company>MFRS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Administrator</dc:creator>
  <cp:keywords/>
  <dc:description/>
  <cp:lastModifiedBy>Polona Nahtigal</cp:lastModifiedBy>
  <cp:revision/>
  <cp:lastPrinted>2026-05-08T10:07:11Z</cp:lastPrinted>
  <dcterms:created xsi:type="dcterms:W3CDTF">2019-03-22T12:46:21Z</dcterms:created>
  <dcterms:modified xsi:type="dcterms:W3CDTF">2026-07-16T06:35:29Z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ffbc0b8-e97b-47d1-beac-cb0955d66f3b_Enabled">
    <vt:lpwstr>true</vt:lpwstr>
  </property>
  <property fmtid="{D5CDD505-2E9C-101B-9397-08002B2CF9AE}" pid="3" name="MSIP_Label_8ffbc0b8-e97b-47d1-beac-cb0955d66f3b_SetDate">
    <vt:lpwstr>2022-11-16T15:25:29Z</vt:lpwstr>
  </property>
  <property fmtid="{D5CDD505-2E9C-101B-9397-08002B2CF9AE}" pid="4" name="MSIP_Label_8ffbc0b8-e97b-47d1-beac-cb0955d66f3b_Method">
    <vt:lpwstr>Standard</vt:lpwstr>
  </property>
  <property fmtid="{D5CDD505-2E9C-101B-9397-08002B2CF9AE}" pid="5" name="MSIP_Label_8ffbc0b8-e97b-47d1-beac-cb0955d66f3b_Name">
    <vt:lpwstr>8ffbc0b8-e97b-47d1-beac-cb0955d66f3b</vt:lpwstr>
  </property>
  <property fmtid="{D5CDD505-2E9C-101B-9397-08002B2CF9AE}" pid="6" name="MSIP_Label_8ffbc0b8-e97b-47d1-beac-cb0955d66f3b_SiteId">
    <vt:lpwstr>614f9c25-bffa-42c7-86d8-964101f55fa2</vt:lpwstr>
  </property>
  <property fmtid="{D5CDD505-2E9C-101B-9397-08002B2CF9AE}" pid="7" name="MSIP_Label_8ffbc0b8-e97b-47d1-beac-cb0955d66f3b_ActionId">
    <vt:lpwstr>fcd98ab6-3f34-48d5-b306-7bb66459639d</vt:lpwstr>
  </property>
  <property fmtid="{D5CDD505-2E9C-101B-9397-08002B2CF9AE}" pid="8" name="MSIP_Label_8ffbc0b8-e97b-47d1-beac-cb0955d66f3b_ContentBits">
    <vt:lpwstr>2</vt:lpwstr>
  </property>
  <property fmtid="{D5CDD505-2E9C-101B-9397-08002B2CF9AE}" pid="9" name="ContentTypeId">
    <vt:lpwstr>0x010100D3FCCACABF3D6E4288FAA94952BF1762</vt:lpwstr>
  </property>
</Properties>
</file>