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ad.sigov.si\usr\F-J\GartnerA55\Documents\PROJEKT TRAJNOSTNA OBVEZNICA\"/>
    </mc:Choice>
  </mc:AlternateContent>
  <xr:revisionPtr revIDLastSave="0" documentId="13_ncr:1_{AFE219B3-B180-47EB-ABCD-EE498FEE3AD5}" xr6:coauthVersionLast="47" xr6:coauthVersionMax="47" xr10:uidLastSave="{00000000-0000-0000-0000-000000000000}"/>
  <bookViews>
    <workbookView xWindow="38280" yWindow="1140" windowWidth="29040" windowHeight="17640" tabRatio="858" activeTab="4" xr2:uid="{E0C48EAF-7710-4F0F-9AFD-83643AEF97F9}"/>
  </bookViews>
  <sheets>
    <sheet name="Allocation aggregate" sheetId="22" r:id="rId1"/>
    <sheet name="Analysis" sheetId="17" r:id="rId2"/>
    <sheet name="Allocation report" sheetId="18" r:id="rId3"/>
    <sheet name="Allocation report - contracted" sheetId="21" r:id="rId4"/>
    <sheet name="Impact report - contracted" sheetId="23" r:id="rId5"/>
    <sheet name="Education" sheetId="9" r:id="rId6"/>
    <sheet name="Employment generation" sheetId="20" r:id="rId7"/>
    <sheet name="Social inclusion" sheetId="13" r:id="rId8"/>
    <sheet name="Healthcare" sheetId="10" r:id="rId9"/>
    <sheet name="Low Carbon Transport" sheetId="1" r:id="rId10"/>
    <sheet name="Railway calculations" sheetId="19" r:id="rId11"/>
  </sheets>
  <definedNames>
    <definedName name="_xlnm._FilterDatabase" localSheetId="6" hidden="1">'Employment generation'!$B$3:$P$19</definedName>
    <definedName name="_xlnm._FilterDatabase" localSheetId="8" hidden="1">Healthcare!$B$3:$T$54</definedName>
    <definedName name="_xlnm._FilterDatabase" localSheetId="7" hidden="1">'Social inclusion'!$B$3:$P$36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 i="1" l="1"/>
  <c r="E36" i="1"/>
  <c r="D41" i="1"/>
  <c r="E41" i="1"/>
  <c r="D50" i="1"/>
  <c r="E50" i="1"/>
  <c r="E53" i="1"/>
  <c r="D75" i="1"/>
  <c r="E75" i="1"/>
  <c r="D90" i="1"/>
  <c r="E90" i="1"/>
  <c r="D28" i="21"/>
  <c r="C28" i="21"/>
  <c r="H122" i="18"/>
  <c r="G122" i="18"/>
  <c r="D6" i="22"/>
  <c r="C6" i="22"/>
  <c r="C6" i="17"/>
  <c r="B6" i="17"/>
  <c r="H17" i="23"/>
  <c r="C23" i="20" l="1"/>
  <c r="C22" i="20"/>
  <c r="N54" i="10"/>
  <c r="C17" i="23" s="1"/>
  <c r="O54" i="10"/>
  <c r="D17" i="23" s="1"/>
  <c r="P54" i="10"/>
  <c r="E17" i="23" s="1"/>
  <c r="Q54" i="10"/>
  <c r="F17" i="23" s="1"/>
  <c r="R54" i="10"/>
  <c r="G17" i="23" s="1"/>
  <c r="S54" i="10"/>
  <c r="M54" i="10"/>
  <c r="B17" i="23" s="1"/>
  <c r="C43" i="13"/>
  <c r="C42" i="13"/>
  <c r="C40" i="13"/>
  <c r="C39" i="13"/>
  <c r="E7" i="23"/>
  <c r="D7" i="23"/>
  <c r="O9" i="9"/>
  <c r="P9" i="9"/>
  <c r="E3" i="23"/>
  <c r="Q4" i="19" l="1"/>
  <c r="Q5" i="19"/>
  <c r="Q6" i="19"/>
  <c r="Q7" i="19"/>
  <c r="Q8" i="19"/>
  <c r="Q9" i="19"/>
  <c r="Q10" i="19"/>
  <c r="Q11" i="19"/>
  <c r="Q3" i="19"/>
  <c r="O4" i="19"/>
  <c r="O5" i="19"/>
  <c r="O6" i="19"/>
  <c r="K14" i="1" s="1"/>
  <c r="O7" i="19"/>
  <c r="K15" i="1" s="1"/>
  <c r="O8" i="19"/>
  <c r="O9" i="19"/>
  <c r="O10" i="19"/>
  <c r="O11" i="19"/>
  <c r="O3" i="19"/>
  <c r="D14" i="21"/>
  <c r="C14" i="21"/>
  <c r="D13" i="21"/>
  <c r="C13" i="21"/>
  <c r="D12" i="21"/>
  <c r="C12" i="21"/>
  <c r="L19" i="20"/>
  <c r="E129" i="18"/>
  <c r="E130" i="18"/>
  <c r="E131" i="18"/>
  <c r="E132" i="18"/>
  <c r="F132" i="18" s="1"/>
  <c r="E133" i="18"/>
  <c r="E134" i="18"/>
  <c r="E135" i="18"/>
  <c r="E136" i="18"/>
  <c r="E137" i="18"/>
  <c r="E138" i="18"/>
  <c r="E139" i="18"/>
  <c r="E140" i="18"/>
  <c r="E141" i="18"/>
  <c r="E142" i="18"/>
  <c r="E128" i="18"/>
  <c r="D129" i="18"/>
  <c r="D130" i="18"/>
  <c r="D131" i="18"/>
  <c r="D132" i="18"/>
  <c r="D133" i="18"/>
  <c r="F133" i="18" s="1"/>
  <c r="D134" i="18"/>
  <c r="D135" i="18"/>
  <c r="D136" i="18"/>
  <c r="F136" i="18" s="1"/>
  <c r="D137" i="18"/>
  <c r="D138" i="18"/>
  <c r="D139" i="18"/>
  <c r="F139" i="18" s="1"/>
  <c r="D140" i="18"/>
  <c r="D141" i="18"/>
  <c r="F141" i="18" s="1"/>
  <c r="D142" i="18"/>
  <c r="D128" i="18"/>
  <c r="K19" i="20"/>
  <c r="J19" i="20"/>
  <c r="I7" i="20"/>
  <c r="G7" i="20"/>
  <c r="I4" i="20"/>
  <c r="G4" i="20"/>
  <c r="L17" i="1"/>
  <c r="N11" i="1"/>
  <c r="N26" i="1" s="1"/>
  <c r="F3" i="23" s="1"/>
  <c r="P11" i="19"/>
  <c r="K19" i="1"/>
  <c r="N11" i="19"/>
  <c r="L19" i="1" s="1"/>
  <c r="P10" i="19"/>
  <c r="K18" i="1"/>
  <c r="N10" i="19"/>
  <c r="L18" i="1" s="1"/>
  <c r="P9" i="19"/>
  <c r="K17" i="1"/>
  <c r="N9" i="19"/>
  <c r="P8" i="19"/>
  <c r="K16" i="1"/>
  <c r="N8" i="19"/>
  <c r="L16" i="1" s="1"/>
  <c r="P7" i="19"/>
  <c r="N7" i="19"/>
  <c r="L15" i="1" s="1"/>
  <c r="P6" i="19"/>
  <c r="N6" i="19"/>
  <c r="L14" i="1" s="1"/>
  <c r="P5" i="19"/>
  <c r="K13" i="1"/>
  <c r="N5" i="19"/>
  <c r="L13" i="1" s="1"/>
  <c r="P4" i="19"/>
  <c r="K12" i="1"/>
  <c r="N4" i="19"/>
  <c r="L12" i="1" s="1"/>
  <c r="P3" i="19"/>
  <c r="N3" i="19"/>
  <c r="L11" i="1" s="1"/>
  <c r="K9" i="9"/>
  <c r="J9" i="9"/>
  <c r="I27" i="13"/>
  <c r="G27" i="13"/>
  <c r="K20" i="1"/>
  <c r="M20" i="1" s="1"/>
  <c r="E18" i="18"/>
  <c r="H18" i="18" s="1"/>
  <c r="D6" i="21" s="1"/>
  <c r="D18" i="18"/>
  <c r="G18" i="18" s="1"/>
  <c r="C6" i="21" s="1"/>
  <c r="E16" i="18"/>
  <c r="D16" i="18"/>
  <c r="E13" i="18"/>
  <c r="D13" i="18"/>
  <c r="E4" i="18"/>
  <c r="D4" i="18"/>
  <c r="E3" i="18"/>
  <c r="H3" i="18" s="1"/>
  <c r="D3" i="21" s="1"/>
  <c r="D3" i="18"/>
  <c r="G3" i="18" s="1"/>
  <c r="C3" i="21" s="1"/>
  <c r="L26" i="1" l="1"/>
  <c r="C3" i="23" s="1"/>
  <c r="F135" i="18"/>
  <c r="F138" i="18"/>
  <c r="F140" i="18"/>
  <c r="F131" i="18"/>
  <c r="F134" i="18"/>
  <c r="S11" i="19"/>
  <c r="S8" i="19"/>
  <c r="S5" i="19"/>
  <c r="E6" i="21"/>
  <c r="E14" i="21"/>
  <c r="E12" i="21"/>
  <c r="E13" i="21"/>
  <c r="E3" i="21"/>
  <c r="E143" i="18"/>
  <c r="D143" i="18"/>
  <c r="F130" i="18"/>
  <c r="F142" i="18"/>
  <c r="F129" i="18"/>
  <c r="F128" i="18"/>
  <c r="F137" i="18"/>
  <c r="S3" i="19"/>
  <c r="S6" i="19"/>
  <c r="S9" i="19"/>
  <c r="S4" i="19"/>
  <c r="S7" i="19"/>
  <c r="S10" i="19"/>
  <c r="R4" i="19"/>
  <c r="M12" i="1" s="1"/>
  <c r="R7" i="19"/>
  <c r="M15" i="1" s="1"/>
  <c r="R11" i="19"/>
  <c r="M19" i="1" s="1"/>
  <c r="R3" i="19"/>
  <c r="R6" i="19"/>
  <c r="M14" i="1" s="1"/>
  <c r="R9" i="19"/>
  <c r="M17" i="1" s="1"/>
  <c r="R10" i="19"/>
  <c r="M18" i="1" s="1"/>
  <c r="R5" i="19"/>
  <c r="M13" i="1" s="1"/>
  <c r="R8" i="19"/>
  <c r="M16" i="1" s="1"/>
  <c r="M11" i="1"/>
  <c r="K11" i="1"/>
  <c r="K26" i="1" s="1" a="1"/>
  <c r="K26" i="1" s="1"/>
  <c r="B3" i="23" s="1"/>
  <c r="E28" i="18"/>
  <c r="E27" i="18"/>
  <c r="H28" i="18" s="1"/>
  <c r="D15" i="21" s="1"/>
  <c r="D16" i="21" s="1"/>
  <c r="D28" i="18"/>
  <c r="D27" i="18"/>
  <c r="E122" i="18"/>
  <c r="E121" i="18"/>
  <c r="E120" i="18"/>
  <c r="E119" i="18"/>
  <c r="E118" i="18"/>
  <c r="E117" i="18"/>
  <c r="E116" i="18"/>
  <c r="E115" i="18"/>
  <c r="E114" i="18"/>
  <c r="E113" i="18"/>
  <c r="E112" i="18"/>
  <c r="E111" i="18"/>
  <c r="E110" i="18"/>
  <c r="E109" i="18"/>
  <c r="E108" i="18"/>
  <c r="H108" i="18" s="1"/>
  <c r="D30" i="21" s="1"/>
  <c r="E107" i="18"/>
  <c r="E106" i="18"/>
  <c r="E105" i="18"/>
  <c r="E104" i="18"/>
  <c r="E103" i="18"/>
  <c r="E102" i="18"/>
  <c r="E101" i="18"/>
  <c r="E100" i="18"/>
  <c r="E99" i="18"/>
  <c r="E98" i="18"/>
  <c r="E97" i="18"/>
  <c r="E96" i="18"/>
  <c r="E95" i="18"/>
  <c r="E94" i="18"/>
  <c r="E93" i="18"/>
  <c r="E92" i="18"/>
  <c r="E91" i="18"/>
  <c r="E90" i="18"/>
  <c r="E89" i="18"/>
  <c r="E88" i="18"/>
  <c r="E87" i="18"/>
  <c r="E86" i="18"/>
  <c r="E85" i="18"/>
  <c r="E84" i="18"/>
  <c r="E83" i="18"/>
  <c r="E82" i="18"/>
  <c r="E81" i="18"/>
  <c r="E80" i="18"/>
  <c r="E79" i="18"/>
  <c r="E78" i="18"/>
  <c r="E77" i="18"/>
  <c r="E76" i="18"/>
  <c r="E75" i="18"/>
  <c r="E74" i="18"/>
  <c r="E73" i="18"/>
  <c r="D122" i="18"/>
  <c r="D121" i="18"/>
  <c r="D120" i="18"/>
  <c r="D119" i="18"/>
  <c r="D118" i="18"/>
  <c r="D117" i="18"/>
  <c r="D116" i="18"/>
  <c r="D115" i="18"/>
  <c r="D114" i="18"/>
  <c r="D113" i="18"/>
  <c r="D112" i="18"/>
  <c r="D111" i="18"/>
  <c r="D110" i="18"/>
  <c r="D109" i="18"/>
  <c r="D108" i="18"/>
  <c r="G108" i="18" s="1"/>
  <c r="C30" i="21" s="1"/>
  <c r="D107" i="18"/>
  <c r="D106" i="18"/>
  <c r="D105" i="18"/>
  <c r="D104" i="18"/>
  <c r="D103" i="18"/>
  <c r="D102" i="18"/>
  <c r="D101" i="18"/>
  <c r="D100" i="18"/>
  <c r="D99" i="18"/>
  <c r="D98" i="18"/>
  <c r="D97" i="18"/>
  <c r="D96" i="18"/>
  <c r="D95" i="18"/>
  <c r="D94" i="18"/>
  <c r="D93" i="18"/>
  <c r="D92" i="18"/>
  <c r="D91" i="18"/>
  <c r="D90" i="18"/>
  <c r="D89" i="18"/>
  <c r="D88" i="18"/>
  <c r="D87" i="18"/>
  <c r="D86" i="18"/>
  <c r="D85" i="18"/>
  <c r="D84" i="18"/>
  <c r="D83" i="18"/>
  <c r="D82" i="18"/>
  <c r="D81" i="18"/>
  <c r="D80" i="18"/>
  <c r="D79" i="18"/>
  <c r="D78" i="18"/>
  <c r="D77" i="18"/>
  <c r="D76" i="18"/>
  <c r="D75" i="18"/>
  <c r="D74" i="18"/>
  <c r="D73" i="18"/>
  <c r="E66" i="18"/>
  <c r="E65" i="18"/>
  <c r="E64" i="18"/>
  <c r="E63" i="18"/>
  <c r="E62" i="18"/>
  <c r="E61" i="18"/>
  <c r="E60" i="18"/>
  <c r="E59" i="18"/>
  <c r="E58" i="18"/>
  <c r="E57" i="18"/>
  <c r="E56" i="18"/>
  <c r="E55" i="18"/>
  <c r="E54" i="18"/>
  <c r="E53" i="18"/>
  <c r="E52" i="18"/>
  <c r="E51" i="18"/>
  <c r="E50" i="18"/>
  <c r="E49" i="18"/>
  <c r="E48" i="18"/>
  <c r="E47" i="18"/>
  <c r="E46" i="18"/>
  <c r="E45" i="18"/>
  <c r="E44" i="18"/>
  <c r="E43" i="18"/>
  <c r="E42" i="18"/>
  <c r="E41" i="18"/>
  <c r="E39" i="18"/>
  <c r="E38" i="18"/>
  <c r="E36" i="18"/>
  <c r="E40" i="18"/>
  <c r="E37" i="18"/>
  <c r="E35" i="18"/>
  <c r="D66" i="18"/>
  <c r="D65" i="18"/>
  <c r="D64" i="18"/>
  <c r="D63" i="18"/>
  <c r="D62" i="18"/>
  <c r="D61" i="18"/>
  <c r="D60" i="18"/>
  <c r="D59" i="18"/>
  <c r="D58" i="18"/>
  <c r="D57" i="18"/>
  <c r="D56" i="18"/>
  <c r="D55" i="18"/>
  <c r="D54" i="18"/>
  <c r="D53" i="18"/>
  <c r="D52" i="18"/>
  <c r="D51" i="18"/>
  <c r="D50" i="18"/>
  <c r="D49" i="18"/>
  <c r="D48" i="18"/>
  <c r="D47" i="18"/>
  <c r="D46" i="18"/>
  <c r="D45" i="18"/>
  <c r="D44" i="18"/>
  <c r="D43" i="18"/>
  <c r="D42" i="18"/>
  <c r="D41" i="18"/>
  <c r="D40" i="18"/>
  <c r="D39" i="18"/>
  <c r="D38" i="18"/>
  <c r="D37" i="18"/>
  <c r="D36" i="18"/>
  <c r="D35" i="18"/>
  <c r="E25" i="18"/>
  <c r="H25" i="18" s="1"/>
  <c r="E26" i="18"/>
  <c r="H26" i="18" s="1"/>
  <c r="D25" i="18"/>
  <c r="G25" i="18" s="1"/>
  <c r="D26" i="18"/>
  <c r="G26" i="18" s="1"/>
  <c r="E24" i="18"/>
  <c r="H24" i="18" s="1"/>
  <c r="D24" i="18"/>
  <c r="G24" i="18" s="1"/>
  <c r="M26" i="1" l="1"/>
  <c r="D3" i="23" s="1"/>
  <c r="G28" i="18"/>
  <c r="C15" i="21" s="1"/>
  <c r="C4" i="22"/>
  <c r="C37" i="21"/>
  <c r="B4" i="17"/>
  <c r="D4" i="22"/>
  <c r="D37" i="21"/>
  <c r="D38" i="21" s="1"/>
  <c r="C4" i="17"/>
  <c r="E30" i="21"/>
  <c r="H97" i="18"/>
  <c r="D27" i="21" s="1"/>
  <c r="C31" i="21"/>
  <c r="D31" i="21"/>
  <c r="G107" i="18"/>
  <c r="C29" i="21" s="1"/>
  <c r="G97" i="18"/>
  <c r="C27" i="21" s="1"/>
  <c r="H107" i="18"/>
  <c r="D29" i="21" s="1"/>
  <c r="E29" i="21" s="1"/>
  <c r="E28" i="21"/>
  <c r="F143" i="18"/>
  <c r="F85" i="18"/>
  <c r="F108" i="18"/>
  <c r="S12" i="19"/>
  <c r="R12" i="19"/>
  <c r="F36" i="18"/>
  <c r="F80" i="18"/>
  <c r="F98" i="18"/>
  <c r="F103" i="18"/>
  <c r="F115" i="18"/>
  <c r="F120" i="18"/>
  <c r="F78" i="18"/>
  <c r="F84" i="18"/>
  <c r="F90" i="18"/>
  <c r="F96" i="18"/>
  <c r="F102" i="18"/>
  <c r="F107" i="18"/>
  <c r="F113" i="18"/>
  <c r="F119" i="18"/>
  <c r="F76" i="18"/>
  <c r="F82" i="18"/>
  <c r="F88" i="18"/>
  <c r="F94" i="18"/>
  <c r="F100" i="18"/>
  <c r="F105" i="18"/>
  <c r="F111" i="18"/>
  <c r="F117" i="18"/>
  <c r="F122" i="18"/>
  <c r="F91" i="18"/>
  <c r="F86" i="18"/>
  <c r="F79" i="18"/>
  <c r="F97" i="18"/>
  <c r="F114" i="18"/>
  <c r="F74" i="18"/>
  <c r="F92" i="18"/>
  <c r="F109" i="18"/>
  <c r="F75" i="18"/>
  <c r="F81" i="18"/>
  <c r="F87" i="18"/>
  <c r="F93" i="18"/>
  <c r="F99" i="18"/>
  <c r="F104" i="18"/>
  <c r="F110" i="18"/>
  <c r="F116" i="18"/>
  <c r="F121" i="18"/>
  <c r="F83" i="18"/>
  <c r="F95" i="18"/>
  <c r="F112" i="18"/>
  <c r="F77" i="18"/>
  <c r="F89" i="18"/>
  <c r="F106" i="18"/>
  <c r="F118" i="18"/>
  <c r="F73" i="18"/>
  <c r="F101" i="18"/>
  <c r="F58" i="18"/>
  <c r="F64" i="18"/>
  <c r="F16" i="18"/>
  <c r="F35" i="18"/>
  <c r="F41" i="18"/>
  <c r="F47" i="18"/>
  <c r="F40" i="18"/>
  <c r="F38" i="18"/>
  <c r="F44" i="18"/>
  <c r="F50" i="18"/>
  <c r="F56" i="18"/>
  <c r="F62" i="18"/>
  <c r="F39" i="18"/>
  <c r="F45" i="18"/>
  <c r="F51" i="18"/>
  <c r="F57" i="18"/>
  <c r="F63" i="18"/>
  <c r="F53" i="18"/>
  <c r="F59" i="18"/>
  <c r="F65" i="18"/>
  <c r="F46" i="18"/>
  <c r="F42" i="18"/>
  <c r="F48" i="18"/>
  <c r="F54" i="18"/>
  <c r="F60" i="18"/>
  <c r="F66" i="18"/>
  <c r="F37" i="18"/>
  <c r="F43" i="18"/>
  <c r="F49" i="18"/>
  <c r="F55" i="18"/>
  <c r="F61" i="18"/>
  <c r="F52" i="18"/>
  <c r="D123" i="18"/>
  <c r="E123" i="18"/>
  <c r="F26" i="18"/>
  <c r="F28" i="18"/>
  <c r="F27" i="18"/>
  <c r="F25" i="18"/>
  <c r="F24" i="18"/>
  <c r="D67" i="18"/>
  <c r="E67" i="18"/>
  <c r="E29" i="18"/>
  <c r="F18" i="18"/>
  <c r="F13" i="18"/>
  <c r="D29" i="18"/>
  <c r="E31" i="21" l="1"/>
  <c r="C16" i="21"/>
  <c r="E15" i="21"/>
  <c r="E16" i="21" s="1"/>
  <c r="B3" i="17"/>
  <c r="D3" i="17" s="1"/>
  <c r="C3" i="22"/>
  <c r="C3" i="17"/>
  <c r="D3" i="22"/>
  <c r="D4" i="17"/>
  <c r="D5" i="22"/>
  <c r="D21" i="21"/>
  <c r="D22" i="21" s="1"/>
  <c r="C5" i="17"/>
  <c r="E37" i="21"/>
  <c r="E38" i="21" s="1"/>
  <c r="C38" i="21"/>
  <c r="C5" i="22"/>
  <c r="C21" i="21"/>
  <c r="B5" i="17"/>
  <c r="D5" i="17" s="1"/>
  <c r="E4" i="22"/>
  <c r="D32" i="21"/>
  <c r="C32" i="21"/>
  <c r="E27" i="21"/>
  <c r="D6" i="17"/>
  <c r="F123" i="18"/>
  <c r="F29" i="18"/>
  <c r="F67" i="18"/>
  <c r="E12" i="18"/>
  <c r="D12" i="18"/>
  <c r="E11" i="18"/>
  <c r="D11" i="18"/>
  <c r="E10" i="18"/>
  <c r="D10" i="18"/>
  <c r="E9" i="18"/>
  <c r="D9" i="18"/>
  <c r="E8" i="18"/>
  <c r="D8" i="18"/>
  <c r="E7" i="18"/>
  <c r="D7" i="18"/>
  <c r="E6" i="18"/>
  <c r="D6" i="18"/>
  <c r="E5" i="18"/>
  <c r="D5" i="18"/>
  <c r="E32" i="21" l="1"/>
  <c r="H12" i="18"/>
  <c r="D4" i="21" s="1"/>
  <c r="E21" i="21"/>
  <c r="E22" i="21" s="1"/>
  <c r="C22" i="21"/>
  <c r="E5" i="22"/>
  <c r="E3" i="22"/>
  <c r="G12" i="18"/>
  <c r="C4" i="21" s="1"/>
  <c r="E6" i="22"/>
  <c r="F6" i="18"/>
  <c r="F12" i="18"/>
  <c r="F9" i="18"/>
  <c r="F7" i="18"/>
  <c r="F10" i="18"/>
  <c r="F3" i="18"/>
  <c r="F5" i="18"/>
  <c r="F8" i="18"/>
  <c r="F11" i="18"/>
  <c r="E4" i="21" l="1"/>
  <c r="F4" i="18"/>
  <c r="J36" i="13"/>
  <c r="H25" i="1" l="1"/>
  <c r="D17" i="18" s="1"/>
  <c r="I23" i="1"/>
  <c r="E15" i="18" s="1"/>
  <c r="I22" i="1"/>
  <c r="E14" i="18" s="1"/>
  <c r="H22" i="1"/>
  <c r="D14" i="18" s="1"/>
  <c r="D15" i="18" l="1"/>
  <c r="F15" i="18" s="1"/>
  <c r="H26" i="1"/>
  <c r="H27" i="1" s="1"/>
  <c r="F14" i="18"/>
  <c r="I25" i="1"/>
  <c r="K54" i="10"/>
  <c r="J54" i="10"/>
  <c r="K36" i="13"/>
  <c r="G17" i="18" l="1"/>
  <c r="C5" i="21" s="1"/>
  <c r="E17" i="18"/>
  <c r="I26" i="1"/>
  <c r="I27" i="1" s="1"/>
  <c r="D19" i="18"/>
  <c r="B2" i="17" l="1"/>
  <c r="B7" i="17" s="1"/>
  <c r="C2" i="22"/>
  <c r="F17" i="18"/>
  <c r="F19" i="18" s="1"/>
  <c r="H17" i="18"/>
  <c r="D5" i="21" s="1"/>
  <c r="D7" i="21" s="1"/>
  <c r="C7" i="21"/>
  <c r="E19" i="18"/>
  <c r="E5" i="21" l="1"/>
  <c r="E7" i="21" s="1"/>
  <c r="C2" i="17"/>
  <c r="C7" i="17" s="1"/>
  <c r="D2" i="22"/>
  <c r="D7" i="22" s="1"/>
  <c r="E2" i="22"/>
  <c r="C7" i="22"/>
  <c r="D2" i="17" l="1"/>
  <c r="D7" i="17" s="1"/>
  <c r="E3" i="17" s="1"/>
  <c r="E7" i="22"/>
  <c r="F2" i="22" s="1"/>
  <c r="E2" i="17"/>
  <c r="E6" i="17"/>
  <c r="E4" i="17"/>
  <c r="E5" i="17"/>
  <c r="F3" i="22" l="1"/>
  <c r="F4" i="22"/>
  <c r="F5" i="22"/>
  <c r="F6" i="22"/>
  <c r="E7" i="17"/>
  <c r="F7" i="2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<sst xmlns="http://schemas.openxmlformats.org/spreadsheetml/2006/main" count="1132" uniqueCount="646">
  <si>
    <t>Clean Transportation Projects</t>
  </si>
  <si>
    <t>Project lifetime</t>
  </si>
  <si>
    <t>Passenger-kilometers or tonne-killometers and/or tonnes</t>
  </si>
  <si>
    <t>Annual GHG reduced /avoided</t>
  </si>
  <si>
    <t>Project name</t>
  </si>
  <si>
    <t>€</t>
  </si>
  <si>
    <t>%</t>
  </si>
  <si>
    <t>years</t>
  </si>
  <si>
    <t>Construction of Clean Transportation Infrastructure Projects</t>
  </si>
  <si>
    <t>2020
€</t>
  </si>
  <si>
    <t>2021
€</t>
  </si>
  <si>
    <t>NRP Nr.</t>
  </si>
  <si>
    <t>Access to Essential Services - Education Projects</t>
  </si>
  <si>
    <t>SDG Addressed
(Goal&amp;Target)</t>
  </si>
  <si>
    <t>Target Group</t>
  </si>
  <si>
    <t>Number</t>
  </si>
  <si>
    <t>Project lifetime or budgetted years</t>
  </si>
  <si>
    <t>Access to Essential Services - Healthcare Projects</t>
  </si>
  <si>
    <t>e.g. Underserved households (from Sustainability Bond Framework)</t>
  </si>
  <si>
    <t xml:space="preserve">Employment Generation and Socio-economic Advancement and Empowerment </t>
  </si>
  <si>
    <t>The proportion of pupils with subsidized meals</t>
  </si>
  <si>
    <t>The number of children with a subsidy for kindergarten</t>
  </si>
  <si>
    <t>Number of education infrastructures benefiting from the eligible projects</t>
  </si>
  <si>
    <t>3311-11-0002</t>
  </si>
  <si>
    <t>A measure to increase the involvement of children in pre-school education programs</t>
  </si>
  <si>
    <t>4. Quality education</t>
  </si>
  <si>
    <t>All population</t>
  </si>
  <si>
    <t>In year 2021: 16.682 children with a subsidy; about 18,5% children received a subsidy.</t>
  </si>
  <si>
    <t>3311-11-0016</t>
  </si>
  <si>
    <t>Regression of nutrition to pupils-primary school</t>
  </si>
  <si>
    <t>3. Good health and well-being</t>
  </si>
  <si>
    <t>Socially disadvantaged pupils</t>
  </si>
  <si>
    <t>Lunch subsidy: 53% of registered pupils (or 52% of enrolled pupils); 
Dinner subsidy: 29% of registered pupils (or 23% of enrolled pupils).</t>
  </si>
  <si>
    <t>3311-11-0019</t>
  </si>
  <si>
    <t>Regression of nutrition to pupils-secondary school</t>
  </si>
  <si>
    <t>Lunch subsidy: 63% of registered students (or 40% of enrolled students) received a subsidy.</t>
  </si>
  <si>
    <t>3330-18-0061</t>
  </si>
  <si>
    <t>Construction of the Science Center as a demonstration facility</t>
  </si>
  <si>
    <t>2611-16-8113</t>
  </si>
  <si>
    <t>Employment promotion - Zaposli.me</t>
  </si>
  <si>
    <t>10.	Reduced inequalities</t>
  </si>
  <si>
    <t>unemployed</t>
  </si>
  <si>
    <t>2611-16-8111</t>
  </si>
  <si>
    <t>On the job training</t>
  </si>
  <si>
    <t>2611-16-8112</t>
  </si>
  <si>
    <t>Non-formal training and education</t>
  </si>
  <si>
    <t>2611-17-8115</t>
  </si>
  <si>
    <t>Practical Employment Promotion Programs  (MIC)</t>
  </si>
  <si>
    <t>2611-17-8114</t>
  </si>
  <si>
    <t>Management and development  of employees whose employment is endangered in Podravje region</t>
  </si>
  <si>
    <t>job seekers</t>
  </si>
  <si>
    <t>2611-18-8117</t>
  </si>
  <si>
    <t>Promoting the involvement of people facing loss of employment in the labor market - Ready for change</t>
  </si>
  <si>
    <t>2611-18-8116</t>
  </si>
  <si>
    <t>Promoting the employment of the eldery - Active until the retirement</t>
  </si>
  <si>
    <t>2611-16-8121</t>
  </si>
  <si>
    <t>Provision of servicies for the unemployed, job seekers and employers</t>
  </si>
  <si>
    <t>unemployed, job seekers, employers</t>
  </si>
  <si>
    <t>2611-16-8211</t>
  </si>
  <si>
    <t>Strenghtening advisory work with young people in the Enployment service RS</t>
  </si>
  <si>
    <t>2611-16-8213</t>
  </si>
  <si>
    <t>Non-formal training and education for young people</t>
  </si>
  <si>
    <t>2611-16-8214</t>
  </si>
  <si>
    <t>On the job training – the youth</t>
  </si>
  <si>
    <t>2611-17-8215</t>
  </si>
  <si>
    <t>Incentives for sustainable jouth employment</t>
  </si>
  <si>
    <t>2611-16-9121</t>
  </si>
  <si>
    <t>Project learning for young adults (PUM-O)</t>
  </si>
  <si>
    <t>2611-19-9121</t>
  </si>
  <si>
    <t>»AS – Activate yourself!«</t>
  </si>
  <si>
    <t>unemployed, inactive</t>
  </si>
  <si>
    <t>2611-19-9122</t>
  </si>
  <si>
    <t>Borštnikov program of social activation</t>
  </si>
  <si>
    <t>2611-19-9123</t>
  </si>
  <si>
    <t>ŽIVA SREČA - PIKAPOLONICA</t>
  </si>
  <si>
    <t>2611-19-9124</t>
  </si>
  <si>
    <t>Use your potential</t>
  </si>
  <si>
    <t>2611-19-9125</t>
  </si>
  <si>
    <t>Motivatio – Responsibility – Changes - Sustainability</t>
  </si>
  <si>
    <t>2611-19-9126</t>
  </si>
  <si>
    <t>Social activation of women from Albanian cultural area: Aktivno živim v Sloveniji</t>
  </si>
  <si>
    <t>unemployed, inactive, migrants</t>
  </si>
  <si>
    <t>2611-19-9127</t>
  </si>
  <si>
    <t>Network approach to empowering voulnerable target groups and approaching the labor market in the Pomurje region</t>
  </si>
  <si>
    <t>2611-19-9128</t>
  </si>
  <si>
    <t>Social activation of Albanian speaking women 2019–2022</t>
  </si>
  <si>
    <t>2611-19-9129</t>
  </si>
  <si>
    <t>Social activation in Posavje 2019 – 2022</t>
  </si>
  <si>
    <t>2611-19-9130</t>
  </si>
  <si>
    <t>For equality, for employment, for women, for Roma women</t>
  </si>
  <si>
    <t>unemployed, inactive, Roma minority</t>
  </si>
  <si>
    <t>2611-19-9131</t>
  </si>
  <si>
    <t>Social activation of Zasavje</t>
  </si>
  <si>
    <t>2611-19-9132</t>
  </si>
  <si>
    <t>Activate yourself in Novo mesto and Črnomelj</t>
  </si>
  <si>
    <t>2611-19-9133</t>
  </si>
  <si>
    <t>I can do it alone - women</t>
  </si>
  <si>
    <t>2611-19-9134</t>
  </si>
  <si>
    <t>Trust yourself - Patja andi tute”</t>
  </si>
  <si>
    <t>2611-19-9135</t>
  </si>
  <si>
    <t>Active for future – social activation Kočevsko 2019-2022</t>
  </si>
  <si>
    <t>2611-19-9136</t>
  </si>
  <si>
    <t>With competencies to greater employment oportunities</t>
  </si>
  <si>
    <t>2611-19-9137</t>
  </si>
  <si>
    <t>Active Relationships II - Empowerment and Social Activation of Migrant Women</t>
  </si>
  <si>
    <t>2611-19-9138</t>
  </si>
  <si>
    <t>Social activation of Gorenjska</t>
  </si>
  <si>
    <t>2611-19-9139</t>
  </si>
  <si>
    <t>PARTICIPATION point</t>
  </si>
  <si>
    <t>2611-19-9140</t>
  </si>
  <si>
    <t>Through cross-sectoral integration to improve employability</t>
  </si>
  <si>
    <t>2611-17-9122</t>
  </si>
  <si>
    <t>The transition of young people</t>
  </si>
  <si>
    <t>inactive, persons with disabilities</t>
  </si>
  <si>
    <t>2611-17-9123</t>
  </si>
  <si>
    <t>Multipurpose Roma center - DROM Krško</t>
  </si>
  <si>
    <t>Roma minority</t>
  </si>
  <si>
    <t>2611-17-9124</t>
  </si>
  <si>
    <t>Multipurpose Roma station</t>
  </si>
  <si>
    <t>2611-17-9125</t>
  </si>
  <si>
    <t>Multipurpose Roma center KOČEVJE - KHAMESKORO KHER KOČEVJE</t>
  </si>
  <si>
    <t>2611-17-9126</t>
  </si>
  <si>
    <t>Multipurpose Roma center VEJAR</t>
  </si>
  <si>
    <t>2611-17-9127</t>
  </si>
  <si>
    <t>Multipurpose Roma center - Črnomelj</t>
  </si>
  <si>
    <t>2611-17-9128</t>
  </si>
  <si>
    <t>Multipurpose Roma center Novo mesto</t>
  </si>
  <si>
    <t>2611-17-9129</t>
  </si>
  <si>
    <t>Multipurpose Roma center Dolinsko</t>
  </si>
  <si>
    <t>2611-20-9216</t>
  </si>
  <si>
    <t>Social inclusion of people with disabilities KRZS - ŽELVA</t>
  </si>
  <si>
    <t>persons with disabilities</t>
  </si>
  <si>
    <t>2611-20-9215</t>
  </si>
  <si>
    <t>Social inclusion of people with disabilities KRVS - VDC POLŽ</t>
  </si>
  <si>
    <t>2611-20-9214</t>
  </si>
  <si>
    <t>Doma Kras</t>
  </si>
  <si>
    <t>2611-20-9217</t>
  </si>
  <si>
    <t>Deinstitutionalisation CUDV Črna na Koroškem</t>
  </si>
  <si>
    <t>2611-17-9411</t>
  </si>
  <si>
    <t>Learning workshops</t>
  </si>
  <si>
    <t>unemployed, persons with disabilities</t>
  </si>
  <si>
    <t>2611-18-9412</t>
  </si>
  <si>
    <t>SocioLab</t>
  </si>
  <si>
    <t>social 
enterprises, unemployed, inactive</t>
  </si>
  <si>
    <t>3330-19-0049</t>
  </si>
  <si>
    <t>Multipurpose school building BIC Ljubljana</t>
  </si>
  <si>
    <t>Implementation of the Integrated Territorial Investment Mechanism (ESRR VZHOD)</t>
  </si>
  <si>
    <t>Implementation of the Integrated Territorial Investment Mechanism (ESRR ZAHOD)</t>
  </si>
  <si>
    <t>Implementation of the Integrated Territorial Investment Mechanism (KS)</t>
  </si>
  <si>
    <t>Agreement on regional development (ESRR VZHOD)</t>
  </si>
  <si>
    <t>Agreement on regional development (ESRR ZAHOD)</t>
  </si>
  <si>
    <t>2430-17-0021</t>
  </si>
  <si>
    <t>Soft measures for sustainable mobility</t>
  </si>
  <si>
    <t>2711-02-0001</t>
  </si>
  <si>
    <t>Equipment for several public health institutions</t>
  </si>
  <si>
    <t>2711-10-0009</t>
  </si>
  <si>
    <t>Health Dispatch Center</t>
  </si>
  <si>
    <t>2711-16-0001</t>
  </si>
  <si>
    <t>ZIM Stara gora</t>
  </si>
  <si>
    <t>2711-17-0001</t>
  </si>
  <si>
    <t>Regulation and development of the health care system</t>
  </si>
  <si>
    <t>2711-17-0009</t>
  </si>
  <si>
    <t>Implementation of tasks in the field of public health</t>
  </si>
  <si>
    <t>2711-17-0010</t>
  </si>
  <si>
    <t>Monitoring the effects of the environment on health</t>
  </si>
  <si>
    <t>2711-17-0012</t>
  </si>
  <si>
    <t>Transplants, transfusions, compensation (vaccines, blood)</t>
  </si>
  <si>
    <t>2711-17-0013</t>
  </si>
  <si>
    <t>Operation of emergency medical services and health care</t>
  </si>
  <si>
    <t>2711-17-0014</t>
  </si>
  <si>
    <t>Health care of the uninsured and soc.endangered</t>
  </si>
  <si>
    <t>2711-17-0029</t>
  </si>
  <si>
    <t>SB Trbovlje - renovation of the hospital pharmacy</t>
  </si>
  <si>
    <t>2711-17-0035</t>
  </si>
  <si>
    <t>Postgraduate training of health professionals</t>
  </si>
  <si>
    <t>2711-17-0038</t>
  </si>
  <si>
    <t>UKC Maribor - purchase of a coronarograph</t>
  </si>
  <si>
    <t>2711-18-0002</t>
  </si>
  <si>
    <t>Mental health and drug addiction</t>
  </si>
  <si>
    <t>2711-18-0003</t>
  </si>
  <si>
    <t>Management of chronic non-communicable diseases</t>
  </si>
  <si>
    <t>2711-18-0011</t>
  </si>
  <si>
    <t>UKC Ljubljana - Expansion of the EINT Gynecology Clinic</t>
  </si>
  <si>
    <t>2711-18-0014</t>
  </si>
  <si>
    <t>SB Celje - renovation of the hospital pharmacy</t>
  </si>
  <si>
    <t>2711-18-0036</t>
  </si>
  <si>
    <t>OP Valdoltra - renovation of the hospital pharmacy</t>
  </si>
  <si>
    <t>2711-18-0046</t>
  </si>
  <si>
    <t>UKC Maribor - expansion of EPINT Clinic for Pediatrics</t>
  </si>
  <si>
    <t>2711-18-0047</t>
  </si>
  <si>
    <t>B Postojna - renovation of the hospital pharmacy</t>
  </si>
  <si>
    <t>2711-18-0054</t>
  </si>
  <si>
    <t>SB Brežice - arrangement of several departments</t>
  </si>
  <si>
    <t>2711-18-0055</t>
  </si>
  <si>
    <t>SB Jesenice - renovation of the hospital pharmacy</t>
  </si>
  <si>
    <t>2711-18-0056</t>
  </si>
  <si>
    <t>SB Ptuj - transformer station and generator</t>
  </si>
  <si>
    <t>2711-19-0001</t>
  </si>
  <si>
    <t>SB Nova Gorica - Arrangement of fecal sewage</t>
  </si>
  <si>
    <t>2711-19-0002</t>
  </si>
  <si>
    <t>SB Murska Sobota - Arrangement of the dialysis section</t>
  </si>
  <si>
    <t>2711-19-0007</t>
  </si>
  <si>
    <t>Shortening waiting times in healthcare</t>
  </si>
  <si>
    <t>2711-19-0008</t>
  </si>
  <si>
    <t>Energy remediation - SB Celje</t>
  </si>
  <si>
    <t>2711-19-0009</t>
  </si>
  <si>
    <t>Energy remediation - SB Jesenice</t>
  </si>
  <si>
    <t>2711-19-0010</t>
  </si>
  <si>
    <t>SB Jesenice - fire remediation</t>
  </si>
  <si>
    <t>2711-20-0001</t>
  </si>
  <si>
    <t>Informatization and equipment of MoH 2020 - 2023</t>
  </si>
  <si>
    <t>2711-20-0002</t>
  </si>
  <si>
    <t>Measures to control infectious diseases</t>
  </si>
  <si>
    <t>2711-20-0010</t>
  </si>
  <si>
    <t>Contributions to Health Law Article 39 ZIUZEOP COVID-19</t>
  </si>
  <si>
    <t>2711-20-0011</t>
  </si>
  <si>
    <t>Reimbursements of compulsory health insurance benefits - COVID-19</t>
  </si>
  <si>
    <t>2711-20-0015</t>
  </si>
  <si>
    <t>Accommodation and transportation COVID-19</t>
  </si>
  <si>
    <t>2711-20-0016</t>
  </si>
  <si>
    <t>Public information COVID-19</t>
  </si>
  <si>
    <t>2711-20-0018</t>
  </si>
  <si>
    <t>Crisis professional activities MZ - COVID-19</t>
  </si>
  <si>
    <t>2711-20-0019</t>
  </si>
  <si>
    <t>Testing and microbiological investigations - COVID-19</t>
  </si>
  <si>
    <t>2711-20-0021</t>
  </si>
  <si>
    <t>SB Nova Gorica - Nursing COVID-19 department</t>
  </si>
  <si>
    <t>2711-20-0022</t>
  </si>
  <si>
    <t>SB Nova Gorica - COVID-19 department</t>
  </si>
  <si>
    <t>2711-20-0026</t>
  </si>
  <si>
    <t>COVID work allowance Article 56 ZZUOOP COVID-19</t>
  </si>
  <si>
    <t>2711-20-0027</t>
  </si>
  <si>
    <t>Influenza vaccination Article 38 ZZUOOP COVID-19</t>
  </si>
  <si>
    <t>2711-20-1009</t>
  </si>
  <si>
    <t>Purchase of medicines for COVID-19</t>
  </si>
  <si>
    <t>2711-21-0025</t>
  </si>
  <si>
    <t>Health services Article 31 ZIUPOPDVE COVID-19</t>
  </si>
  <si>
    <t>2711-21-0026</t>
  </si>
  <si>
    <t>Short-term sick leave Article 20 ZZUOOP COVID-19</t>
  </si>
  <si>
    <t>2711-21-0028</t>
  </si>
  <si>
    <t>Storage of vaccines Article 31 ZIUPOPDVE - COVID-19</t>
  </si>
  <si>
    <t>2711-21-0035</t>
  </si>
  <si>
    <t>NC CRSS - arrangement of the premises of the national center</t>
  </si>
  <si>
    <t>2711-94-0001</t>
  </si>
  <si>
    <t>UKC Ljubljana - DTS and HB</t>
  </si>
  <si>
    <t>2711-94-0006</t>
  </si>
  <si>
    <t>Oncology Institute Ljubljana - Phase I.</t>
  </si>
  <si>
    <t>2711-94-0010</t>
  </si>
  <si>
    <t>SB Celje - hospital wards and new construction</t>
  </si>
  <si>
    <t>2711-94-0034</t>
  </si>
  <si>
    <t>Investment preparation and land purchases</t>
  </si>
  <si>
    <t>2711-99-0004</t>
  </si>
  <si>
    <t>Fire safety remediation</t>
  </si>
  <si>
    <t>Number of institutions benefiting from the investments</t>
  </si>
  <si>
    <t>Expected increase of bed capacity</t>
  </si>
  <si>
    <t>Nr of new medical equipments</t>
  </si>
  <si>
    <t>kWh of energy efficiency</t>
  </si>
  <si>
    <t xml:space="preserve">Number of  trained health-care professionals </t>
  </si>
  <si>
    <t>Number of public tenders/campaigns/ activities/ COVID test</t>
  </si>
  <si>
    <t xml:space="preserve">2431-16-0019  </t>
  </si>
  <si>
    <t>2431-16-0010</t>
  </si>
  <si>
    <t>2431-20-0025</t>
  </si>
  <si>
    <t>2431-21-0134</t>
  </si>
  <si>
    <t>2431-16-0007</t>
  </si>
  <si>
    <t>2431-16-0006</t>
  </si>
  <si>
    <t>Portfolio of projects nr. 177</t>
  </si>
  <si>
    <t>Portfolio of projects nr. 178</t>
  </si>
  <si>
    <t>Portfolio of projects nr. 179</t>
  </si>
  <si>
    <t>Portfolio of projects nr. 180</t>
  </si>
  <si>
    <t>Portfolio of projects nr. 181</t>
  </si>
  <si>
    <t>NRP</t>
  </si>
  <si>
    <t>2020</t>
  </si>
  <si>
    <t>2021</t>
  </si>
  <si>
    <t>2430-19-0205</t>
  </si>
  <si>
    <t>Ureditev mreže kolesarskih povezav v Mestni občini Celje</t>
  </si>
  <si>
    <t>Project nr. 177 Implementation of the Integrated Territorial Investment Mechanism (ESRR VZHOD)</t>
  </si>
  <si>
    <t>2430-19-0204</t>
  </si>
  <si>
    <t>Ureditev kolesarske infrastrukture med MČ in KS v MO Maribor</t>
  </si>
  <si>
    <t>2430-20-0200</t>
  </si>
  <si>
    <t>CTN Mestno kolesarsko omrežje – zahod</t>
  </si>
  <si>
    <t>2430-21-0203</t>
  </si>
  <si>
    <t>Trajnostna mobilnost MO SG</t>
  </si>
  <si>
    <t>2430-21-0113</t>
  </si>
  <si>
    <t>Upravljanje mobilnosti v Mestni občini Celje</t>
  </si>
  <si>
    <t>2430-18-0202</t>
  </si>
  <si>
    <t>Kolesarske povezave v Kranju 1-6</t>
  </si>
  <si>
    <t>Project nr. 178 Implementation of the Integrated Territorial Investment Mechanism (ESRR ZAHOD)</t>
  </si>
  <si>
    <t>2430-19-0200</t>
  </si>
  <si>
    <t>Ureditev kolesarske mreže MOL s sofinanciranjem ESRR (CTN) na Vodnikovi cesti.</t>
  </si>
  <si>
    <t>2430-19-0203</t>
  </si>
  <si>
    <t>Ureditev kolesarske mreže v MOL s sofinanciranjem ESRR (CTN) na območju Dunajske ceste</t>
  </si>
  <si>
    <t>2430-19-0201</t>
  </si>
  <si>
    <t>Vzpostavljanje povezanega kolesarskega omrežja Nove Gorice</t>
  </si>
  <si>
    <t>2430-19-0300</t>
  </si>
  <si>
    <t>CTN - P+R Ulica XIV. Divizije Celje</t>
  </si>
  <si>
    <t>Project nr. 179 Implementation of the Integrated Territorial Investment Mechanism (KS)</t>
  </si>
  <si>
    <t>2430-20-0203</t>
  </si>
  <si>
    <t>Ureditev površin za pešce in kolesarje na Gregorčičevem drevoredu</t>
  </si>
  <si>
    <t>2430-20-0207</t>
  </si>
  <si>
    <t>Tržaška cesta - Ureditev kolesarske mreže v MOL s sofinanciranjem Kohezijskega sklada (CTN)</t>
  </si>
  <si>
    <t>2430-20-0204</t>
  </si>
  <si>
    <t>Ureditev kolesarskega in peš nadhoda čez Titovo cesto</t>
  </si>
  <si>
    <t>2430-20-0201</t>
  </si>
  <si>
    <t>Mestno kolesarsko omrežje - center</t>
  </si>
  <si>
    <t>2430-20-0206</t>
  </si>
  <si>
    <t>Ureditev kolesarske povezave ob Koroški cesti</t>
  </si>
  <si>
    <t>2430-21-0201</t>
  </si>
  <si>
    <t>Brv in kolesarska pot - Irča vas MO NM</t>
  </si>
  <si>
    <t>2430-21-0111</t>
  </si>
  <si>
    <t>Urejanje kolesarskih povezav - 2. faza MO MS</t>
  </si>
  <si>
    <t>2430-21-0114</t>
  </si>
  <si>
    <t>Kolesarske poti Gornja Radgona, 1. faza</t>
  </si>
  <si>
    <t>Project nr. 180 Agreement on regional development (ESRR VZHOD)</t>
  </si>
  <si>
    <t>2430-21-0103</t>
  </si>
  <si>
    <t>Kolesarska povezava Krško-Soteljsko-Brestanica</t>
  </si>
  <si>
    <t>2431-20-0048</t>
  </si>
  <si>
    <t>Kolesarska povezava med Prevaljami in Mežico, odsek Prevalje-Poljana</t>
  </si>
  <si>
    <t>2431-19-0047</t>
  </si>
  <si>
    <t>Kolesarska povezava ob R2-420 Brežice-Dobova</t>
  </si>
  <si>
    <t>2430-21-0109</t>
  </si>
  <si>
    <t>Kolesarsko omrežje Turnišče-Dobrovnik-Lendava</t>
  </si>
  <si>
    <t>2430-21-0123</t>
  </si>
  <si>
    <t>Regionalna kolesarska povezava Novo mesto - Straža</t>
  </si>
  <si>
    <t>2430-21-0121</t>
  </si>
  <si>
    <t>Regionalna kolesarska povezava Trebnje - Mirna - Mokronog</t>
  </si>
  <si>
    <t>2430-21-0112</t>
  </si>
  <si>
    <t>Ureditev kolesarskih povezav v občini Kočevje</t>
  </si>
  <si>
    <t>2430-21-0101</t>
  </si>
  <si>
    <t>Izgradnja hodnika in kolesarske steze Cerknica - Dolenje Jezero</t>
  </si>
  <si>
    <t>2430-21-0110</t>
  </si>
  <si>
    <t>Izgradnja kolesarske povezave Lendava - Dobrovnik - Kobilje</t>
  </si>
  <si>
    <t>2430-21-0128</t>
  </si>
  <si>
    <t xml:space="preserve">Izvedba kolesarskih površin v Trbovljah  </t>
  </si>
  <si>
    <t>2430-21-0102</t>
  </si>
  <si>
    <t>Južna kolesarska povezava v Občini Beltinci in Občini Črenšovci</t>
  </si>
  <si>
    <t>2430-21-0115</t>
  </si>
  <si>
    <t>Kolesarska steza Lendava - Velika Polana - Črenšovci</t>
  </si>
  <si>
    <t>2431-21-0126</t>
  </si>
  <si>
    <t>Kolesarska povezava ob R2-419 Brežice-Krška vas in Brežice-Čatež ob Savi</t>
  </si>
  <si>
    <t>2431-19-0052</t>
  </si>
  <si>
    <t xml:space="preserve">Kolesarska steza Zagorje - Orehovica   </t>
  </si>
  <si>
    <t>2430-21-0129</t>
  </si>
  <si>
    <t xml:space="preserve">Gradnja regionalnih kolesarskih povezav za zagotavljanje trajnostne mobilnosti v Spodnjem Podravju odsek 1 Ptuj – Hajdina – Kidričevo - Majšperk </t>
  </si>
  <si>
    <t>2430-21-0125</t>
  </si>
  <si>
    <t xml:space="preserve">Gradnja regionalnih kolesarskih povezav za zagotavljanje trajnostne mobilnosti v Spodnjem Podravju odsek 2 Ptuj – Juršinci </t>
  </si>
  <si>
    <t>2430-21-0126</t>
  </si>
  <si>
    <t>Gradnja regionalnih kolesarskih povezav za zagotavljanje trajnostne mobilnosti v Spodnjem Podravju odsek3: Ptuj-Markovci-Gorišnica</t>
  </si>
  <si>
    <t>2430-21-0130</t>
  </si>
  <si>
    <t>KOLESARSKE POVEZAVE NA OBMOČJU ORP SLOVENSKE GORICE: Lenart-Cerkvenjak-Trnovska vas</t>
  </si>
  <si>
    <t>2430-21-0131</t>
  </si>
  <si>
    <t>KOLESARSKE POVEZAVE NA OBMOČJU ORP SLOVENSKE GORICE: Lenart-Sveta Ana-Trate</t>
  </si>
  <si>
    <t>2430-21-0132</t>
  </si>
  <si>
    <t>KOLESARSKE POVEZAVE NA OBMOČJU ORP SLOVENSKE GORICE: Jarenina - Lenart – Zg. Senarska</t>
  </si>
  <si>
    <t>2430-21-0133</t>
  </si>
  <si>
    <t>KOLESARSKE POVEZAVE NA OBMOČJU ORP SLOVENSKE GORICE: Lenart-Benedikt</t>
  </si>
  <si>
    <t>2431-13-0002</t>
  </si>
  <si>
    <t>KOLE Celje - Laško</t>
  </si>
  <si>
    <t>2431-20-0046</t>
  </si>
  <si>
    <t>Kolesarska pot Huda luknja</t>
  </si>
  <si>
    <t>2430-20-0208</t>
  </si>
  <si>
    <t>KOLESARSKE POVEZAVE RADOVLJICE Z ZALEDNIMI NASELJI Kolesarska povezava 2: od upravnega središča Radovljica do naselja Lesce (železniška postaja)</t>
  </si>
  <si>
    <t>Project nr. 181 Agreement on regional development (ESRR ZAHOD)</t>
  </si>
  <si>
    <t>2430-20-0209</t>
  </si>
  <si>
    <t>Kolesarske poti z javno razsvetljavo in drugo infrastrukturo</t>
  </si>
  <si>
    <t>2430-21-0116</t>
  </si>
  <si>
    <t>Kolesarska povezava Kokrica - Brdo - Predoslje</t>
  </si>
  <si>
    <t>2430-21-0118</t>
  </si>
  <si>
    <t xml:space="preserve">Kolesarska povezava Železniki–Selca </t>
  </si>
  <si>
    <t>2430-21-0100</t>
  </si>
  <si>
    <t xml:space="preserve">Ureditev kolesarske poti od mesta Litija do naselja Pogonik </t>
  </si>
  <si>
    <t>2431-19-0010</t>
  </si>
  <si>
    <t>Izgradnja kolesarske povezave D7 Robič-Kobarid-Most na Soči-Nova Gorica-Komen-Divača-Ilirska Bistrica-Jelšane
odsek Tolmin-Modrej</t>
  </si>
  <si>
    <t>2430-21-0117</t>
  </si>
  <si>
    <t xml:space="preserve">Kolesarska pot Medvode - Pirniče - Vikrče </t>
  </si>
  <si>
    <t>2430-21-0107</t>
  </si>
  <si>
    <t xml:space="preserve">Regionalna kolesarska povezava Kamnik-Mengeš-Trzin-Ljubljana </t>
  </si>
  <si>
    <t>2431-21-0128</t>
  </si>
  <si>
    <t>Barjansko kolesarsko omrežje - Občina Dobrova-Polhov Gradec - FAZA 1 IN 2</t>
  </si>
  <si>
    <t>2430-21-0104</t>
  </si>
  <si>
    <t xml:space="preserve">Gradnja kolesarskih povezav na območju Občine Ivančna gorica za zagotavljanje trajnostne mobilnosti </t>
  </si>
  <si>
    <t>2430-21-0106</t>
  </si>
  <si>
    <t>Kolesarska povezava Kamnik - Godič</t>
  </si>
  <si>
    <t>2430-21-0127</t>
  </si>
  <si>
    <t>Regijske kolesarske povezave na Krasu – Projekt GEOMOB</t>
  </si>
  <si>
    <t>2431-18-0133</t>
  </si>
  <si>
    <t>DRŽAVNO KOLESARSKO OMREŽJE GORIŠKE RAZVOJNE REGIJE – kolesarska povezava Ureditev državne kolesarske povezave na območju občine Bovec - 1., 2., 3. pododsek v 1</t>
  </si>
  <si>
    <t>Projet Nr.</t>
  </si>
  <si>
    <t>Project</t>
  </si>
  <si>
    <t>2431-18-0138</t>
  </si>
  <si>
    <t>Procurement of rolling stock</t>
  </si>
  <si>
    <t>2431-16-0020</t>
  </si>
  <si>
    <t>Installation of ERTMS / ETCS on the lines Dobova-Zidani Most and Pragersko-Šentilj</t>
  </si>
  <si>
    <t>2431-16-0011</t>
  </si>
  <si>
    <t>Low Carbon Transport</t>
  </si>
  <si>
    <t xml:space="preserve">Construction of the Science Center facility as a demonstration facility - funds in 2020 and 2021 were intended for the preparation of investment, project and other documentation. </t>
  </si>
  <si>
    <t>Second track Divača-Koper</t>
  </si>
  <si>
    <t>Rail upgrade Zidani Most-Celje section - 2nd phase</t>
  </si>
  <si>
    <t>Reconstruction of the Karavanke railway tunnel</t>
  </si>
  <si>
    <t>Upgrade of the line Ljubljana-Jesenice-d.m. - Phase 2</t>
  </si>
  <si>
    <t>Upgrade of the line Ljubljana-Jesenice-d.m. - Phase 3</t>
  </si>
  <si>
    <t>Construction II. Maribor-Šentilj track, 2nd phase</t>
  </si>
  <si>
    <t>Reconstruction of Pragersko railway station</t>
  </si>
  <si>
    <t xml:space="preserve">Rail upgrade line Poljčane-Slovenska Bistrica </t>
  </si>
  <si>
    <t>1611-19-0002</t>
  </si>
  <si>
    <t xml:space="preserve"> RS Budget Share of Total Project Financing</t>
  </si>
  <si>
    <t>Total Value of the Project - all sources of funding</t>
  </si>
  <si>
    <t>RS Budget Share of Total Project Financing</t>
  </si>
  <si>
    <t>Total Value of the Project - RS Budget as a source</t>
  </si>
  <si>
    <t>Total Value of the Project - RS Budget as a source / Regard to Possible Partial Eligibility</t>
  </si>
  <si>
    <t>Allocated Amount by the RS Budget (If the full amount of the project is/was eligible/partial eligibility not taken into account)</t>
  </si>
  <si>
    <t>Allocated Amount by the RS Budget  (If the full amount of the project is/was eligible/partial eligibility not taken into account)</t>
  </si>
  <si>
    <t>Project Category</t>
  </si>
  <si>
    <t>Low carbon transport</t>
  </si>
  <si>
    <t>Sub-category</t>
  </si>
  <si>
    <t>Year</t>
  </si>
  <si>
    <t>Rolling stocks</t>
  </si>
  <si>
    <t xml:space="preserve">Cycling  infrastructure </t>
  </si>
  <si>
    <t>2021 (€)</t>
  </si>
  <si>
    <t>Total 2020-21
 (€)</t>
  </si>
  <si>
    <t>Soft measures</t>
  </si>
  <si>
    <t>Railway infrastructure</t>
  </si>
  <si>
    <t xml:space="preserve">Low Carbon transport </t>
  </si>
  <si>
    <t>Access to essential servicies - Education</t>
  </si>
  <si>
    <t xml:space="preserve">Pre-school  </t>
  </si>
  <si>
    <t>Primary school</t>
  </si>
  <si>
    <t>Secondary school</t>
  </si>
  <si>
    <t>Construction projects</t>
  </si>
  <si>
    <t xml:space="preserve">Employment promotion and job training </t>
  </si>
  <si>
    <t>Social activation</t>
  </si>
  <si>
    <t>Motivatiom – Responsibility – Changes - Sustainability</t>
  </si>
  <si>
    <t>Access to essential servicies - Health</t>
  </si>
  <si>
    <t xml:space="preserve">Health institutins construction, renovation and equipping </t>
  </si>
  <si>
    <t>Health care system development</t>
  </si>
  <si>
    <t>Health services</t>
  </si>
  <si>
    <t>Health professionals training</t>
  </si>
  <si>
    <t>Covid 19</t>
  </si>
  <si>
    <t xml:space="preserve">Access to essential servicies - Social inclusion </t>
  </si>
  <si>
    <t xml:space="preserve">Total green and social categories: </t>
  </si>
  <si>
    <t>Share (%)</t>
  </si>
  <si>
    <t>Access to essential services - Education</t>
  </si>
  <si>
    <t>Access to essential services - Health</t>
  </si>
  <si>
    <r>
      <t>m</t>
    </r>
    <r>
      <rPr>
        <vertAlign val="superscript"/>
        <sz val="12"/>
        <color theme="1"/>
        <rFont val="Times New Roman"/>
        <family val="1"/>
        <charset val="238"/>
      </rPr>
      <t>2</t>
    </r>
  </si>
  <si>
    <t>Impact indicators</t>
  </si>
  <si>
    <t>2020 - 3.292 
2021 - 3.778</t>
  </si>
  <si>
    <t>2020 - 552 
2021 - 921</t>
  </si>
  <si>
    <t>2020- 1097
2021 - 1.932</t>
  </si>
  <si>
    <t>2020 - 52
2021 - 2</t>
  </si>
  <si>
    <t>2020 - 9
2021 - 35</t>
  </si>
  <si>
    <t>2020 - 762
2021 - 1.042</t>
  </si>
  <si>
    <t>2020 - 211
2021 - 18.487</t>
  </si>
  <si>
    <t>2020 - 65
2021 - 65</t>
  </si>
  <si>
    <t>2020 - 20
2021 - 20</t>
  </si>
  <si>
    <t>2020 - 899
2021 - 1.206</t>
  </si>
  <si>
    <t>Year -Number of participants/beneficiaries</t>
  </si>
  <si>
    <t>Year - Number of counsellors</t>
  </si>
  <si>
    <t>2020 - 976
2021 - 1.515</t>
  </si>
  <si>
    <t>2020 - 1.279
2021 - 455</t>
  </si>
  <si>
    <t>2020 - 373
2021 - 308</t>
  </si>
  <si>
    <t>2020 - 30
2021 - 60</t>
  </si>
  <si>
    <t>2020 - 31
2021 - 61</t>
  </si>
  <si>
    <t>2020 - 15
2021 - 31</t>
  </si>
  <si>
    <t>2020 - 45
2021 - 91</t>
  </si>
  <si>
    <t>2020 - 45
2021 - 86</t>
  </si>
  <si>
    <t>2020 - 15
2021 - 16</t>
  </si>
  <si>
    <t>2020 - 31
2021 - 57</t>
  </si>
  <si>
    <t>2020 - 31
2021 - 60</t>
  </si>
  <si>
    <t>2020 - 15
2021 - 30</t>
  </si>
  <si>
    <t>2020 - 35
2021 - 55</t>
  </si>
  <si>
    <t>2020 - 45
2021 - 90</t>
  </si>
  <si>
    <t>2020 - 15
2021 - 13</t>
  </si>
  <si>
    <t>2020 - 42
2021 - 84</t>
  </si>
  <si>
    <t>2020 - 482
2021 - 372</t>
  </si>
  <si>
    <t>Year - Number of activities</t>
  </si>
  <si>
    <t>2020 - 18
2021 - 24</t>
  </si>
  <si>
    <t>2020 - 25
2021 - 13</t>
  </si>
  <si>
    <t xml:space="preserve">2020 - 67
2021 - 34
</t>
  </si>
  <si>
    <t>2020 - 39
2021 - 45</t>
  </si>
  <si>
    <t>2020 - 17
2021 - 15</t>
  </si>
  <si>
    <t>2020 - 45
2021 - 10</t>
  </si>
  <si>
    <t>2020 - 33
2021 - 47</t>
  </si>
  <si>
    <t>2020 - 15 
2021 - 37</t>
  </si>
  <si>
    <t>2020 - 49
2021 - 6</t>
  </si>
  <si>
    <t>2020 - 70 
2021 - 0</t>
  </si>
  <si>
    <t>2020 - 70 
2021 - 13</t>
  </si>
  <si>
    <t>2020 - 190
2021 - 189</t>
  </si>
  <si>
    <t>2020 - 5
2021 - 12</t>
  </si>
  <si>
    <t>2020 (€)</t>
  </si>
  <si>
    <t>Brief description of the project/activity</t>
  </si>
  <si>
    <r>
      <t>in tonnes of CO</t>
    </r>
    <r>
      <rPr>
        <sz val="8"/>
        <rFont val="Times New Roman"/>
        <family val="1"/>
        <charset val="238"/>
      </rPr>
      <t xml:space="preserve">2 </t>
    </r>
    <r>
      <rPr>
        <sz val="12"/>
        <rFont val="Times New Roman"/>
        <family val="1"/>
        <charset val="238"/>
      </rPr>
      <t>equialent p.a</t>
    </r>
  </si>
  <si>
    <t>Length of new routes/tracks</t>
  </si>
  <si>
    <t>Km</t>
  </si>
  <si>
    <t>Number of new rolling stocks</t>
  </si>
  <si>
    <t>years of operation</t>
  </si>
  <si>
    <t>Lenght (km)</t>
  </si>
  <si>
    <t>Forecast 2030</t>
  </si>
  <si>
    <t>Forecast 2040</t>
  </si>
  <si>
    <t>Impact on passanger trafic (%)</t>
  </si>
  <si>
    <t>Impact on freight transport (%)</t>
  </si>
  <si>
    <t>Increase tkm/year
 2019-2030 
mio</t>
  </si>
  <si>
    <t xml:space="preserve">Increase pkm/year 
2019-2030 </t>
  </si>
  <si>
    <t>Increase tkm/year 
 2019-2040
mio</t>
  </si>
  <si>
    <t>Increase pkm/year 
 2019-2040</t>
  </si>
  <si>
    <t xml:space="preserve">Railway </t>
  </si>
  <si>
    <t>New railway</t>
  </si>
  <si>
    <t>Parallel road</t>
  </si>
  <si>
    <t>tkm/year in mio</t>
  </si>
  <si>
    <t>pkm/year</t>
  </si>
  <si>
    <t>Installation of ERTMS / ETCS on the lines Dobova-Zidani Most in Pragersko-Šentilj</t>
  </si>
  <si>
    <t>Together</t>
  </si>
  <si>
    <t>Tonnes of CO2 equialent p.a
2030</t>
  </si>
  <si>
    <r>
      <t>CO</t>
    </r>
    <r>
      <rPr>
        <b/>
        <vertAlign val="subscript"/>
        <sz val="11"/>
        <color theme="0"/>
        <rFont val="Times New Roman"/>
        <family val="1"/>
        <charset val="238"/>
      </rPr>
      <t>2</t>
    </r>
    <r>
      <rPr>
        <b/>
        <sz val="11"/>
        <color theme="0"/>
        <rFont val="Times New Roman"/>
        <family val="1"/>
        <charset val="238"/>
      </rPr>
      <t xml:space="preserve"> reductions
2030
in tons/year</t>
    </r>
  </si>
  <si>
    <r>
      <t>CO</t>
    </r>
    <r>
      <rPr>
        <b/>
        <vertAlign val="subscript"/>
        <sz val="11"/>
        <color theme="0"/>
        <rFont val="Times New Roman"/>
        <family val="1"/>
        <charset val="238"/>
      </rPr>
      <t>2</t>
    </r>
    <r>
      <rPr>
        <b/>
        <sz val="11"/>
        <color theme="0"/>
        <rFont val="Times New Roman"/>
        <family val="1"/>
        <charset val="238"/>
      </rPr>
      <t xml:space="preserve"> reductions
2040
in tons/year</t>
    </r>
  </si>
  <si>
    <t>The project "Soft measures for sustainable mobility" represents the implementation of various measures to promote sustainable mobility at the horizontal level on a national scale. The project is divided into 5 measures that will reach the maximum number of users and different target groups, namely:
- Awareness raising and promotion campaign for sustainable mobility,
- Mobility plans for institutions,
- Education on sustainable mobility for kindergartens and primary schools,
- Green urban logistics,
- Sustainable parking policy, restriction of traffic in city centers and the use of modern technologies for mobility management.</t>
  </si>
  <si>
    <t>The subject of co-financing are projects that contribute to the implementation of measures for promoting low-carbon strategies in all types of areas, especially in urban areas, including the promotion of sustainable multimodal urban mobility and appropriate mitigation and adaptation measures and the implementation of the measures set out in Sustainable Urban Mobility Plans (SUMPs) of urban municipalities. This includes construction projects of Park and Ride (P+R) nodes, construction projects of cycling and pedestrian infrastructure, projects in the field of infrastructure for public urban passenger transport (bus stations, bus stops) and projects for urban mobility management and development of the use of modern technologies. This portfolio includes relevant projects in the cohesion region Vzhodna Slovenija.</t>
  </si>
  <si>
    <t>The subject of co-financing are projects that contribute to the implementation of measures for promoting low-carbon strategies in all types of areas, especially in urban areas, including the promotion of sustainable multimodal urban mobility and appropriate mitigation and adaptation measures and the implementation of the measures set out in Sustainable Urban Mobility Plans (SUMPs) of urban municipalities. This includes construction projects of Park and Ride (P+R) nodes, construction projects of cycling and pedestrian infrastructure, projects in the field of infrastructure for public urban passenger transport (bus stations, bus stops) and projects for urban mobility management and development of the use of modern technologies. This portfolio includes relevant projects in the cohesion region Zahodna Slovenija.</t>
  </si>
  <si>
    <t>The subject of co-financing are projects that contribute to the implementation of measures for promoting low-carbon strategies in all types of areas, especially in urban areas, including the promotion of sustainable multimodal urban mobility and appropriate mitigation and adaptation measures and the implementation of the measures set out in Sustainable Urban Mobility Plans (SUMPs) of urban municipalities. This includes construction projects of Park and Ride (P+R) nodes, construction projects of cycling and pedestrian infrastructure, projects in the field of infrastructure for public urban passenger transport (bus stations, bus stops) and projects for urban mobility management and development of the use of modern technologies. This portfolio includes relevant projects across the country (Celotna Slovenija).</t>
  </si>
  <si>
    <t>The subject of co-financing are projects that were recognized by Slovenian Regional Development Agencies as the most important regional, interregional and / or sectoral projects for each Slovenian region, which will enable the exploitation of the most important development potentials and advantages of each region. Inside the Investment priority 4.4 »Promoting multimodal urban mobility« the co-financed projects are mainly the construction of regional cycling connections to ensure sustainable mobility, such as daily migration by bicycle up to 20 km from a destination in an urban settlement of a municipality with an adopted Sustainable Urban Mobility Plan (SUMP). This portfolio includes relevant projects in the cohesion region Vzhodna Slovenija.</t>
  </si>
  <si>
    <t>The subject of co-financing are projects that were recognized by Slovenian Regional Development Agencies as the most important regional, interregional and / or sectoral projects for each Slovenian region, which will enable the exploitation of the most important development potentials and advantages of each region. Inside the Investment priority 4.4 »Promoting multimodal urban mobility« the co-financed projects are mainly the construction of regional cycling connections to ensure sustainable mobility, such as daily migration by bicycle up to 20 km from a destination in an urban settlement of a municipality with an adopted Sustainable Urban Mobility Plan (SUMP). This portfolio includes relevant projects in the cohesion region Zahodna Slovenija.</t>
  </si>
  <si>
    <t>Procedures were carried out for the procurement of medical and other equipment for public health care institutions founded by the Republic of Slovenia. The completed purchases replaced worn-out equipment, as well as a few pieces of equipment that represent the introduction of new medical technologies.</t>
  </si>
  <si>
    <t>The main goals of the investment are: the establishment of a health dispatch service according to established international standards, which will ensure equal access to emergency medical care, emergency, non-emergency and ambulance transport of patients throughout the country. Improve the quality of emergency medical services with an emphasis on improving long-term survival and quality of survival in cases of community-acquired heart failure and other life-threatening conditions. Reduce the costs of emergency medical care and improve the readiness of health care to operate in emergency situations by establishing comprehensive monitoring of the state of the system and the capacity to implement operational crisis management.</t>
  </si>
  <si>
    <t>The purpose of the investment is the construction of new premises for the implementation of medical activities within the General Hospital -Dr. Franca Derganca- Nova Gorica, namely the replacement and supplementation of the capacities of the Department for Disabled Youth.</t>
  </si>
  <si>
    <t>Activities include support for the implementation of comprehensive systemic legislative changes in the areas of funding, organization and effective governance, and the provision of health care and long-term care.</t>
  </si>
  <si>
    <t>Funds are provided for the provision of public service in the field of public health activities, which is performed by the National Institute of Public Health (NIJZ) in accordance with the Health Activity Act. The content and scope of tasks shall be determined in the annual work program approved by the Ministry. Professional and development tasks in the field of worker protection are co-financed.</t>
  </si>
  <si>
    <t>The measure ensures the implementation of the annual work program of the National Laboratory for Health, Environment and Food, which, based on the provisions of the ZZDej, performs a public service in the field of public health. Tasks are defined in 23 c. Article ZZDej, which includes, among other things, the implementation of drinking water monitoring and a comprehensive environmental impact assessment.</t>
  </si>
  <si>
    <t>As part of the transfusion and transplantation activities, we will perform the following activities: blood supply as part of the transfusion activity (performed by the Institute of Transfusion Medicine and, to a lesser extent, transfusion centers at the University Medical Center Maribor and the Celje General Hospital), which includes planning, collection, processing, testing, storage, distribution, treatment and even and sufficient supply of the population with blood and blood products (ie blood plasma drugs) and trade in them, providing a sufficient amount of blood for the needs of the Republic of Slovenia through blood donation campaigns (carried out by the Red Cross), development , promotion and coordination of transplantation activity in Slovenia (performed by Slovenija Transplant).</t>
  </si>
  <si>
    <t>The purpose of the measure is to provide conditions for the operation and development of the emergency medical care system, the development of system solutions and other tasks that affect the entire system of health care in the event of natural and other disasters in the Republic of Slovenia.</t>
  </si>
  <si>
    <t>Within the measure, activities will be carried out to include socially endangered persons in the health care system by covering the difference to the full value of health services to beneficiaries of financial social assistance.</t>
  </si>
  <si>
    <t>The purpose of the investment is to provide the spatial and equipment conditions for performing the hospital pharmacy activity by carrying out the adaptation of the existing premises of the hospital pharmacy and by acquiring additional spatial areas.</t>
  </si>
  <si>
    <t>Providing conditions for the qualification of health care workers and associates for independent work in the health care activity.</t>
  </si>
  <si>
    <t>The purpose of the investment is to provide the necessary apparatus for performing coronary angiographic examinations in the Department of Cardiology and Angiology.</t>
  </si>
  <si>
    <t>The measure ensures the implementation of prevention programs of governmental and non-governmental organizations for the implementation of strategies, national programs and objectives of legislation and adopted strategic documents in the field of prevention and control of KNB, including regular monitoring and evaluation of programs for effectiveness. With environmental risks and injuries, early detection and comprehensive treatment of patients.</t>
  </si>
  <si>
    <t>The purpose of the investment is to perform construction, craft and installation works and equipment for the expansion of the Neonatal Intensive Care Unit (EINT) of the Gynecology Clinic of the University Medical Center Ljubljana and the arrangement of replacement sterilization of the Gynecology Clinic in the central sterilization of the University Medical Center Ljubljana.</t>
  </si>
  <si>
    <t>The purpose of the investment is to provide appropriate conditions regarding the premises and equipment for performing hospital pharmacy activities and consequently to regulate the conditions for aseptic work in the hospital pharmacy of the General Hospital Celje.</t>
  </si>
  <si>
    <t>The aim of the investment is to arrange the premises of the hospital pharmacy to obtain verification.</t>
  </si>
  <si>
    <t>The purpose of the investment is the reconstruction of the premises of the Intensive Care Unit at the Pediatric Clinic of the University Medical Center Maribor and the purchase of furniture and medical equipment. The aim of the investment is to arrange the premises in accordance with the doctrine of safe and professional treatment of the most seriously ill children.</t>
  </si>
  <si>
    <t>The purpose of the investment is to meet the space and equipment conditions for performing hospital pharmacy activities and obtaining verification.</t>
  </si>
  <si>
    <t>The goal of the investment is the construction of a transformer station 20 / 0.4 kV, 1000 kVA and the purchase of a diesel generator with the aim of ensuring a quality supply of electricity in SB Ptuj. The purpose of the investment is to provide minimum conditions and standards for the normal operation of the hospital, to ensure sufficient, quality and stable power supply, which is a prerequisite for the normal operation and implementation of the hospital program.</t>
  </si>
  <si>
    <t>The aim of the investment is to rehabilitate the identified weaknesses of the existing system in the field of waste water collection, discharge or treatment, to harmonize the system with the requirements of the environmental permit and to improve the conditions for the protection of water against pollution.</t>
  </si>
  <si>
    <t>The aim of the investment is to provide a modern arrangement of all dialysis rooms and associated ancillary and auxiliary rooms of the department, which will be used for outpatient and inpatient patients in need of dialysis.</t>
  </si>
  <si>
    <t>The project refers to a private national regulation for the selection of the most favorable bidders for the implementation of selected health programs for 2020 in 2021, which will include services with inadmissibly waiting patients for all levels of urgency.</t>
  </si>
  <si>
    <t>The aim of the investment project is to implement measures for the comprehensive energy renovation of the Central Hospital building in SB Celje, with the aim of functional improvement of the building, improvement of energy performance of the building, reduction of energy consumption costs and reduction of negative environmental impacts.</t>
  </si>
  <si>
    <t>The purpose of the investment is a comprehensive energy renovation of buildings, reduction of heat losses of buildings and reduction of primary energy consumption, lower energy consumption costs, improving the reliability of the energy system and improving working conditions in terms of microclimatic conditions.</t>
  </si>
  <si>
    <t>The aim of the investment is to eliminate technical or safety deficiencies of the existing condition of architectural designs, building elements in the installation systems of buildings, ensure adequate fire safety and environmental sustainability of renovated buildings and eliminate safety risks of the existing condition.</t>
  </si>
  <si>
    <t>The project is intended to provide material equipment and thus conditions for the operation and implementation of the tasks of the Ministry of Health. The project includes the purchase of equipment for normal operation of employees at the Ministry of Health from office furniture, telephone and mobile devices, multifunctional devices, devices for cutting and destroying materials, security equipment, other office devices and fixed assets and a company car.</t>
  </si>
  <si>
    <t>The measure has three objectives, namely to maintain and strengthen the health of the population in the areas of nutrition, exercise, alcohol, diabetes, HIV, cancer, injuries and addiction prevention, and the objective of this measure public procurement of Member States for the reservation or purchase of a pandemic influenza vaccine (Decision of the Government of the Republic of Slovenia No. 43000-7 / 2017/3, dated 20 April 2017), this measure also ensures the implementation of measures and activities in the field of vaccination.</t>
  </si>
  <si>
    <t>Article 39 of the Act on Intervention Measures to Contain the Covid-19 Epidemic and Mitigate Its Consequences for Citizens and the Economy (hereinafter: the Act) provides for the settlement of the Republic of Slovenia's obligations under Articles 28 and 38 to the Health Insurance Institute of Slovenia. settlements of contributions submitted by the Financial Administration of the Republic of Slovenia. Article 28 of the Act stipulates in the second paragraph that contributions for all exempt social insurance for workers who are justifiably temporarily absent from work or workers who do not work due to force majeure and receive salary compensation under this Act shall be paid in full by the Republic of Slovenia. Article 38 of the Act stipulates that exempt social contributions for self-employed persons, religious employees, partners and farmers are fully provided by the Republic of Slovenia.</t>
  </si>
  <si>
    <t>Article 56 of the Intervention Measures Act to curb the Covid-19 epidemic and mitigate its consequences for citizens and the economy (hereinafter: the Act) stipulates that insured persons referred to in Article 28 of the ZZVZZ who are entitled to compensation during the temporary abstinence from work due to illness or injury at their own expense or at the expense of the employer (hereinafter: OZZ compensation) or the right to OZZ compensation is acquired after the entry into force of the law, OZZ compensation is covered from compulsory health insurance. The Health Insurance Institute of Slovenia reimburses the OZZ paid to the employer or pays OZZ compensation to the independent taxpayer, while the Republic of Slovenia reimburses the OZZ paid to the Health Insurance Institute of Slovenia from the budget of the Republic of Slovenia.</t>
  </si>
  <si>
    <t>Article 43 of the Temporary Measures for Mitigation and Elimination of Consequences Act (hereinafter: ZZUOOP) provides for the provision of accommodation facilities for persons who cannot provide a measure of isolation (isolation) in accordance with Article 18 of their permanent or temporary residence or other primary premises. Article of the ZNB or quarantine at home in accordance with Article 10 of this Act. Article 44 of the ZZUOPP enables persons who live in an accommodation facility due to the implementation of the quarantine measure at home and cannot provide their own transport, medical transport in a way that prevents the transmission of the SARS-CoV-2 virus.</t>
  </si>
  <si>
    <t>The measure ensures the development of communication tools and the implementation of campaigns to raise public awareness of the importance of respecting preventive measures to prevent the spread of infection, with an emphasis on supporting vulnerable groups.</t>
  </si>
  <si>
    <t>Activities include support in the development of systemic measures and activities in the field of organization of health care and long-term care, which also provides advice and professional assistance to the Ministry in developing measures to manage crisis situations in controlling and controlling the SARS-COV-2 epidemic.</t>
  </si>
  <si>
    <t>The Government of the Republic of Slovenia to health care providers for the duration of the epidemic of the infectious disease SARS-CoV-2 (COVID-19) in the territory of the Republic of Slovenia, ie. from 12 March 2020 to 31 May 2020, to cover the cost of swabs to confirm SARS-CoV-2 virus infection from the general budget provision, provide spending rights. Payments to health care providers for costs are made through the Health Insurance Institute of Slovenia.</t>
  </si>
  <si>
    <t>The objectives of the planned investment are: to ensure safe and professional treatment of patients with SARS-CoV-2 infection, to locate the ward separately from other activities, to maintain the smooth operation of other hospital wards by performing the necessary construction and installation work for arrangement of the department.</t>
  </si>
  <si>
    <t>The purpose of the investment is to arrange the premises of the COVID-19 department (16 beds) in an unfinished space as part of the second phase of construction of the Emergency Center. The department will be dedicated to inpatient treatment of patients with COVID-19 disease, namely the treatment of the most difficult patients, which would take place in one place, isolated from other patients in the hospital.</t>
  </si>
  <si>
    <t>The allowance is provided to employees who work directly with patients or users suffering from COVID-19 from the budget of the Republic of Slovenia in the amount of 30% of the hourly rate of the employee's basic salary for working hours when COVID-19 was exposed at work, but at a time when no declared epidemic.</t>
  </si>
  <si>
    <t>Protecting the population against influenza virus infection and relieving the health system during the COVID-19 epidemic.</t>
  </si>
  <si>
    <t>Article 31 of the Intervention Measures Act to help mitigate the consequences of the second wave of the COVID-19 epidemic enables providers who are contractual partners of the Health Insurance Institute of Slovenia (hereinafter: ZZZS/HIIS) to reimburse claims for vaccination costs.</t>
  </si>
  <si>
    <t>Withdrawal from the provision of Article 29 of the Health Care and Health Insurance Act regarding absence from work due to illness without a certificate of justified abstinence from work issued by a selected personal physician, also due to administrative relief of selected personal physicians.</t>
  </si>
  <si>
    <t>To carry out efficient and safe storage of vaccines against the new SARS-Cov-2 virus, it is necessary to ensure storage of vaccines in the temperature range between -85 ° C to -20 ° C. As the NIJZ, which is in charge of storing these vaccines in accordance with the above strategy, does not have such freezers and portable cooler bags, it is essential to provide at least two freezers with the possibility of storing vaccines at 80 ° C and -20 ° C. and a sufficiently large number of portable cooler bags for field vaccination purposes.</t>
  </si>
  <si>
    <t>The purpose of the operation is to improve the conditions for blind and partially sighted rehabilitators, increase the efficiency of individual treatment as part of their comprehensive rehabilitation, including the provision of modern and attractively arranged medical facilities, and improve working conditions and facilitate work for participating medical staff. The anticipated results of the operation are an increase in the autonomy, independence and self-regulation of rehabilitators, which enables the relief of care or foreign aid, and the reduction of the scope and costs of institutional care for the blind and partially sighted.</t>
  </si>
  <si>
    <t>The dilapidation of the arrangement, the lack of space and fire safety issues dictate the modernization and upgrading of the emergency unit, OP unit, central laboratories and the center of intensive care in the DTS facility, as well as the renovation of the hospital unit. Funds were spent for construction work and for equipment.</t>
  </si>
  <si>
    <t>Continuation and finalization of replacement construction and reconstruction and modernization of existing facilities also require the necessary funds for modern equipment and landscaping with municipal infrastructure. The centralization of modern arrangements in a common place ensures the long-term normal functioning of most of the Institute.</t>
  </si>
  <si>
    <t>Finalization of premises in the existing, still unfinished construction of orthopedic and other hospital wards, emergency block and specialist outpatient services; modernization of older existing facilities. The gradual purchase of general and medical equipment and infrastructure enables the modern arrangement of the hospital as a whole and the provision of appropriate standards.</t>
  </si>
  <si>
    <t>Preparation and revision of studies and programs for public procurement of an investment nature and preparation of common bases for the planning of investment projects and the regulation of ownership and land registry relations, including possible purchases for the needs of public health institutions.</t>
  </si>
  <si>
    <t>Execution of construction and installation works for the installation of a fire extinguisher and the processing of fire sectors on the high-rise of the University Medical Center Maribor and the handover of the facility and equipment to the management of the University Clinical Center Maribor.</t>
  </si>
  <si>
    <t>By the measure of ensuring the implementation of prevention programs of governmental and non-governmental organizations in the field of mental health and addiction through unresolved strategies, national program and legislation of the Member States by the Republic of Slovenia, which is internationally committed, including regular monitoring and evaluation of these programs. Emphasis on promoting and consolidating healthy lifestyles, reducing the harmful effects of alcohol and tobacco use and the risks of illicit drug use, improving mental health and preventing intentional and unintentional injuries and poisonings.</t>
  </si>
  <si>
    <t>The purpose of the investment is the implementation of GOI works (extension) and the purchase of equipment and personal and hospital elevators for the arrangement of the hospital pharmacy. The aim of the investment is to arrange the premises of the hospital pharmacy to obtain verification.</t>
  </si>
  <si>
    <t>The aim of the investment is to carry out construction and installation works and finishing works on the first and second floors of the K building, which was built up to the extended IV. phase, where the Emergency Center is already located on the ground floor. The investment will arrange the first floor for the needs of the Department of Anesthesiology, Resuscitation and Intensive Care (CIT and PACU) and the second floor for the Radiology Department and part of the technical floor.</t>
  </si>
  <si>
    <t xml:space="preserve">The aim of the program is to promote employment and increase employment opportunities for unemployed from different target groups and motivate employers to employ these unemployed people. Employers are granted employment subsidies for the unemployed for 12 months. </t>
  </si>
  <si>
    <t xml:space="preserve">The program promotes on the job trainings for the unemployed, thus encouraging their reintegration into the labor market and increasing their employability. </t>
  </si>
  <si>
    <t>The program promotes participation of the unemployed in different forms of non-formal training and educational programs to increase their competeneces and thus increase their employability.</t>
  </si>
  <si>
    <t>Practical employment programmes are designed to increase employment opportunities and access to the labour market for the most vulnerable unemployed people (long-term unemployed, the over 50s and the low-educated) by improving their skills and competences through theoretical and practical training with specific employers with the aim to prevent their social exclusion and poverty.</t>
  </si>
  <si>
    <t>The project is designed for employed people whose employment is at risk due to staffing and organisational changes in their employer's workforce. The aim is their activation as quickly as possible on the basis of lifelong learning, by strengthening general and job-specific competences in order to increase their employability, mobility and speed up their entry into the labour market.</t>
  </si>
  <si>
    <t>The aim of the operation is to promote the integration of employed people whose employment is at risk into labour market measures by providing comprehensive support in the form of information, motivation, career counselling, various training and education to facilitate their transition to new jobs or to new employment to prevent their unemployment.</t>
  </si>
  <si>
    <t>The aim of the program is to promote employment and increase employment opportunities for unemployed from different target groups and motivate employers to employ these unemployed people. Employers are granted employment subsidies for the unemployed (58 years and above).</t>
  </si>
  <si>
    <t xml:space="preserve">The program aims at raising the quality and accessibility of services of the Employment Service of Slovenia for its customers (unemployed, employers etc.). </t>
  </si>
  <si>
    <t xml:space="preserve">The aim of the program is to strengthen counseling work with young people and increase the accessibility of services of the Employment Service of Slovenia in accordance with the Youth Guarantee program. It aims to provide tailored-made services for the young in order to increase teir employability and integration to the labor market. </t>
  </si>
  <si>
    <t>The program promotes participation of young unemployed (up to 30 years of age) in different forms of non-formal training and educational programs to increase their competeneces and thus increase their employability.</t>
  </si>
  <si>
    <t xml:space="preserve">The program promotes on the job trainings for the young unemployed (up to 30 years of age), thus encouraging their reintegration into the labor market and increasing their employability. </t>
  </si>
  <si>
    <t>The aim of the program is to promote employment and increase employment opportunities for young unemployed (up to 30 years of age). Employers are granted employment subsidies for the unemployed for up to 24 months. Employers are eligible only if ensuring permanent employment.</t>
  </si>
  <si>
    <t>The aim of the project is to empower young adults (from 15 to 26 years of age) that have dropped out of school system and are unemployed (NEET) in order to enter the labour market, to actively take part in society and to attain key competences (learning to learn, self-initiative, entrepreneurship).</t>
  </si>
  <si>
    <t>he aim of the project is to implement a 3-phased social activation programme (preparation; implementation; additional work on individual level) with the aim of prvoiding interconnection with other social-security-, health-providing-, and employment-providing- programmes. The aim of project activities is to build-up social and working competences of persons from target groups.</t>
  </si>
  <si>
    <t>The aim of the project is to implement a 3-phased social activation programme (preparation; implementation; additional work on individual level) with the aim of prvoiding interconnection with other social-security-, health-providing-, and employment-providing- programmes. The aim of project activities is to build-up social and working competences of persons from target groups.</t>
  </si>
  <si>
    <t>The aim of the project is to attain greater social inclusion of young persons with special needs and to shape and develop an unified support environment which will work as an interceptor between school and the labour market for an empowered enter of target groups into the labour market.</t>
  </si>
  <si>
    <t>The aim of the project is to establish and activate a multipurpose Roma center in which activities for bettering the socio-economic situation of Roma community will take place. Additionally, the aim is to better their social integration and to establish cooperation and trust with the rest of the community (majority). The activities are aiming at decreasing risk poverty, building-up social competences, empowering, entering the labour market and social inclusion.</t>
  </si>
  <si>
    <t>The aim of the project is to provide services for social inclusion of disabled persons and to shape a support environment (services providers network) to empower their social inclusion and therefore enabling them to stay in their local communities.</t>
  </si>
  <si>
    <t>The aim of the project is the inclusion of persons from vulnerable social groups into social enterprises (information giving, motivation and support for employment/job training), and to develop and employ persons from target groups in social enterprises.</t>
  </si>
  <si>
    <t>The aim of the project is to establish a comprehensive ecosystem to build-up one's potentials, new initiatives and communities in order to widespread social economy (social enterprises and cooperatives), to create and preserve quality and sustainable jobs in the social economy sector, and to enlarge the offer of socially innovative services and products, which will enable greater social inclusion of persons from vulnerable social groups, and contribute to poverty decrease, better life quality and socio-economic development in the Podravska region.</t>
  </si>
  <si>
    <t>Pursuant to Article 31 of the Intervention Measures Act to Assist in Mitigating the Consequences of the Second Wave of the COVID-19 Epidemic (hereinafter: ZIUPOPDVE), vaccination against COVID-19 is provided for all those who have permanent or temporary residence in the Republic of Slovenia and for persons, who do not have a permanent residence in the Republic of Slovenia, but are employed by an employer with a registered office in the Republic of Slovenia.</t>
  </si>
  <si>
    <t>The purpose of the pilot project of deinstitutionalization of the Dom na Krasu institution is to increase the dignity of users who could, with appropriate support, return to the community despite their disabilities, so that they can live as independent life as possible. In addition, the project will contribute to the reduction of institutionalization and hospitalizations by resolving emerging crisis situations, which will enable the most normal integration and retention of users in local environment and adapting the operation and working methods of existing institutional service providers and providing support to users for more independent living. The investment part of the project is intended for the provision of land and construction of facilities for  independent housing groups.</t>
  </si>
  <si>
    <t>The purpose of the pilot project of deinstitutionalization of the CUDV Črna na Korošjem institution is to increase the dignity of users who could, with appropriate support, return to the community despite their disabilities, so that they can live as independent life as possible. In addition, the project will contribute to the reduction of institutionalization and hospitalizations by resolving emerging crisis situations, which will enable the most normal integration and retention of users in local environment and adapting the operation and working methods of existing institutional service providers and providing support to users for more independent living. The investment part of the project is intended for the provision of land and construction of facilities for  independent housing groups.</t>
  </si>
  <si>
    <t>Compulsory basic schools (i.e. basic and lower secondary education) must provide at least one meal (mid-morning snack) for all pupils, but all primary schools are also providing lunch). The school meals system in Slovenia is intended to lower inequalities among children and is acting across the gradient; this means all the children in primary school pay less for the meal because the state is paying for the kitchen staff (salary for one person in the kitchen, for 300 children). At the same time, for pupils with lower social economic status the funds necessary for one mid-morning snack per pupil per day and additionally for one school lunch per day if the family of the pupil falls below a legislatively defined income line are provided from the state budget.</t>
  </si>
  <si>
    <t xml:space="preserve">With 563 m2 of net floor area, the BIC Ljubljana multi-purpose school building was built in 2020 in an energy-efficient way - an “almost zero-energy building” - which has a positive effect on environmental protection and contributes to reducing greenhouse gas (especially CO2) emissions. </t>
  </si>
  <si>
    <t>Upper secondary schools are obliged to organise for their students a warm meal or a nutritious and energy-rich cold meal. The school meals system in Slovenia is intended to lower inequalities among pupils and is acting across the gradient. It means that the funds necessary for meal per pupil per day are provided from the state budget for pupils with lower social economic status. The provision depends on income of the family and pupils are entitled to a subsidy of 40%, 70% or 100% of the price for one meal.</t>
  </si>
  <si>
    <t>Upgrade of the Karavanke railway tunnel and the railway section Rosenbach-Jesenice was finished on July 10, 2021 and the track was opened. In progress is elimination of deficiencies, which is expected to be completed by the end of April 2022. Once all the necessary documentation will be obtained, an application for an operating permit will be submitted.
The announcement of the public procurement for a road-to-rail fire truck is in progress.</t>
  </si>
  <si>
    <t>Upgrade of the Kranj-Podnart and Podnart-Lesce Bled railway section is mostly completed. The track was opened on July 30, 2021. In progress is elimination of deficiencies, which is expected to be completed by the end of April 2022. Once all the necessary documentation will be obtained, an application for an operating permit will be submitted. Deadline for completition is July 2022.</t>
  </si>
  <si>
    <t>Upgrade of the Lesce Bled - Jesenice railway section is in completition. The track was opened on July 30, 2021. In progress is the construction of a noise barrier and the elimination of deficiencies, which is expected to be completed by the end of May 2022. Once all the necessary documentation will be obtained, an application for an operating permit will be submitted. Deadline for completition is September 2022.</t>
  </si>
  <si>
    <t>For upgrade of the Construction for the 2nd Maribor-Šentilj track, 2nd phase railway section, is finished upgrade of railway stations Maribor and Maribor Tezno, upgrade of railway section Maribor - Počehova, upgrade of railway section Pesnica - Šentilj - national border, arrangement of railway crossing with roads and noise barriers on the section Pesnica - Šentilj - national border. In progress is construction of the section from Počehova to Pesnica with the construction of the new tunnel Pekel and pesnica viaduct. Deadline for completition is March, 2023.</t>
  </si>
  <si>
    <t>Upgrade of the Reconstruction of Pragersko railway station is in progress. Deadline for completition is June, 2023.</t>
  </si>
  <si>
    <t>Installation of ETCS devices on Maribor-Šentilj-d.m. railway section will begin after introduction of the contractor to the work which is planned in April, 2022</t>
  </si>
  <si>
    <t xml:space="preserve">Works have been completed by the end of 2021. </t>
  </si>
  <si>
    <t>For rail upgrade Zidani Most - Celje section - second phase is finished upgrade of railway stations Celje, Laško, Rimske Toplice and section Celje - Laško, Laško - Rimske Toplice and Rimske Toplice - Zidani Most. In progress is upgrade of SS-TC devices and ETCS. All activities will be completed in end of year 2022.</t>
  </si>
  <si>
    <t>By 2025, Slovenske železnice is planning a complete renovation of the passenger rolling stock and thus the final retirement of the old garnishes.</t>
  </si>
  <si>
    <t xml:space="preserve">absolute number
for 2021 </t>
  </si>
  <si>
    <t>The Second track will be a 27.1-kilometre-long new railway line from Divača to Koper, including 7 tunnels and 3 viaducts. 20.5 km or 75 % of the line will consist of tunnels.</t>
  </si>
  <si>
    <t xml:space="preserve">38
</t>
  </si>
  <si>
    <t>1. Kindergarten nutrition is a part of the preschool program and therefore cannot be subsidized separately as such. Subsidies for reduced kindergarten fees can be claimed by parents for children who are included in public kindergartens, private kindergartens with a concession or private kindergartens financed from the municipal budget. 
2. Since September 2018, a new type of short program of 240 hours per year and entirely state-financed is available for children not enrolled in pre-school education one year before entering primary school as well as for their 4-year old siblings (so for 6 - 4 years old children). This programme is entirely free of charge for their parents (not modelled).  
3. Another important measure which is influencing additional enrollment is in force from this school year (2021/2022) on: Since 2021, the Kindergarten Act determines the right to free kindergarten for parents who have two children enrolled in the kindergarten at the same time, or the third and each subsequent child enrolled in the kindergarten (regardless of whether he / she is enrolled in the kindergarten at the same time as his / her sibling).</t>
  </si>
  <si>
    <t>Cofinancing payments for school meals - primary school</t>
  </si>
  <si>
    <t>Cofinancing payments for school meals -secondary school</t>
  </si>
  <si>
    <t>REKO Spodnja Idrija</t>
  </si>
  <si>
    <t xml:space="preserve">2415-10-0040 </t>
  </si>
  <si>
    <t xml:space="preserve">Access to Essential Services –
Social Inclusion </t>
  </si>
  <si>
    <t>Employment generation
and socioeconomic
advancement and
empowerment</t>
  </si>
  <si>
    <t>Access to Essential Services -Social Inclusion</t>
  </si>
  <si>
    <t>Access to Essential Services -Healthcare</t>
  </si>
  <si>
    <t>Acces to essential services - Social Inclusion</t>
  </si>
  <si>
    <t>Access to Essential Services -Education</t>
  </si>
  <si>
    <t>Category</t>
  </si>
  <si>
    <t>SDGs</t>
  </si>
  <si>
    <t>Allocated in 2020 (€)</t>
  </si>
  <si>
    <t>Allocated in 2021(€)</t>
  </si>
  <si>
    <t>Total (€)</t>
  </si>
  <si>
    <t xml:space="preserve">Category </t>
  </si>
  <si>
    <t>Covid 19 related measures</t>
  </si>
  <si>
    <t>Project category</t>
  </si>
  <si>
    <t xml:space="preserve">Lunch subsidy: 53% of registered pupils (or 52% of enrolled pupils);
Lunch subsidy: 63% of registered students (or 40% of enrolled students) received a subsidy.
</t>
  </si>
  <si>
    <t>2020 - 1384</t>
  </si>
  <si>
    <t>Number of participants</t>
  </si>
  <si>
    <t>Number of activities</t>
  </si>
  <si>
    <t>2020 - 244</t>
  </si>
  <si>
    <t>2021 - 188</t>
  </si>
  <si>
    <t>2020 - 0</t>
  </si>
  <si>
    <t>2021 - 0</t>
  </si>
  <si>
    <t>Number of new medical equipments</t>
  </si>
  <si>
    <t>Number of counsellors</t>
  </si>
  <si>
    <t>2020 - 9624</t>
  </si>
  <si>
    <t>2021 - 29920</t>
  </si>
  <si>
    <t>2021 - 20</t>
  </si>
  <si>
    <t>2020 - 20</t>
  </si>
  <si>
    <t>Number of beneficiaries benefiting from programme</t>
  </si>
  <si>
    <t>Passenger-kilometers or tonne-kilometers and/or tonnes</t>
  </si>
  <si>
    <t>Passenger kilometers/year
2030</t>
  </si>
  <si>
    <t>Tonne kilometers/year
2030 (mio)</t>
  </si>
  <si>
    <t xml:space="preserve">Tonne kilometers/year
2030 </t>
  </si>
  <si>
    <t>2021 - 1579</t>
  </si>
  <si>
    <t>Measures to promote multimodality</t>
  </si>
  <si>
    <t>In year 2021: 16.682 children with a subsidy; about 18,5% of children received a subsidy.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</si>
</sst>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_-;\-* #,##0.00_-;_-* &quot;-&quot;??_-;_-@_-"/>
    <numFmt numFmtId="164" formatCode="_-* #,##0.00\ _€_-;\-* #,##0.00\ _€_-;_-* &quot;-&quot;??\ _€_-;_-@_-"/>
    <numFmt numFmtId="165" formatCode="#,##0.00\ &quot;€&quot;"/>
    <numFmt numFmtId="166" formatCode="#,##0.0"/>
  </numFmts>
  <fonts count="29" x14ac:knownFonts="1">
    <font>
      <sz val="11"/>
      <color theme="1"/>
      <name val="Calibri"/>
      <family val="2"/>
      <charset val="238"/>
      <scheme val="minor"/>
    </font>
    <font>
      <sz val="11"/>
      <color theme="1"/>
      <name val="Times New Roman"/>
      <family val="1"/>
      <charset val="238"/>
    </font>
    <font>
      <sz val="16"/>
      <color theme="0"/>
      <name val="Times New Roman"/>
      <family val="1"/>
      <charset val="238"/>
    </font>
    <font>
      <sz val="12"/>
      <color theme="1"/>
      <name val="Times New Roman"/>
      <family val="1"/>
      <charset val="238"/>
    </font>
    <font>
      <sz val="12"/>
      <color theme="1"/>
      <name val="Calibri"/>
      <family val="2"/>
      <charset val="238"/>
    </font>
    <font>
      <vertAlign val="superscript"/>
      <sz val="12"/>
      <color theme="1"/>
      <name val="Times New Roman"/>
      <family val="1"/>
      <charset val="238"/>
    </font>
    <font>
      <sz val="14"/>
      <color theme="1"/>
      <name val="Times New Roman"/>
      <family val="1"/>
      <charset val="238"/>
    </font>
    <font>
      <sz val="11"/>
      <color theme="1"/>
      <name val="Calibri"/>
      <family val="2"/>
      <charset val="238"/>
      <scheme val="minor"/>
    </font>
    <font>
      <b/>
      <sz val="11"/>
      <color theme="1"/>
      <name val="Times New Roman"/>
      <family val="1"/>
      <charset val="238"/>
    </font>
    <font>
      <b/>
      <sz val="11"/>
      <color theme="1"/>
      <name val="Calibri"/>
      <family val="2"/>
      <charset val="238"/>
      <scheme val="minor"/>
    </font>
    <font>
      <sz val="11"/>
      <name val="Calibri"/>
      <family val="2"/>
      <charset val="238"/>
      <scheme val="minor"/>
    </font>
    <font>
      <b/>
      <sz val="11"/>
      <color rgb="FFBB3333"/>
      <name val="Times New Roman"/>
      <family val="1"/>
      <charset val="238"/>
    </font>
    <font>
      <b/>
      <sz val="11"/>
      <color theme="0"/>
      <name val="Times New Roman"/>
      <family val="1"/>
      <charset val="238"/>
    </font>
    <font>
      <sz val="11"/>
      <name val="Times New Roman"/>
      <family val="1"/>
      <charset val="238"/>
    </font>
    <font>
      <b/>
      <sz val="12"/>
      <color theme="0"/>
      <name val="Times New Roman"/>
      <family val="1"/>
      <charset val="238"/>
    </font>
    <font>
      <b/>
      <sz val="12"/>
      <name val="Times New Roman"/>
      <family val="1"/>
      <charset val="238"/>
    </font>
    <font>
      <b/>
      <sz val="12"/>
      <color rgb="FF2D5195"/>
      <name val="Times New Roman"/>
      <family val="1"/>
      <charset val="238"/>
    </font>
    <font>
      <sz val="12"/>
      <name val="Times New Roman"/>
      <family val="1"/>
      <charset val="238"/>
    </font>
    <font>
      <b/>
      <sz val="11"/>
      <name val="Calibri"/>
      <family val="2"/>
      <charset val="238"/>
      <scheme val="minor"/>
    </font>
    <font>
      <sz val="12"/>
      <name val="Calibri"/>
      <family val="2"/>
      <charset val="238"/>
    </font>
    <font>
      <sz val="8"/>
      <name val="Times New Roman"/>
      <family val="1"/>
      <charset val="238"/>
    </font>
    <font>
      <b/>
      <sz val="11"/>
      <name val="Times New Roman"/>
      <family val="1"/>
      <charset val="238"/>
    </font>
    <font>
      <b/>
      <vertAlign val="subscript"/>
      <sz val="11"/>
      <color theme="0"/>
      <name val="Times New Roman"/>
      <family val="1"/>
      <charset val="238"/>
    </font>
    <font>
      <b/>
      <sz val="14"/>
      <color rgb="FF00915A"/>
      <name val="Times New Roman"/>
      <family val="1"/>
      <charset val="238"/>
    </font>
    <font>
      <b/>
      <sz val="11"/>
      <color rgb="FF00915A"/>
      <name val="Times New Roman"/>
      <family val="1"/>
      <charset val="238"/>
    </font>
    <font>
      <sz val="11"/>
      <color rgb="FFFF0000"/>
      <name val="Calibri"/>
      <family val="2"/>
      <charset val="238"/>
      <scheme val="minor"/>
    </font>
    <font>
      <sz val="11"/>
      <color theme="0"/>
      <name val="Times New Roman"/>
      <family val="1"/>
      <charset val="238"/>
    </font>
    <font>
      <b/>
      <sz val="12"/>
      <color theme="1"/>
      <name val="Times New Roman"/>
      <family val="1"/>
      <charset val="238"/>
    </font>
    <font>
      <b/>
      <sz val="12"/>
      <color theme="0" tint="-4.9989318521683403E-2"/>
      <name val="Times New Roman"/>
      <family val="1"/>
      <charset val="238"/>
    </font>
  </fonts>
  <fills count="14">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FFFF99"/>
        <bgColor indexed="64"/>
      </patternFill>
    </fill>
    <fill>
      <patternFill patternType="solid">
        <fgColor rgb="FF00915A"/>
        <bgColor indexed="64"/>
      </patternFill>
    </fill>
    <fill>
      <patternFill patternType="solid">
        <fgColor rgb="FFBB3333"/>
        <bgColor indexed="64"/>
      </patternFill>
    </fill>
    <fill>
      <patternFill patternType="solid">
        <fgColor rgb="FF2D5195"/>
        <bgColor indexed="64"/>
      </patternFill>
    </fill>
    <fill>
      <patternFill patternType="solid">
        <fgColor theme="0" tint="-4.9989318521683403E-2"/>
        <bgColor indexed="64"/>
      </patternFill>
    </fill>
    <fill>
      <patternFill patternType="solid">
        <fgColor rgb="FFE6AF00"/>
        <bgColor indexed="64"/>
      </patternFill>
    </fill>
    <fill>
      <patternFill patternType="solid">
        <fgColor rgb="FF70C27A"/>
        <bgColor indexed="64"/>
      </patternFill>
    </fill>
    <fill>
      <patternFill patternType="solid">
        <fgColor rgb="FF00B05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1">
    <xf numFmtId="0" fontId="0" fillId="0" borderId="0"/>
    <xf numFmtId="9"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cellStyleXfs>
  <cellXfs count="374">
    <xf numFmtId="0" fontId="0" fillId="0" borderId="0" xfId="0"/>
    <xf numFmtId="0" fontId="0" fillId="0" borderId="0" xfId="0" applyAlignment="1">
      <alignment vertical="center"/>
    </xf>
    <xf numFmtId="0" fontId="0" fillId="0" borderId="0" xfId="0" applyAlignment="1"/>
    <xf numFmtId="3" fontId="0" fillId="0" borderId="0" xfId="0" applyNumberFormat="1"/>
    <xf numFmtId="0" fontId="1" fillId="0" borderId="0" xfId="0" applyFont="1"/>
    <xf numFmtId="0" fontId="1" fillId="0" borderId="0" xfId="0" applyFont="1" applyBorder="1"/>
    <xf numFmtId="0" fontId="0" fillId="0" borderId="0" xfId="0" applyAlignment="1">
      <alignment wrapText="1"/>
    </xf>
    <xf numFmtId="4" fontId="0" fillId="0" borderId="0" xfId="0" applyNumberFormat="1"/>
    <xf numFmtId="0" fontId="1" fillId="0" borderId="0" xfId="0" applyFont="1" applyAlignment="1">
      <alignment wrapText="1"/>
    </xf>
    <xf numFmtId="0" fontId="0" fillId="0" borderId="0" xfId="0" applyAlignment="1">
      <alignment wrapText="1"/>
    </xf>
    <xf numFmtId="0" fontId="0" fillId="0" borderId="0" xfId="0"/>
    <xf numFmtId="0" fontId="1" fillId="3" borderId="0" xfId="0" applyFont="1" applyFill="1" applyBorder="1" applyAlignment="1">
      <alignment horizontal="left" vertical="top" wrapText="1"/>
    </xf>
    <xf numFmtId="165" fontId="1" fillId="3" borderId="0" xfId="0" applyNumberFormat="1" applyFont="1" applyFill="1" applyBorder="1" applyAlignment="1">
      <alignment wrapText="1"/>
    </xf>
    <xf numFmtId="0" fontId="10" fillId="0" borderId="0" xfId="0" applyFont="1" applyBorder="1"/>
    <xf numFmtId="0" fontId="3" fillId="4" borderId="28" xfId="0" applyFont="1" applyFill="1" applyBorder="1" applyAlignment="1">
      <alignment horizontal="center" wrapText="1"/>
    </xf>
    <xf numFmtId="0" fontId="3" fillId="4" borderId="21" xfId="0" applyFont="1" applyFill="1" applyBorder="1" applyAlignment="1">
      <alignment horizontal="center" wrapText="1"/>
    </xf>
    <xf numFmtId="0" fontId="3" fillId="4" borderId="29" xfId="0" applyFont="1" applyFill="1" applyBorder="1" applyAlignment="1">
      <alignment horizontal="center" vertical="center" wrapText="1"/>
    </xf>
    <xf numFmtId="3" fontId="1" fillId="0" borderId="2" xfId="0" applyNumberFormat="1" applyFont="1" applyBorder="1"/>
    <xf numFmtId="0" fontId="1" fillId="0" borderId="0" xfId="0" applyFont="1" applyAlignment="1"/>
    <xf numFmtId="3" fontId="8" fillId="0" borderId="0" xfId="0" applyNumberFormat="1" applyFont="1"/>
    <xf numFmtId="0" fontId="8" fillId="0" borderId="0" xfId="0" applyFont="1"/>
    <xf numFmtId="3" fontId="13" fillId="3" borderId="6" xfId="0" applyNumberFormat="1" applyFont="1" applyFill="1" applyBorder="1" applyAlignment="1">
      <alignment vertical="center"/>
    </xf>
    <xf numFmtId="3" fontId="13" fillId="3" borderId="7" xfId="0" applyNumberFormat="1" applyFont="1" applyFill="1" applyBorder="1" applyAlignment="1">
      <alignment horizontal="right" vertical="center"/>
    </xf>
    <xf numFmtId="3" fontId="13" fillId="3" borderId="9" xfId="0" applyNumberFormat="1" applyFont="1" applyFill="1" applyBorder="1" applyAlignment="1">
      <alignment horizontal="right" vertical="center"/>
    </xf>
    <xf numFmtId="3" fontId="13" fillId="3" borderId="11" xfId="0" applyNumberFormat="1" applyFont="1" applyFill="1" applyBorder="1" applyAlignment="1">
      <alignment horizontal="right" vertical="center"/>
    </xf>
    <xf numFmtId="0" fontId="11" fillId="0" borderId="24" xfId="0" applyFont="1" applyBorder="1" applyAlignment="1">
      <alignment wrapText="1"/>
    </xf>
    <xf numFmtId="3" fontId="11" fillId="0" borderId="24" xfId="0" applyNumberFormat="1" applyFont="1" applyBorder="1"/>
    <xf numFmtId="0" fontId="14" fillId="9" borderId="25" xfId="0" applyFont="1" applyFill="1" applyBorder="1"/>
    <xf numFmtId="0" fontId="14" fillId="9" borderId="26" xfId="0" applyFont="1" applyFill="1" applyBorder="1"/>
    <xf numFmtId="0" fontId="14" fillId="9" borderId="27" xfId="0" applyFont="1" applyFill="1" applyBorder="1"/>
    <xf numFmtId="0" fontId="6" fillId="0" borderId="0" xfId="0" applyFont="1"/>
    <xf numFmtId="0" fontId="15" fillId="10" borderId="5" xfId="0" applyFont="1" applyFill="1" applyBorder="1"/>
    <xf numFmtId="3" fontId="3" fillId="3" borderId="6" xfId="0" applyNumberFormat="1" applyFont="1" applyFill="1" applyBorder="1"/>
    <xf numFmtId="4" fontId="3" fillId="3" borderId="7" xfId="0" applyNumberFormat="1" applyFont="1" applyFill="1" applyBorder="1"/>
    <xf numFmtId="0" fontId="15" fillId="10" borderId="8" xfId="0" applyFont="1" applyFill="1" applyBorder="1"/>
    <xf numFmtId="3" fontId="3" fillId="3" borderId="1" xfId="0" applyNumberFormat="1" applyFont="1" applyFill="1" applyBorder="1"/>
    <xf numFmtId="4" fontId="3" fillId="3" borderId="9" xfId="0" applyNumberFormat="1" applyFont="1" applyFill="1" applyBorder="1"/>
    <xf numFmtId="0" fontId="15" fillId="10" borderId="8" xfId="0" applyFont="1" applyFill="1" applyBorder="1" applyAlignment="1">
      <alignment wrapText="1"/>
    </xf>
    <xf numFmtId="3" fontId="3" fillId="3" borderId="1" xfId="0" applyNumberFormat="1" applyFont="1" applyFill="1" applyBorder="1" applyAlignment="1">
      <alignment wrapText="1"/>
    </xf>
    <xf numFmtId="0" fontId="15" fillId="10" borderId="10" xfId="0" applyFont="1" applyFill="1" applyBorder="1"/>
    <xf numFmtId="4" fontId="3" fillId="3" borderId="2" xfId="0" applyNumberFormat="1" applyFont="1" applyFill="1" applyBorder="1"/>
    <xf numFmtId="3" fontId="3" fillId="3" borderId="2" xfId="0" applyNumberFormat="1" applyFont="1" applyFill="1" applyBorder="1"/>
    <xf numFmtId="4" fontId="3" fillId="3" borderId="11" xfId="0" applyNumberFormat="1" applyFont="1" applyFill="1" applyBorder="1"/>
    <xf numFmtId="3" fontId="16" fillId="0" borderId="24" xfId="0" applyNumberFormat="1" applyFont="1" applyBorder="1"/>
    <xf numFmtId="4" fontId="16" fillId="0" borderId="24" xfId="0" applyNumberFormat="1" applyFont="1" applyBorder="1"/>
    <xf numFmtId="4" fontId="1" fillId="0" borderId="0" xfId="0" applyNumberFormat="1" applyFont="1"/>
    <xf numFmtId="3" fontId="1" fillId="0" borderId="6" xfId="0" applyNumberFormat="1" applyFont="1" applyBorder="1" applyAlignment="1">
      <alignment horizontal="center" vertical="center"/>
    </xf>
    <xf numFmtId="0" fontId="1" fillId="0" borderId="6" xfId="0" applyFont="1" applyBorder="1" applyAlignment="1">
      <alignment horizontal="right"/>
    </xf>
    <xf numFmtId="0" fontId="1" fillId="0" borderId="1" xfId="0" applyFont="1" applyBorder="1" applyAlignment="1">
      <alignment horizontal="right"/>
    </xf>
    <xf numFmtId="0" fontId="1" fillId="0" borderId="1" xfId="0" applyFont="1" applyBorder="1" applyAlignment="1">
      <alignment horizontal="right" wrapText="1"/>
    </xf>
    <xf numFmtId="0" fontId="1" fillId="0" borderId="2" xfId="0" applyFont="1" applyBorder="1" applyAlignment="1">
      <alignment horizontal="right"/>
    </xf>
    <xf numFmtId="0" fontId="3" fillId="4" borderId="19" xfId="0" applyFont="1" applyFill="1" applyBorder="1" applyAlignment="1">
      <alignment horizontal="center" wrapText="1"/>
    </xf>
    <xf numFmtId="0" fontId="3" fillId="4" borderId="2" xfId="0" applyFont="1" applyFill="1" applyBorder="1" applyAlignment="1">
      <alignment horizontal="center" wrapText="1"/>
    </xf>
    <xf numFmtId="0" fontId="4" fillId="4" borderId="2" xfId="0" applyFont="1" applyFill="1" applyBorder="1" applyAlignment="1">
      <alignment horizontal="center" wrapText="1"/>
    </xf>
    <xf numFmtId="1" fontId="3" fillId="4" borderId="2" xfId="0" applyNumberFormat="1" applyFont="1" applyFill="1" applyBorder="1" applyAlignment="1">
      <alignment horizontal="center" wrapText="1"/>
    </xf>
    <xf numFmtId="3" fontId="3" fillId="4" borderId="2" xfId="0" applyNumberFormat="1" applyFont="1" applyFill="1" applyBorder="1" applyAlignment="1">
      <alignment horizontal="center" wrapText="1"/>
    </xf>
    <xf numFmtId="0" fontId="13" fillId="0" borderId="0" xfId="0" applyFont="1"/>
    <xf numFmtId="0" fontId="13" fillId="0" borderId="0" xfId="0" applyFont="1" applyAlignment="1">
      <alignment wrapText="1"/>
    </xf>
    <xf numFmtId="0" fontId="13" fillId="0" borderId="0" xfId="0" applyFont="1" applyAlignment="1">
      <alignment horizontal="center" vertical="center" wrapText="1"/>
    </xf>
    <xf numFmtId="0" fontId="18" fillId="5" borderId="1" xfId="0" applyFont="1" applyFill="1" applyBorder="1" applyAlignment="1">
      <alignment vertical="center"/>
    </xf>
    <xf numFmtId="0" fontId="18" fillId="5" borderId="1" xfId="0" applyFont="1" applyFill="1" applyBorder="1" applyAlignment="1">
      <alignment vertical="center" wrapText="1"/>
    </xf>
    <xf numFmtId="0" fontId="17" fillId="0" borderId="0" xfId="0" applyFont="1" applyAlignment="1">
      <alignment horizontal="center" vertical="center" wrapText="1"/>
    </xf>
    <xf numFmtId="0" fontId="10" fillId="0" borderId="1" xfId="0" applyFont="1" applyBorder="1" applyAlignment="1">
      <alignment vertical="center"/>
    </xf>
    <xf numFmtId="0" fontId="10" fillId="0" borderId="1" xfId="0" applyFont="1" applyBorder="1" applyAlignment="1">
      <alignment vertical="center" wrapText="1"/>
    </xf>
    <xf numFmtId="0" fontId="10" fillId="6" borderId="1" xfId="0" applyFont="1" applyFill="1" applyBorder="1" applyAlignment="1">
      <alignment vertical="center"/>
    </xf>
    <xf numFmtId="0" fontId="10" fillId="6" borderId="1" xfId="0" applyFont="1" applyFill="1" applyBorder="1" applyAlignment="1">
      <alignment vertical="center" wrapText="1"/>
    </xf>
    <xf numFmtId="0" fontId="13" fillId="0" borderId="0" xfId="0" applyFont="1" applyBorder="1"/>
    <xf numFmtId="0" fontId="13" fillId="3" borderId="1" xfId="0" applyFont="1" applyFill="1" applyBorder="1" applyAlignment="1">
      <alignment horizontal="left" vertical="top" wrapText="1"/>
    </xf>
    <xf numFmtId="0" fontId="13" fillId="3" borderId="1" xfId="0" applyFont="1" applyFill="1" applyBorder="1" applyAlignment="1">
      <alignment wrapText="1"/>
    </xf>
    <xf numFmtId="3" fontId="13" fillId="0" borderId="0" xfId="0" applyNumberFormat="1" applyFont="1"/>
    <xf numFmtId="3" fontId="13" fillId="0" borderId="0" xfId="0" applyNumberFormat="1" applyFont="1" applyBorder="1"/>
    <xf numFmtId="3" fontId="21" fillId="0" borderId="0" xfId="0" applyNumberFormat="1" applyFont="1" applyBorder="1"/>
    <xf numFmtId="0" fontId="17" fillId="2" borderId="19"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3" fillId="3" borderId="6" xfId="0" applyFont="1" applyFill="1" applyBorder="1" applyAlignment="1">
      <alignment horizontal="center" vertical="center" wrapText="1"/>
    </xf>
    <xf numFmtId="3" fontId="13" fillId="3" borderId="6" xfId="0" applyNumberFormat="1" applyFont="1" applyFill="1" applyBorder="1" applyAlignment="1">
      <alignment horizontal="center" vertical="center" wrapText="1"/>
    </xf>
    <xf numFmtId="0" fontId="13" fillId="3" borderId="2" xfId="0" applyFont="1" applyFill="1" applyBorder="1" applyAlignment="1">
      <alignment wrapText="1"/>
    </xf>
    <xf numFmtId="3" fontId="13" fillId="0" borderId="0" xfId="0" applyNumberFormat="1" applyFont="1" applyAlignment="1">
      <alignment horizontal="center"/>
    </xf>
    <xf numFmtId="3" fontId="13" fillId="0" borderId="0" xfId="0" applyNumberFormat="1" applyFont="1" applyAlignment="1">
      <alignment horizontal="center" wrapText="1"/>
    </xf>
    <xf numFmtId="0" fontId="17" fillId="2" borderId="14" xfId="0" applyFont="1" applyFill="1" applyBorder="1" applyAlignment="1">
      <alignment horizontal="center" vertical="center" wrapText="1"/>
    </xf>
    <xf numFmtId="0" fontId="13" fillId="3" borderId="5" xfId="0" applyFont="1" applyFill="1" applyBorder="1" applyAlignment="1">
      <alignment horizontal="left" vertical="center" wrapText="1"/>
    </xf>
    <xf numFmtId="0" fontId="13" fillId="3" borderId="8" xfId="0" applyFont="1" applyFill="1" applyBorder="1" applyAlignment="1">
      <alignment wrapText="1"/>
    </xf>
    <xf numFmtId="0" fontId="13" fillId="3" borderId="10" xfId="0" applyFont="1" applyFill="1" applyBorder="1" applyAlignment="1">
      <alignment wrapText="1"/>
    </xf>
    <xf numFmtId="3" fontId="17" fillId="2" borderId="2" xfId="0" applyNumberFormat="1" applyFont="1" applyFill="1" applyBorder="1" applyAlignment="1">
      <alignment horizontal="center" vertical="center" wrapText="1"/>
    </xf>
    <xf numFmtId="3" fontId="9" fillId="0" borderId="0" xfId="0" applyNumberFormat="1" applyFont="1"/>
    <xf numFmtId="4" fontId="9" fillId="0" borderId="0" xfId="0" applyNumberFormat="1" applyFont="1"/>
    <xf numFmtId="3" fontId="19" fillId="2" borderId="2" xfId="0" applyNumberFormat="1" applyFont="1" applyFill="1" applyBorder="1" applyAlignment="1">
      <alignment horizontal="center" vertical="center" wrapText="1"/>
    </xf>
    <xf numFmtId="3" fontId="18" fillId="5" borderId="1" xfId="0" applyNumberFormat="1" applyFont="1" applyFill="1" applyBorder="1" applyAlignment="1">
      <alignment vertical="center"/>
    </xf>
    <xf numFmtId="3" fontId="10" fillId="0" borderId="1" xfId="0" applyNumberFormat="1" applyFont="1" applyBorder="1" applyAlignment="1">
      <alignment vertical="center"/>
    </xf>
    <xf numFmtId="3" fontId="18" fillId="6" borderId="1" xfId="0" applyNumberFormat="1" applyFont="1" applyFill="1" applyBorder="1" applyAlignment="1">
      <alignment vertical="center"/>
    </xf>
    <xf numFmtId="0" fontId="1" fillId="0" borderId="0" xfId="0" applyFont="1" applyAlignment="1">
      <alignment horizontal="center"/>
    </xf>
    <xf numFmtId="0" fontId="12" fillId="7" borderId="2" xfId="0" applyFont="1" applyFill="1" applyBorder="1" applyAlignment="1">
      <alignment horizontal="center" vertical="center" wrapText="1"/>
    </xf>
    <xf numFmtId="3" fontId="13" fillId="3" borderId="12" xfId="0" applyNumberFormat="1" applyFont="1" applyFill="1" applyBorder="1" applyAlignment="1">
      <alignment horizontal="center" vertical="center" wrapText="1"/>
    </xf>
    <xf numFmtId="3" fontId="13" fillId="3" borderId="3" xfId="0" applyNumberFormat="1" applyFont="1" applyFill="1" applyBorder="1" applyAlignment="1">
      <alignment horizontal="center" vertical="center" wrapText="1"/>
    </xf>
    <xf numFmtId="0" fontId="13" fillId="3" borderId="8" xfId="0" applyFont="1" applyFill="1" applyBorder="1" applyAlignment="1">
      <alignment horizontal="left" vertical="top" wrapText="1"/>
    </xf>
    <xf numFmtId="0" fontId="13" fillId="3" borderId="21" xfId="0" applyFont="1" applyFill="1" applyBorder="1" applyAlignment="1">
      <alignment wrapText="1"/>
    </xf>
    <xf numFmtId="0" fontId="0" fillId="0" borderId="0" xfId="0" applyAlignment="1">
      <alignment horizontal="center"/>
    </xf>
    <xf numFmtId="4" fontId="13" fillId="3" borderId="1" xfId="0" applyNumberFormat="1" applyFont="1" applyFill="1" applyBorder="1" applyAlignment="1">
      <alignment horizontal="center" vertical="center" wrapText="1"/>
    </xf>
    <xf numFmtId="0" fontId="13" fillId="3" borderId="38" xfId="0" applyFont="1" applyFill="1" applyBorder="1" applyAlignment="1">
      <alignment horizontal="left" vertical="center" wrapText="1"/>
    </xf>
    <xf numFmtId="0" fontId="13" fillId="3" borderId="39" xfId="0" applyFont="1" applyFill="1" applyBorder="1" applyAlignment="1">
      <alignment horizontal="center" vertical="center" wrapText="1"/>
    </xf>
    <xf numFmtId="3" fontId="13" fillId="3" borderId="39" xfId="0" applyNumberFormat="1" applyFont="1" applyFill="1" applyBorder="1" applyAlignment="1">
      <alignment horizontal="center" vertical="center" wrapText="1"/>
    </xf>
    <xf numFmtId="3" fontId="13" fillId="3" borderId="39" xfId="0" applyNumberFormat="1" applyFont="1" applyFill="1" applyBorder="1" applyAlignment="1">
      <alignment horizontal="right" vertical="center"/>
    </xf>
    <xf numFmtId="4" fontId="13" fillId="3" borderId="39" xfId="0" applyNumberFormat="1"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 xfId="0" applyFont="1" applyFill="1" applyBorder="1" applyAlignment="1">
      <alignment horizontal="center" vertical="center" wrapText="1"/>
    </xf>
    <xf numFmtId="3" fontId="13" fillId="2" borderId="2" xfId="0" applyNumberFormat="1" applyFont="1" applyFill="1" applyBorder="1" applyAlignment="1">
      <alignment horizontal="center" vertical="center" wrapText="1"/>
    </xf>
    <xf numFmtId="0" fontId="13" fillId="2" borderId="14" xfId="0" applyFont="1" applyFill="1" applyBorder="1" applyAlignment="1">
      <alignment horizontal="center" vertical="center" wrapText="1"/>
    </xf>
    <xf numFmtId="166" fontId="12" fillId="7" borderId="2" xfId="0" applyNumberFormat="1" applyFont="1" applyFill="1" applyBorder="1" applyAlignment="1">
      <alignment horizontal="center" vertical="center" wrapText="1"/>
    </xf>
    <xf numFmtId="3" fontId="1" fillId="3" borderId="6" xfId="0" applyNumberFormat="1" applyFont="1" applyFill="1" applyBorder="1" applyAlignment="1">
      <alignment horizontal="center" vertical="center"/>
    </xf>
    <xf numFmtId="9" fontId="1" fillId="0" borderId="6" xfId="1" applyFont="1" applyBorder="1" applyAlignment="1">
      <alignment horizontal="center" vertical="center"/>
    </xf>
    <xf numFmtId="4" fontId="1" fillId="0" borderId="6" xfId="0" applyNumberFormat="1" applyFont="1" applyBorder="1"/>
    <xf numFmtId="3" fontId="8" fillId="0" borderId="6" xfId="0" applyNumberFormat="1" applyFont="1" applyBorder="1"/>
    <xf numFmtId="3" fontId="8" fillId="0" borderId="7" xfId="0" applyNumberFormat="1" applyFont="1" applyBorder="1"/>
    <xf numFmtId="3" fontId="1" fillId="3" borderId="1" xfId="0" applyNumberFormat="1" applyFont="1" applyFill="1" applyBorder="1" applyAlignment="1">
      <alignment horizontal="center" vertical="center"/>
    </xf>
    <xf numFmtId="9" fontId="1" fillId="0" borderId="1" xfId="1" applyFont="1" applyBorder="1" applyAlignment="1">
      <alignment horizontal="center" vertical="center"/>
    </xf>
    <xf numFmtId="4" fontId="1" fillId="0" borderId="1" xfId="0" applyNumberFormat="1" applyFont="1" applyBorder="1"/>
    <xf numFmtId="3" fontId="8" fillId="0" borderId="1" xfId="0" applyNumberFormat="1" applyFont="1" applyBorder="1"/>
    <xf numFmtId="3" fontId="8" fillId="0" borderId="9" xfId="0" applyNumberFormat="1" applyFont="1" applyBorder="1"/>
    <xf numFmtId="3" fontId="1" fillId="3" borderId="2" xfId="0" applyNumberFormat="1" applyFont="1" applyFill="1" applyBorder="1" applyAlignment="1">
      <alignment horizontal="center" vertical="center"/>
    </xf>
    <xf numFmtId="9" fontId="1" fillId="0" borderId="2" xfId="1" applyFont="1" applyBorder="1" applyAlignment="1">
      <alignment horizontal="center" vertical="center"/>
    </xf>
    <xf numFmtId="4" fontId="1" fillId="0" borderId="2" xfId="0" applyNumberFormat="1" applyFont="1" applyBorder="1"/>
    <xf numFmtId="3" fontId="8" fillId="0" borderId="2" xfId="0" applyNumberFormat="1" applyFont="1" applyBorder="1"/>
    <xf numFmtId="3" fontId="8" fillId="0" borderId="11" xfId="0" applyNumberFormat="1" applyFont="1" applyBorder="1"/>
    <xf numFmtId="0" fontId="23" fillId="0" borderId="24" xfId="0" applyFont="1" applyBorder="1"/>
    <xf numFmtId="3" fontId="23" fillId="0" borderId="24" xfId="0" applyNumberFormat="1" applyFont="1" applyBorder="1"/>
    <xf numFmtId="0" fontId="0" fillId="0" borderId="0" xfId="0" applyAlignment="1">
      <alignment vertical="center"/>
    </xf>
    <xf numFmtId="0" fontId="1" fillId="3" borderId="7" xfId="0" applyFont="1" applyFill="1" applyBorder="1" applyAlignment="1">
      <alignment vertical="center" wrapText="1"/>
    </xf>
    <xf numFmtId="0" fontId="1" fillId="3" borderId="9" xfId="0" applyFont="1" applyFill="1" applyBorder="1" applyAlignment="1">
      <alignment vertical="center" wrapText="1"/>
    </xf>
    <xf numFmtId="0" fontId="1" fillId="3" borderId="11" xfId="0" applyFont="1" applyFill="1" applyBorder="1" applyAlignment="1">
      <alignment vertical="center" wrapText="1"/>
    </xf>
    <xf numFmtId="0" fontId="1" fillId="3" borderId="7"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0" borderId="2" xfId="0" applyFont="1" applyBorder="1" applyAlignment="1">
      <alignment vertical="center" wrapText="1"/>
    </xf>
    <xf numFmtId="0" fontId="13" fillId="3" borderId="9" xfId="0" applyFont="1" applyFill="1" applyBorder="1" applyAlignment="1">
      <alignment horizontal="left" vertical="center" wrapText="1"/>
    </xf>
    <xf numFmtId="0" fontId="1" fillId="0" borderId="20" xfId="0" applyFont="1" applyBorder="1" applyAlignment="1">
      <alignment vertical="center"/>
    </xf>
    <xf numFmtId="3" fontId="1" fillId="0" borderId="3" xfId="0" applyNumberFormat="1" applyFont="1" applyBorder="1" applyAlignment="1">
      <alignment vertical="center"/>
    </xf>
    <xf numFmtId="0" fontId="1" fillId="0" borderId="16" xfId="0" applyFont="1" applyBorder="1" applyAlignment="1">
      <alignment vertical="center"/>
    </xf>
    <xf numFmtId="3" fontId="1" fillId="0" borderId="12" xfId="0" applyNumberFormat="1" applyFont="1" applyBorder="1" applyAlignment="1">
      <alignment vertical="center"/>
    </xf>
    <xf numFmtId="0" fontId="1" fillId="0" borderId="1" xfId="0" applyFont="1" applyBorder="1" applyAlignment="1">
      <alignment vertical="center" wrapText="1"/>
    </xf>
    <xf numFmtId="3" fontId="1" fillId="0" borderId="1" xfId="0" applyNumberFormat="1" applyFont="1" applyBorder="1" applyAlignment="1">
      <alignment vertical="center"/>
    </xf>
    <xf numFmtId="0" fontId="1" fillId="0" borderId="1" xfId="0" applyFont="1" applyBorder="1" applyAlignment="1">
      <alignment vertical="center"/>
    </xf>
    <xf numFmtId="3"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vertical="center"/>
    </xf>
    <xf numFmtId="3" fontId="1" fillId="0" borderId="1" xfId="1" applyNumberFormat="1" applyFont="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3" fontId="1" fillId="3" borderId="30" xfId="0" applyNumberFormat="1" applyFont="1" applyFill="1" applyBorder="1" applyAlignment="1">
      <alignment vertical="center"/>
    </xf>
    <xf numFmtId="3" fontId="1" fillId="0" borderId="6" xfId="1" applyNumberFormat="1" applyFont="1" applyBorder="1" applyAlignment="1">
      <alignment vertical="center"/>
    </xf>
    <xf numFmtId="3" fontId="1" fillId="0" borderId="6" xfId="0" applyNumberFormat="1" applyFont="1" applyBorder="1" applyAlignment="1">
      <alignment vertical="center"/>
    </xf>
    <xf numFmtId="0" fontId="1" fillId="0" borderId="6" xfId="0" applyFont="1" applyBorder="1" applyAlignment="1">
      <alignment horizontal="center" vertical="center"/>
    </xf>
    <xf numFmtId="0" fontId="1" fillId="0" borderId="6" xfId="0" applyFont="1" applyBorder="1" applyAlignment="1">
      <alignment vertical="center" wrapText="1"/>
    </xf>
    <xf numFmtId="0" fontId="1" fillId="0" borderId="12" xfId="0" applyFont="1" applyBorder="1" applyAlignment="1">
      <alignment vertical="center"/>
    </xf>
    <xf numFmtId="0" fontId="1" fillId="0" borderId="2" xfId="0" applyFont="1" applyBorder="1" applyAlignment="1">
      <alignment vertical="center"/>
    </xf>
    <xf numFmtId="3" fontId="13" fillId="3" borderId="1" xfId="0" applyNumberFormat="1" applyFont="1" applyFill="1" applyBorder="1" applyAlignment="1">
      <alignment vertical="center"/>
    </xf>
    <xf numFmtId="3" fontId="13" fillId="3" borderId="2" xfId="0" applyNumberFormat="1" applyFont="1" applyFill="1" applyBorder="1" applyAlignment="1">
      <alignment vertical="center"/>
    </xf>
    <xf numFmtId="3" fontId="1" fillId="0" borderId="2" xfId="0" applyNumberFormat="1" applyFont="1" applyBorder="1" applyAlignment="1">
      <alignment horizontal="center" vertical="center"/>
    </xf>
    <xf numFmtId="0" fontId="13" fillId="3" borderId="1" xfId="0" applyFont="1" applyFill="1" applyBorder="1" applyAlignment="1">
      <alignment horizontal="center" vertical="center" wrapText="1"/>
    </xf>
    <xf numFmtId="3" fontId="13"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xf>
    <xf numFmtId="3" fontId="13" fillId="3" borderId="2" xfId="0" applyNumberFormat="1" applyFont="1" applyFill="1" applyBorder="1" applyAlignment="1">
      <alignment horizontal="center" vertical="center" wrapText="1"/>
    </xf>
    <xf numFmtId="3" fontId="13" fillId="3" borderId="1" xfId="0" applyNumberFormat="1" applyFont="1" applyFill="1" applyBorder="1" applyAlignment="1">
      <alignment horizontal="right" vertical="center"/>
    </xf>
    <xf numFmtId="3" fontId="13" fillId="3" borderId="2" xfId="0" applyNumberFormat="1" applyFont="1" applyFill="1" applyBorder="1" applyAlignment="1">
      <alignment horizontal="right" vertical="center"/>
    </xf>
    <xf numFmtId="0" fontId="13" fillId="3" borderId="8" xfId="0" applyFont="1" applyFill="1" applyBorder="1" applyAlignment="1">
      <alignment horizontal="left" vertical="center" wrapText="1"/>
    </xf>
    <xf numFmtId="3" fontId="13" fillId="0" borderId="26" xfId="0" applyNumberFormat="1" applyFont="1" applyBorder="1" applyAlignment="1">
      <alignment horizontal="center" vertical="center"/>
    </xf>
    <xf numFmtId="0" fontId="1" fillId="0" borderId="19" xfId="0" applyFont="1" applyBorder="1" applyAlignment="1">
      <alignment vertical="center"/>
    </xf>
    <xf numFmtId="3" fontId="1" fillId="0" borderId="2" xfId="0" applyNumberFormat="1" applyFont="1" applyBorder="1" applyAlignment="1">
      <alignment vertical="center"/>
    </xf>
    <xf numFmtId="3" fontId="1" fillId="0" borderId="14" xfId="0" applyNumberFormat="1" applyFont="1" applyBorder="1" applyAlignment="1">
      <alignment vertical="center"/>
    </xf>
    <xf numFmtId="0" fontId="1" fillId="0" borderId="7" xfId="0" applyFont="1" applyBorder="1" applyAlignment="1">
      <alignment horizontal="justify" vertical="center" wrapText="1"/>
    </xf>
    <xf numFmtId="3" fontId="13" fillId="0" borderId="26" xfId="0" applyNumberFormat="1" applyFont="1" applyBorder="1" applyAlignment="1">
      <alignment horizontal="center" vertical="center" wrapText="1"/>
    </xf>
    <xf numFmtId="3" fontId="13" fillId="3" borderId="32" xfId="0" applyNumberFormat="1" applyFont="1" applyFill="1" applyBorder="1" applyAlignment="1">
      <alignment horizontal="center" vertical="center" wrapText="1"/>
    </xf>
    <xf numFmtId="0" fontId="13" fillId="3" borderId="27" xfId="0" applyFont="1" applyFill="1" applyBorder="1" applyAlignment="1">
      <alignment horizontal="left" vertical="center" wrapText="1"/>
    </xf>
    <xf numFmtId="0" fontId="13" fillId="3" borderId="40" xfId="0" applyFont="1" applyFill="1" applyBorder="1" applyAlignment="1">
      <alignment horizontal="left" vertical="center" wrapText="1"/>
    </xf>
    <xf numFmtId="0" fontId="13" fillId="3" borderId="8" xfId="0" applyFont="1" applyFill="1" applyBorder="1" applyAlignment="1">
      <alignment horizontal="left" vertical="center"/>
    </xf>
    <xf numFmtId="0" fontId="13" fillId="3" borderId="1" xfId="0" applyFont="1" applyFill="1" applyBorder="1" applyAlignment="1">
      <alignment horizontal="left" vertical="center" wrapText="1"/>
    </xf>
    <xf numFmtId="3" fontId="13" fillId="3" borderId="1" xfId="4" applyNumberFormat="1" applyFont="1" applyFill="1" applyBorder="1" applyAlignment="1">
      <alignment horizontal="right" vertical="center"/>
    </xf>
    <xf numFmtId="0" fontId="13" fillId="3" borderId="1" xfId="0" applyFont="1" applyFill="1" applyBorder="1" applyAlignment="1">
      <alignment vertical="center"/>
    </xf>
    <xf numFmtId="0" fontId="13" fillId="3" borderId="8" xfId="0" applyFont="1" applyFill="1" applyBorder="1" applyAlignment="1">
      <alignment vertical="center"/>
    </xf>
    <xf numFmtId="0" fontId="13" fillId="3" borderId="1" xfId="0" applyFont="1" applyFill="1" applyBorder="1" applyAlignment="1">
      <alignment vertical="center" wrapText="1"/>
    </xf>
    <xf numFmtId="0" fontId="13" fillId="3" borderId="8" xfId="0" applyFont="1" applyFill="1" applyBorder="1" applyAlignment="1">
      <alignment vertical="center" wrapText="1"/>
    </xf>
    <xf numFmtId="0" fontId="13" fillId="3" borderId="9" xfId="0" applyFont="1" applyFill="1" applyBorder="1" applyAlignment="1">
      <alignment vertical="center" wrapText="1"/>
    </xf>
    <xf numFmtId="0" fontId="13" fillId="3" borderId="10" xfId="0" applyFont="1" applyFill="1" applyBorder="1" applyAlignment="1">
      <alignment vertical="center" wrapText="1"/>
    </xf>
    <xf numFmtId="0" fontId="13" fillId="3" borderId="2" xfId="0" applyFont="1" applyFill="1" applyBorder="1" applyAlignment="1">
      <alignment vertical="center" wrapText="1"/>
    </xf>
    <xf numFmtId="0" fontId="13" fillId="3" borderId="2" xfId="0" applyFont="1" applyFill="1" applyBorder="1" applyAlignment="1">
      <alignmen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2" fillId="8" borderId="21" xfId="0" applyFont="1" applyFill="1" applyBorder="1" applyAlignment="1">
      <alignment horizontal="center" vertical="center"/>
    </xf>
    <xf numFmtId="0" fontId="3" fillId="11" borderId="6" xfId="0" applyFont="1" applyFill="1" applyBorder="1" applyAlignment="1">
      <alignment horizontal="center" vertical="center" wrapText="1"/>
    </xf>
    <xf numFmtId="3" fontId="17" fillId="12" borderId="6" xfId="0" applyNumberFormat="1" applyFont="1" applyFill="1" applyBorder="1" applyAlignment="1">
      <alignment horizontal="center" vertical="center" wrapText="1"/>
    </xf>
    <xf numFmtId="0" fontId="17" fillId="12" borderId="6" xfId="0" applyFont="1" applyFill="1" applyBorder="1" applyAlignment="1">
      <alignment horizontal="center" vertical="center" wrapText="1"/>
    </xf>
    <xf numFmtId="0" fontId="17" fillId="12" borderId="12" xfId="0" applyFont="1" applyFill="1" applyBorder="1" applyAlignment="1">
      <alignment horizontal="center" vertical="center" wrapText="1"/>
    </xf>
    <xf numFmtId="3" fontId="13" fillId="12" borderId="6" xfId="0" applyNumberFormat="1" applyFont="1" applyFill="1" applyBorder="1" applyAlignment="1">
      <alignment horizontal="center" vertical="center" wrapText="1"/>
    </xf>
    <xf numFmtId="0" fontId="13" fillId="12" borderId="6" xfId="0" applyFont="1" applyFill="1" applyBorder="1" applyAlignment="1">
      <alignment horizontal="center" vertical="center" wrapText="1"/>
    </xf>
    <xf numFmtId="0" fontId="13" fillId="12" borderId="12"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right" vertical="center" wrapText="1"/>
    </xf>
    <xf numFmtId="0" fontId="1" fillId="0" borderId="1" xfId="0" applyFont="1" applyBorder="1" applyAlignment="1">
      <alignment horizontal="center" vertical="center" wrapText="1"/>
    </xf>
    <xf numFmtId="0" fontId="1" fillId="0" borderId="1" xfId="0" applyFont="1" applyBorder="1" applyAlignment="1">
      <alignment horizontal="right"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right" vertical="center" wrapText="1"/>
    </xf>
    <xf numFmtId="3" fontId="13" fillId="0" borderId="31" xfId="0" applyNumberFormat="1" applyFont="1" applyBorder="1" applyAlignment="1">
      <alignment horizontal="center" vertical="center"/>
    </xf>
    <xf numFmtId="0" fontId="8" fillId="0" borderId="6" xfId="0" applyFont="1" applyBorder="1" applyAlignment="1">
      <alignment horizontal="center" vertical="center"/>
    </xf>
    <xf numFmtId="3" fontId="13" fillId="0" borderId="1" xfId="0" applyNumberFormat="1" applyFont="1" applyBorder="1"/>
    <xf numFmtId="3" fontId="13" fillId="0" borderId="9" xfId="0" applyNumberFormat="1" applyFont="1" applyBorder="1"/>
    <xf numFmtId="0" fontId="8" fillId="0" borderId="2" xfId="0" applyFont="1" applyBorder="1"/>
    <xf numFmtId="0" fontId="1" fillId="0" borderId="2" xfId="0" applyFont="1" applyBorder="1" applyAlignment="1">
      <alignment wrapText="1"/>
    </xf>
    <xf numFmtId="3" fontId="13" fillId="0" borderId="11" xfId="0" applyNumberFormat="1" applyFont="1" applyBorder="1"/>
    <xf numFmtId="0" fontId="24" fillId="0" borderId="15" xfId="0" applyFont="1" applyBorder="1" applyAlignment="1">
      <alignment wrapText="1"/>
    </xf>
    <xf numFmtId="3" fontId="24" fillId="0" borderId="15" xfId="0" applyNumberFormat="1" applyFont="1" applyBorder="1"/>
    <xf numFmtId="0" fontId="1" fillId="0" borderId="0" xfId="0" applyFont="1" applyAlignment="1">
      <alignment vertical="center"/>
    </xf>
    <xf numFmtId="0" fontId="12" fillId="7" borderId="2" xfId="0" applyFont="1" applyFill="1" applyBorder="1" applyAlignment="1">
      <alignment horizontal="center" vertical="center"/>
    </xf>
    <xf numFmtId="0" fontId="12" fillId="8" borderId="2" xfId="0" applyFont="1" applyFill="1" applyBorder="1" applyAlignment="1">
      <alignment horizontal="center" vertical="center"/>
    </xf>
    <xf numFmtId="0" fontId="1" fillId="0" borderId="0" xfId="0" applyFont="1" applyBorder="1" applyAlignment="1">
      <alignment vertical="center" wrapText="1"/>
    </xf>
    <xf numFmtId="0" fontId="1" fillId="0" borderId="8" xfId="0" applyFont="1" applyFill="1" applyBorder="1" applyAlignment="1">
      <alignment vertical="center"/>
    </xf>
    <xf numFmtId="0" fontId="1" fillId="0" borderId="5" xfId="0" applyFont="1" applyFill="1" applyBorder="1" applyAlignment="1">
      <alignment vertical="center"/>
    </xf>
    <xf numFmtId="0" fontId="1" fillId="0" borderId="10" xfId="0" applyFont="1" applyFill="1" applyBorder="1" applyAlignment="1">
      <alignment vertical="center"/>
    </xf>
    <xf numFmtId="0" fontId="25" fillId="0" borderId="1" xfId="0" applyFont="1" applyBorder="1" applyAlignment="1">
      <alignment vertical="center"/>
    </xf>
    <xf numFmtId="0" fontId="25" fillId="0" borderId="1" xfId="0" applyFont="1" applyBorder="1" applyAlignment="1">
      <alignment vertical="center" wrapText="1"/>
    </xf>
    <xf numFmtId="3" fontId="25" fillId="0" borderId="1" xfId="0" applyNumberFormat="1" applyFont="1" applyBorder="1" applyAlignment="1">
      <alignment vertical="center"/>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12" fillId="8" borderId="21" xfId="0" applyFont="1" applyFill="1" applyBorder="1" applyAlignment="1">
      <alignment horizontal="center" vertical="center"/>
    </xf>
    <xf numFmtId="0" fontId="12" fillId="8" borderId="2" xfId="0" applyFont="1" applyFill="1" applyBorder="1" applyAlignment="1">
      <alignment horizontal="center" vertical="center"/>
    </xf>
    <xf numFmtId="0" fontId="12" fillId="7" borderId="2" xfId="0" applyFont="1" applyFill="1" applyBorder="1" applyAlignment="1">
      <alignment horizontal="center" vertical="center"/>
    </xf>
    <xf numFmtId="0" fontId="15" fillId="10" borderId="22" xfId="0" applyFont="1" applyFill="1" applyBorder="1" applyAlignment="1">
      <alignment wrapText="1"/>
    </xf>
    <xf numFmtId="3" fontId="3" fillId="3" borderId="21" xfId="0" applyNumberFormat="1" applyFont="1" applyFill="1" applyBorder="1" applyAlignment="1">
      <alignment wrapText="1"/>
    </xf>
    <xf numFmtId="3" fontId="13" fillId="0" borderId="2" xfId="0" applyNumberFormat="1" applyFont="1" applyBorder="1"/>
    <xf numFmtId="3" fontId="26" fillId="0" borderId="0" xfId="0" applyNumberFormat="1" applyFont="1" applyAlignment="1">
      <alignment vertical="center"/>
    </xf>
    <xf numFmtId="0" fontId="26" fillId="0" borderId="0" xfId="0" applyFont="1"/>
    <xf numFmtId="3" fontId="26" fillId="0" borderId="0" xfId="0" applyNumberFormat="1" applyFont="1"/>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3" fontId="13" fillId="3" borderId="26" xfId="0" applyNumberFormat="1" applyFont="1" applyFill="1" applyBorder="1" applyAlignment="1">
      <alignment vertical="center"/>
    </xf>
    <xf numFmtId="3" fontId="13" fillId="3" borderId="27" xfId="0" applyNumberFormat="1" applyFont="1" applyFill="1" applyBorder="1" applyAlignment="1">
      <alignment horizontal="right" vertical="center"/>
    </xf>
    <xf numFmtId="0" fontId="26" fillId="0" borderId="0" xfId="0" applyFont="1" applyAlignment="1">
      <alignment vertical="center"/>
    </xf>
    <xf numFmtId="0" fontId="8" fillId="0" borderId="2" xfId="0" applyFont="1" applyBorder="1" applyAlignment="1">
      <alignment horizontal="center" vertical="center" wrapText="1"/>
    </xf>
    <xf numFmtId="0" fontId="14" fillId="13" borderId="34" xfId="0" applyFont="1" applyFill="1" applyBorder="1" applyAlignment="1">
      <alignment horizontal="center" vertical="center" wrapText="1"/>
    </xf>
    <xf numFmtId="0" fontId="15" fillId="10" borderId="5" xfId="0" applyFont="1" applyFill="1" applyBorder="1" applyAlignment="1">
      <alignment horizontal="left" vertical="center"/>
    </xf>
    <xf numFmtId="0" fontId="15" fillId="10" borderId="13" xfId="0" applyFont="1" applyFill="1" applyBorder="1"/>
    <xf numFmtId="3" fontId="27" fillId="3" borderId="6" xfId="0" applyNumberFormat="1" applyFont="1" applyFill="1" applyBorder="1" applyAlignment="1">
      <alignment vertical="center"/>
    </xf>
    <xf numFmtId="4" fontId="27" fillId="3" borderId="7" xfId="0" applyNumberFormat="1" applyFont="1" applyFill="1" applyBorder="1" applyAlignment="1">
      <alignment vertical="center"/>
    </xf>
    <xf numFmtId="0" fontId="15" fillId="10" borderId="8" xfId="0" applyFont="1" applyFill="1" applyBorder="1" applyAlignment="1">
      <alignment horizontal="left" vertical="center"/>
    </xf>
    <xf numFmtId="0" fontId="15" fillId="10" borderId="4" xfId="0" applyFont="1" applyFill="1" applyBorder="1"/>
    <xf numFmtId="3" fontId="27" fillId="3" borderId="1" xfId="0" applyNumberFormat="1" applyFont="1" applyFill="1" applyBorder="1" applyAlignment="1">
      <alignment vertical="center"/>
    </xf>
    <xf numFmtId="4" fontId="27" fillId="3" borderId="9" xfId="0" applyNumberFormat="1" applyFont="1" applyFill="1" applyBorder="1" applyAlignment="1">
      <alignment vertical="center"/>
    </xf>
    <xf numFmtId="0" fontId="15" fillId="10" borderId="8" xfId="0" applyFont="1" applyFill="1" applyBorder="1" applyAlignment="1">
      <alignment horizontal="left" vertical="center" wrapText="1"/>
    </xf>
    <xf numFmtId="0" fontId="15" fillId="10" borderId="4" xfId="0" applyFont="1" applyFill="1" applyBorder="1" applyAlignment="1">
      <alignment wrapText="1"/>
    </xf>
    <xf numFmtId="3" fontId="27" fillId="3" borderId="1" xfId="0" applyNumberFormat="1" applyFont="1" applyFill="1" applyBorder="1" applyAlignment="1">
      <alignment vertical="center" wrapText="1"/>
    </xf>
    <xf numFmtId="0" fontId="15" fillId="10" borderId="22" xfId="0" applyFont="1" applyFill="1" applyBorder="1" applyAlignment="1">
      <alignment horizontal="left" vertical="center" wrapText="1"/>
    </xf>
    <xf numFmtId="0" fontId="15" fillId="10" borderId="46" xfId="0" applyFont="1" applyFill="1" applyBorder="1" applyAlignment="1">
      <alignment wrapText="1"/>
    </xf>
    <xf numFmtId="3" fontId="27" fillId="3" borderId="21" xfId="0" applyNumberFormat="1" applyFont="1" applyFill="1" applyBorder="1" applyAlignment="1">
      <alignment vertical="center" wrapText="1"/>
    </xf>
    <xf numFmtId="0" fontId="15" fillId="10" borderId="10" xfId="0" applyFont="1" applyFill="1" applyBorder="1" applyAlignment="1">
      <alignment horizontal="left" vertical="center"/>
    </xf>
    <xf numFmtId="0" fontId="15" fillId="10" borderId="47" xfId="0" applyFont="1" applyFill="1" applyBorder="1"/>
    <xf numFmtId="4" fontId="27" fillId="3" borderId="2" xfId="0" applyNumberFormat="1" applyFont="1" applyFill="1" applyBorder="1" applyAlignment="1">
      <alignment vertical="center"/>
    </xf>
    <xf numFmtId="3" fontId="27" fillId="3" borderId="2" xfId="0" applyNumberFormat="1" applyFont="1" applyFill="1" applyBorder="1" applyAlignment="1">
      <alignment vertical="center"/>
    </xf>
    <xf numFmtId="4" fontId="27" fillId="3" borderId="11" xfId="0" applyNumberFormat="1" applyFont="1" applyFill="1" applyBorder="1" applyAlignment="1">
      <alignment vertical="center"/>
    </xf>
    <xf numFmtId="3" fontId="28" fillId="13" borderId="0" xfId="0" applyNumberFormat="1" applyFont="1" applyFill="1" applyAlignment="1">
      <alignment vertical="center"/>
    </xf>
    <xf numFmtId="4" fontId="28" fillId="13" borderId="0" xfId="0" applyNumberFormat="1" applyFont="1" applyFill="1" applyAlignment="1">
      <alignment vertical="center"/>
    </xf>
    <xf numFmtId="0" fontId="8" fillId="0" borderId="1" xfId="0" applyFont="1" applyBorder="1" applyAlignment="1">
      <alignment horizontal="center" vertical="center" wrapText="1"/>
    </xf>
    <xf numFmtId="0" fontId="12" fillId="8" borderId="22" xfId="0" applyFont="1" applyFill="1" applyBorder="1" applyAlignment="1">
      <alignment horizontal="center" vertical="center"/>
    </xf>
    <xf numFmtId="0" fontId="8" fillId="0" borderId="1" xfId="0" applyFont="1" applyBorder="1" applyAlignment="1">
      <alignment horizontal="center" vertical="center"/>
    </xf>
    <xf numFmtId="0" fontId="12" fillId="8" borderId="10" xfId="0" applyFont="1" applyFill="1" applyBorder="1" applyAlignment="1">
      <alignment horizontal="center" vertical="center"/>
    </xf>
    <xf numFmtId="4" fontId="21" fillId="0" borderId="0" xfId="0" applyNumberFormat="1" applyFont="1" applyBorder="1"/>
    <xf numFmtId="0" fontId="13" fillId="1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3" fontId="8" fillId="0" borderId="1" xfId="0" applyNumberFormat="1" applyFont="1" applyBorder="1" applyAlignment="1">
      <alignment vertical="center"/>
    </xf>
    <xf numFmtId="0" fontId="3" fillId="4" borderId="1" xfId="0" applyFont="1" applyFill="1" applyBorder="1" applyAlignment="1">
      <alignment horizontal="center" wrapText="1"/>
    </xf>
    <xf numFmtId="0" fontId="3" fillId="4" borderId="1" xfId="0" applyFont="1" applyFill="1" applyBorder="1" applyAlignment="1">
      <alignment horizontal="center" vertical="center" wrapText="1"/>
    </xf>
    <xf numFmtId="0" fontId="9" fillId="0" borderId="0" xfId="0" applyFont="1"/>
    <xf numFmtId="3" fontId="21" fillId="3" borderId="1" xfId="0" applyNumberFormat="1" applyFont="1" applyFill="1" applyBorder="1" applyAlignment="1">
      <alignment vertical="center"/>
    </xf>
    <xf numFmtId="0" fontId="3" fillId="4" borderId="21" xfId="0" applyFont="1" applyFill="1" applyBorder="1" applyAlignment="1">
      <alignment horizontal="center" vertical="center" wrapText="1"/>
    </xf>
    <xf numFmtId="3" fontId="21" fillId="3" borderId="1" xfId="0" applyNumberFormat="1" applyFont="1" applyFill="1" applyBorder="1" applyAlignment="1">
      <alignment horizontal="center" vertical="center"/>
    </xf>
    <xf numFmtId="0" fontId="12" fillId="8" borderId="1" xfId="0" applyFont="1" applyFill="1" applyBorder="1" applyAlignment="1">
      <alignment horizontal="center" vertical="center"/>
    </xf>
    <xf numFmtId="3" fontId="17" fillId="12" borderId="1" xfId="0" applyNumberFormat="1" applyFont="1" applyFill="1" applyBorder="1" applyAlignment="1">
      <alignment horizontal="center" vertical="center" wrapText="1"/>
    </xf>
    <xf numFmtId="0" fontId="17" fillId="1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3" fontId="17" fillId="2" borderId="1" xfId="0" applyNumberFormat="1" applyFont="1" applyFill="1" applyBorder="1" applyAlignment="1">
      <alignment horizontal="center" vertical="center" wrapText="1"/>
    </xf>
    <xf numFmtId="0" fontId="8" fillId="0" borderId="1" xfId="0" applyFont="1" applyBorder="1" applyAlignment="1">
      <alignment vertical="center"/>
    </xf>
    <xf numFmtId="3" fontId="8" fillId="0" borderId="1" xfId="0" applyNumberFormat="1" applyFont="1" applyBorder="1" applyAlignment="1">
      <alignment horizontal="right" vertical="center"/>
    </xf>
    <xf numFmtId="3" fontId="21" fillId="3" borderId="1" xfId="0" applyNumberFormat="1" applyFont="1" applyFill="1" applyBorder="1" applyAlignment="1">
      <alignment horizontal="right" vertical="center"/>
    </xf>
    <xf numFmtId="3" fontId="3" fillId="4" borderId="21" xfId="0" applyNumberFormat="1" applyFont="1" applyFill="1" applyBorder="1" applyAlignment="1">
      <alignment horizontal="center" vertical="center" wrapText="1"/>
    </xf>
    <xf numFmtId="3" fontId="9" fillId="0" borderId="1" xfId="0" applyNumberFormat="1" applyFont="1" applyBorder="1" applyAlignment="1">
      <alignment vertical="center"/>
    </xf>
    <xf numFmtId="3" fontId="1" fillId="3" borderId="1" xfId="0" applyNumberFormat="1" applyFont="1" applyFill="1" applyBorder="1" applyAlignment="1">
      <alignment vertical="center"/>
    </xf>
    <xf numFmtId="3" fontId="1" fillId="0" borderId="1" xfId="0" applyNumberFormat="1" applyFont="1" applyFill="1" applyBorder="1" applyAlignment="1">
      <alignment vertical="center"/>
    </xf>
    <xf numFmtId="3" fontId="1" fillId="0" borderId="3" xfId="0" applyNumberFormat="1" applyFont="1" applyFill="1" applyBorder="1" applyAlignment="1">
      <alignment vertical="center"/>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12" fillId="7" borderId="5" xfId="0" applyFont="1" applyFill="1" applyBorder="1" applyAlignment="1">
      <alignment horizontal="center" vertical="center"/>
    </xf>
    <xf numFmtId="0" fontId="12" fillId="7" borderId="10" xfId="0" applyFont="1" applyFill="1" applyBorder="1" applyAlignment="1">
      <alignment horizontal="center" vertical="center"/>
    </xf>
    <xf numFmtId="0" fontId="12" fillId="7" borderId="6" xfId="0" applyFont="1" applyFill="1" applyBorder="1" applyAlignment="1">
      <alignment horizontal="center" vertical="center"/>
    </xf>
    <xf numFmtId="0" fontId="12" fillId="7" borderId="2" xfId="0" applyFont="1" applyFill="1" applyBorder="1" applyAlignment="1">
      <alignment horizontal="center" vertical="center"/>
    </xf>
    <xf numFmtId="0" fontId="12" fillId="7" borderId="6"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2" fillId="7" borderId="11" xfId="0" applyFont="1" applyFill="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12" fillId="8" borderId="5" xfId="0" applyFont="1" applyFill="1" applyBorder="1" applyAlignment="1">
      <alignment horizontal="center" vertical="center"/>
    </xf>
    <xf numFmtId="0" fontId="12" fillId="8" borderId="10" xfId="0" applyFont="1" applyFill="1" applyBorder="1" applyAlignment="1">
      <alignment horizontal="center" vertical="center"/>
    </xf>
    <xf numFmtId="0" fontId="12" fillId="8" borderId="6" xfId="0" applyFont="1" applyFill="1" applyBorder="1" applyAlignment="1">
      <alignment horizontal="center" vertical="center"/>
    </xf>
    <xf numFmtId="0" fontId="12" fillId="8" borderId="2" xfId="0" applyFont="1" applyFill="1" applyBorder="1" applyAlignment="1">
      <alignment horizontal="center" vertical="center"/>
    </xf>
    <xf numFmtId="0" fontId="12" fillId="8" borderId="6"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 xfId="0" applyFont="1" applyBorder="1" applyAlignment="1">
      <alignment horizontal="center" vertical="center"/>
    </xf>
    <xf numFmtId="0" fontId="12" fillId="8" borderId="22" xfId="0" applyFont="1" applyFill="1" applyBorder="1" applyAlignment="1">
      <alignment horizontal="center" vertical="center"/>
    </xf>
    <xf numFmtId="0" fontId="12" fillId="8" borderId="21" xfId="0" applyFont="1" applyFill="1" applyBorder="1" applyAlignment="1">
      <alignment horizontal="center" vertical="center"/>
    </xf>
    <xf numFmtId="0" fontId="12" fillId="8" borderId="21"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8" borderId="23" xfId="0" applyFont="1" applyFill="1" applyBorder="1" applyAlignment="1">
      <alignment horizontal="center" vertical="center"/>
    </xf>
    <xf numFmtId="0" fontId="12" fillId="8" borderId="11" xfId="0" applyFont="1" applyFill="1" applyBorder="1" applyAlignment="1">
      <alignment horizontal="center" vertical="center"/>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7" xfId="0" applyFont="1" applyBorder="1" applyAlignment="1">
      <alignment horizontal="center" vertical="center" wrapText="1"/>
    </xf>
    <xf numFmtId="0" fontId="17" fillId="12" borderId="1" xfId="0" applyFont="1" applyFill="1" applyBorder="1" applyAlignment="1">
      <alignment horizontal="center" vertical="center" wrapText="1"/>
    </xf>
    <xf numFmtId="0" fontId="8" fillId="0" borderId="21" xfId="0" applyFont="1" applyBorder="1" applyAlignment="1">
      <alignment horizontal="center" vertical="center" wrapText="1"/>
    </xf>
    <xf numFmtId="0" fontId="8" fillId="0" borderId="39" xfId="0" applyFont="1" applyBorder="1" applyAlignment="1">
      <alignment horizontal="center" vertical="center" wrapText="1"/>
    </xf>
    <xf numFmtId="0" fontId="12" fillId="7" borderId="1" xfId="0" applyFont="1" applyFill="1" applyBorder="1" applyAlignment="1">
      <alignment horizontal="center" vertical="center"/>
    </xf>
    <xf numFmtId="0" fontId="2" fillId="8" borderId="20"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3" fillId="11" borderId="43" xfId="0" applyFont="1" applyFill="1" applyBorder="1" applyAlignment="1">
      <alignment horizontal="center" vertical="center" wrapText="1"/>
    </xf>
    <xf numFmtId="0" fontId="3" fillId="11" borderId="44" xfId="0" applyFont="1" applyFill="1" applyBorder="1" applyAlignment="1">
      <alignment horizontal="center" vertical="center" wrapText="1"/>
    </xf>
    <xf numFmtId="0" fontId="3" fillId="11" borderId="12" xfId="0" applyFont="1" applyFill="1" applyBorder="1" applyAlignment="1">
      <alignment horizontal="center" vertical="center" wrapText="1"/>
    </xf>
    <xf numFmtId="0" fontId="3" fillId="11" borderId="15"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3" fillId="11" borderId="36" xfId="0" applyFont="1" applyFill="1" applyBorder="1" applyAlignment="1">
      <alignment horizontal="center" vertical="center" wrapText="1"/>
    </xf>
    <xf numFmtId="0" fontId="3" fillId="11" borderId="34" xfId="0" applyFont="1" applyFill="1" applyBorder="1" applyAlignment="1">
      <alignment horizontal="center" vertical="center" wrapText="1"/>
    </xf>
    <xf numFmtId="0" fontId="3" fillId="11" borderId="41" xfId="0" applyFont="1" applyFill="1" applyBorder="1" applyAlignment="1">
      <alignment horizontal="center" vertical="center" wrapText="1"/>
    </xf>
    <xf numFmtId="0" fontId="3" fillId="11" borderId="42" xfId="0" applyFont="1" applyFill="1" applyBorder="1" applyAlignment="1">
      <alignment horizontal="center" vertical="center" wrapText="1"/>
    </xf>
    <xf numFmtId="0" fontId="17" fillId="12" borderId="41" xfId="0" applyFont="1" applyFill="1" applyBorder="1" applyAlignment="1">
      <alignment horizontal="center" vertical="center" wrapText="1"/>
    </xf>
    <xf numFmtId="0" fontId="17" fillId="12" borderId="42" xfId="0" applyFont="1" applyFill="1" applyBorder="1" applyAlignment="1">
      <alignment horizontal="center" vertical="center" wrapText="1"/>
    </xf>
    <xf numFmtId="0" fontId="13" fillId="12" borderId="41" xfId="0" applyFont="1" applyFill="1" applyBorder="1" applyAlignment="1">
      <alignment horizontal="center" vertical="center" wrapText="1"/>
    </xf>
    <xf numFmtId="0" fontId="13" fillId="12" borderId="42"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7" borderId="18" xfId="0" applyFont="1" applyFill="1" applyBorder="1" applyAlignment="1">
      <alignment horizontal="center" vertical="center" wrapText="1"/>
    </xf>
    <xf numFmtId="3" fontId="13" fillId="3" borderId="21" xfId="0" applyNumberFormat="1" applyFont="1" applyFill="1" applyBorder="1" applyAlignment="1">
      <alignment horizontal="center" vertical="center"/>
    </xf>
    <xf numFmtId="3" fontId="13" fillId="3" borderId="33" xfId="0" applyNumberFormat="1" applyFont="1" applyFill="1" applyBorder="1" applyAlignment="1">
      <alignment horizontal="center" vertical="center"/>
    </xf>
    <xf numFmtId="3" fontId="13" fillId="3" borderId="34" xfId="0" applyNumberFormat="1" applyFont="1" applyFill="1" applyBorder="1" applyAlignment="1">
      <alignment horizontal="center" vertical="center"/>
    </xf>
    <xf numFmtId="3" fontId="10" fillId="0" borderId="29" xfId="0" applyNumberFormat="1" applyFont="1" applyBorder="1" applyAlignment="1">
      <alignment horizontal="center" vertical="center" wrapText="1"/>
    </xf>
    <xf numFmtId="3" fontId="10" fillId="0" borderId="46" xfId="0" applyNumberFormat="1" applyFont="1" applyBorder="1" applyAlignment="1">
      <alignment horizontal="center" vertical="center" wrapText="1"/>
    </xf>
    <xf numFmtId="3" fontId="10" fillId="0" borderId="48" xfId="0" applyNumberFormat="1" applyFont="1" applyBorder="1" applyAlignment="1">
      <alignment horizontal="center" vertical="center" wrapText="1"/>
    </xf>
    <xf numFmtId="3" fontId="10" fillId="0" borderId="49" xfId="0" applyNumberFormat="1" applyFont="1" applyBorder="1" applyAlignment="1">
      <alignment horizontal="center" vertical="center" wrapText="1"/>
    </xf>
    <xf numFmtId="3" fontId="10" fillId="0" borderId="50" xfId="0" applyNumberFormat="1" applyFont="1" applyBorder="1" applyAlignment="1">
      <alignment horizontal="center" vertical="center" wrapText="1"/>
    </xf>
    <xf numFmtId="3" fontId="10" fillId="0" borderId="51" xfId="0" applyNumberFormat="1" applyFont="1" applyBorder="1" applyAlignment="1">
      <alignment horizontal="center" vertical="center" wrapText="1"/>
    </xf>
    <xf numFmtId="0" fontId="17" fillId="12" borderId="6" xfId="0" applyFont="1" applyFill="1" applyBorder="1" applyAlignment="1">
      <alignment horizontal="center" vertical="center" wrapText="1"/>
    </xf>
    <xf numFmtId="0" fontId="13" fillId="12" borderId="6" xfId="0" applyFont="1" applyFill="1" applyBorder="1" applyAlignment="1">
      <alignment horizontal="center" vertical="center" wrapText="1"/>
    </xf>
    <xf numFmtId="3" fontId="17" fillId="12" borderId="12" xfId="0" applyNumberFormat="1" applyFont="1" applyFill="1" applyBorder="1" applyAlignment="1">
      <alignment horizontal="center" vertical="center" wrapText="1"/>
    </xf>
    <xf numFmtId="3" fontId="17" fillId="12" borderId="13" xfId="0" applyNumberFormat="1" applyFont="1" applyFill="1" applyBorder="1" applyAlignment="1">
      <alignment horizontal="center" vertical="center" wrapText="1"/>
    </xf>
    <xf numFmtId="3" fontId="13" fillId="12" borderId="12" xfId="0" applyNumberFormat="1" applyFont="1" applyFill="1" applyBorder="1" applyAlignment="1">
      <alignment horizontal="center" vertical="center" wrapText="1"/>
    </xf>
    <xf numFmtId="3" fontId="13" fillId="12" borderId="13" xfId="0" applyNumberFormat="1" applyFont="1" applyFill="1" applyBorder="1" applyAlignment="1">
      <alignment horizontal="center" vertical="center" wrapText="1"/>
    </xf>
    <xf numFmtId="3" fontId="18" fillId="5" borderId="3" xfId="0" applyNumberFormat="1" applyFont="1" applyFill="1" applyBorder="1" applyAlignment="1">
      <alignment horizontal="center" vertical="center" wrapText="1"/>
    </xf>
    <xf numFmtId="3" fontId="18" fillId="5" borderId="4" xfId="0" applyNumberFormat="1" applyFont="1" applyFill="1" applyBorder="1" applyAlignment="1">
      <alignment horizontal="center" vertical="center" wrapText="1"/>
    </xf>
    <xf numFmtId="0" fontId="13" fillId="3" borderId="21"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4" xfId="0" applyFont="1" applyFill="1" applyBorder="1" applyAlignment="1">
      <alignment horizontal="center" vertical="center"/>
    </xf>
    <xf numFmtId="0" fontId="12" fillId="7" borderId="35" xfId="0" applyFont="1" applyFill="1" applyBorder="1" applyAlignment="1">
      <alignment horizontal="center" vertical="center" wrapText="1"/>
    </xf>
    <xf numFmtId="0" fontId="12" fillId="7" borderId="37" xfId="0" applyFont="1" applyFill="1" applyBorder="1" applyAlignment="1">
      <alignment horizontal="center" vertical="center" wrapText="1"/>
    </xf>
    <xf numFmtId="0" fontId="12" fillId="7" borderId="36" xfId="0" applyFont="1" applyFill="1" applyBorder="1" applyAlignment="1">
      <alignment horizontal="center" vertical="center" wrapText="1"/>
    </xf>
    <xf numFmtId="0" fontId="12" fillId="7" borderId="34" xfId="0" applyFont="1" applyFill="1" applyBorder="1" applyAlignment="1">
      <alignment horizontal="center" vertical="center" wrapText="1"/>
    </xf>
    <xf numFmtId="0" fontId="12" fillId="7" borderId="11" xfId="0" applyFont="1" applyFill="1" applyBorder="1" applyAlignment="1">
      <alignment horizontal="center" vertical="center" wrapText="1"/>
    </xf>
  </cellXfs>
  <cellStyles count="11">
    <cellStyle name="Navadno" xfId="0" builtinId="0"/>
    <cellStyle name="Odstotek" xfId="1" builtinId="5"/>
    <cellStyle name="Valuta 2" xfId="4" xr:uid="{EF63AA53-5E0E-4C8E-81E9-CD8A1D248F0B}"/>
    <cellStyle name="Valuta 2 2" xfId="6" xr:uid="{92AD1964-1C32-4B19-891C-3B75BD4EA653}"/>
    <cellStyle name="Valuta 2 3" xfId="8" xr:uid="{CC1AD2F2-CBA2-4BDC-97B2-73BCA12071DB}"/>
    <cellStyle name="Valuta 2 4" xfId="10" xr:uid="{5BA5BC4F-41F5-459B-B45F-452A80F4FC58}"/>
    <cellStyle name="Vejica 2" xfId="2" xr:uid="{A36DE47A-A7C5-4C27-8F3F-60F27461F349}"/>
    <cellStyle name="Vejica 3" xfId="3" xr:uid="{CF491DEF-CE23-4387-97AF-7F9F60BD7C58}"/>
    <cellStyle name="Vejica 3 2" xfId="5" xr:uid="{59F38750-C951-4E22-A472-168E2471739B}"/>
    <cellStyle name="Vejica 3 3" xfId="7" xr:uid="{5D909782-BDE1-49F7-8E1C-44CF08445ACE}"/>
    <cellStyle name="Vejica 3 4" xfId="9" xr:uid="{9448048B-84C5-46DC-A9DB-21ACFEA12045}"/>
  </cellStyles>
  <dxfs count="5">
    <dxf>
      <font>
        <b val="0"/>
        <i val="0"/>
        <strike val="0"/>
        <condense val="0"/>
        <extend val="0"/>
        <outline val="0"/>
        <shadow val="0"/>
        <u val="none"/>
        <vertAlign val="baseline"/>
        <sz val="12"/>
        <color theme="1"/>
        <name val="Times New Roman"/>
        <family val="1"/>
        <charset val="238"/>
        <scheme val="none"/>
      </font>
      <numFmt numFmtId="4" formatCode="#,##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medium">
          <color indexed="64"/>
        </right>
        <top style="thin">
          <color indexed="64"/>
        </top>
        <bottom style="medium">
          <color indexed="64"/>
        </bottom>
        <vertical/>
        <horizontal/>
      </border>
    </dxf>
    <dxf>
      <font>
        <b val="0"/>
        <i val="0"/>
        <strike val="0"/>
        <condense val="0"/>
        <extend val="0"/>
        <outline val="0"/>
        <shadow val="0"/>
        <u val="none"/>
        <vertAlign val="baseline"/>
        <sz val="12"/>
        <color theme="1"/>
        <name val="Times New Roman"/>
        <family val="1"/>
        <charset val="238"/>
        <scheme val="none"/>
      </font>
      <numFmt numFmtId="3" formatCode="#,##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border outline="0">
        <top style="medium">
          <color indexed="64"/>
        </top>
        <bottom style="thin">
          <color indexed="64"/>
        </bottom>
      </border>
    </dxf>
    <dxf>
      <border outline="0">
        <bottom style="medium">
          <color indexed="64"/>
        </bottom>
      </border>
    </dxf>
    <dxf>
      <font>
        <b/>
        <i val="0"/>
        <strike val="0"/>
        <condense val="0"/>
        <extend val="0"/>
        <outline val="0"/>
        <shadow val="0"/>
        <u val="none"/>
        <vertAlign val="baseline"/>
        <sz val="12"/>
        <color theme="0"/>
        <name val="Times New Roman"/>
        <family val="1"/>
        <charset val="238"/>
        <scheme val="none"/>
      </font>
      <fill>
        <patternFill patternType="solid">
          <fgColor indexed="64"/>
          <bgColor rgb="FF00B050"/>
        </patternFill>
      </fill>
      <border diagonalUp="0" diagonalDown="0" outline="0">
        <left style="thin">
          <color indexed="64"/>
        </left>
        <right style="thin">
          <color indexed="64"/>
        </right>
        <top/>
        <bottom/>
      </border>
    </dxf>
  </dxfs>
  <tableStyles count="0" defaultTableStyle="TableStyleMedium2" defaultPivotStyle="PivotStyleLight16"/>
  <colors>
    <mruColors>
      <color rgb="FFF17E1F"/>
      <color rgb="FF88B9F4"/>
      <color rgb="FFE20CAF"/>
      <color rgb="FF70C27A"/>
      <color rgb="FF00915A"/>
      <color rgb="FFE6AF00"/>
      <color rgb="FFBB3333"/>
      <color rgb="FFEE2D26"/>
      <color rgb="FF2D5195"/>
      <color rgb="FFF18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75"/>
      <c:rotY val="221"/>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343641683475811"/>
          <c:y val="0.16696359753863263"/>
          <c:w val="0.77193302082605597"/>
          <c:h val="0.83303640246136745"/>
        </c:manualLayout>
      </c:layout>
      <c:pie3DChart>
        <c:varyColors val="1"/>
        <c:ser>
          <c:idx val="0"/>
          <c:order val="0"/>
          <c:explosion val="5"/>
          <c:dPt>
            <c:idx val="0"/>
            <c:bubble3D val="0"/>
            <c:spPr>
              <a:solidFill>
                <a:srgbClr val="00915A"/>
              </a:solidFill>
              <a:ln w="25400">
                <a:solidFill>
                  <a:schemeClr val="lt1"/>
                </a:solidFill>
              </a:ln>
              <a:effectLst/>
              <a:sp3d contourW="25400">
                <a:contourClr>
                  <a:schemeClr val="lt1"/>
                </a:contourClr>
              </a:sp3d>
            </c:spPr>
            <c:extLst>
              <c:ext xmlns:c16="http://schemas.microsoft.com/office/drawing/2014/chart" uri="{C3380CC4-5D6E-409C-BE32-E72D297353CC}">
                <c16:uniqueId val="{00000002-AC0A-4D12-AB48-72C54BE0151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5-AC0A-4D12-AB48-72C54BE01512}"/>
              </c:ext>
            </c:extLst>
          </c:dPt>
          <c:dPt>
            <c:idx val="2"/>
            <c:bubble3D val="0"/>
            <c:spPr>
              <a:solidFill>
                <a:srgbClr val="0070C0"/>
              </a:solidFill>
              <a:ln w="25400">
                <a:solidFill>
                  <a:schemeClr val="lt1"/>
                </a:solidFill>
              </a:ln>
              <a:effectLst/>
              <a:sp3d contourW="25400">
                <a:contourClr>
                  <a:schemeClr val="lt1"/>
                </a:contourClr>
              </a:sp3d>
            </c:spPr>
            <c:extLst>
              <c:ext xmlns:c16="http://schemas.microsoft.com/office/drawing/2014/chart" uri="{C3380CC4-5D6E-409C-BE32-E72D297353CC}">
                <c16:uniqueId val="{00000008-7EDC-43C8-8FE2-8771D7FA4AEC}"/>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A-7EDC-43C8-8FE2-8771D7FA4AEC}"/>
              </c:ext>
            </c:extLst>
          </c:dPt>
          <c:dPt>
            <c:idx val="4"/>
            <c:bubble3D val="0"/>
            <c:spPr>
              <a:solidFill>
                <a:srgbClr val="E20CAF"/>
              </a:solidFill>
              <a:ln w="25400">
                <a:solidFill>
                  <a:schemeClr val="lt1"/>
                </a:solidFill>
              </a:ln>
              <a:effectLst/>
              <a:sp3d contourW="25400">
                <a:contourClr>
                  <a:schemeClr val="lt1"/>
                </a:contourClr>
              </a:sp3d>
            </c:spPr>
            <c:extLst>
              <c:ext xmlns:c16="http://schemas.microsoft.com/office/drawing/2014/chart" uri="{C3380CC4-5D6E-409C-BE32-E72D297353CC}">
                <c16:uniqueId val="{00000009-D6A5-4D4F-BDA5-9361DC28001B}"/>
              </c:ext>
            </c:extLst>
          </c:dPt>
          <c:dLbls>
            <c:dLbl>
              <c:idx val="0"/>
              <c:spPr>
                <a:noFill/>
                <a:ln>
                  <a:noFill/>
                </a:ln>
                <a:effectLst/>
              </c:spPr>
              <c:txPr>
                <a:bodyPr rot="0" spcFirstLastPara="1" vertOverflow="ellipsis" vert="horz" wrap="none" lIns="38100" tIns="19050" rIns="38100" bIns="19050" anchor="t" anchorCtr="0">
                  <a:spAutoFit/>
                </a:bodyPr>
                <a:lstStyle/>
                <a:p>
                  <a:pPr>
                    <a:defRPr sz="1200" b="0" i="0" u="none" strike="noStrike" kern="1200" baseline="0">
                      <a:solidFill>
                        <a:schemeClr val="tx1">
                          <a:lumMod val="75000"/>
                          <a:lumOff val="25000"/>
                        </a:schemeClr>
                      </a:solidFill>
                      <a:latin typeface="+mn-lt"/>
                      <a:ea typeface="+mn-ea"/>
                      <a:cs typeface="+mn-cs"/>
                    </a:defRPr>
                  </a:pPr>
                  <a:endParaRPr lang="sl-SI"/>
                </a:p>
              </c:txPr>
              <c:dLblPos val="bestFit"/>
              <c:showLegendKey val="0"/>
              <c:showVal val="1"/>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AC0A-4D12-AB48-72C54BE01512}"/>
                </c:ext>
              </c:extLst>
            </c:dLbl>
            <c:dLbl>
              <c:idx val="1"/>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C0A-4D12-AB48-72C54BE01512}"/>
                </c:ext>
              </c:extLst>
            </c:dLbl>
            <c:dLbl>
              <c:idx val="2"/>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7EDC-43C8-8FE2-8771D7FA4AEC}"/>
                </c:ext>
              </c:extLst>
            </c:dLbl>
            <c:dLbl>
              <c:idx val="3"/>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7EDC-43C8-8FE2-8771D7FA4AEC}"/>
                </c:ext>
              </c:extLst>
            </c:dLbl>
            <c:dLbl>
              <c:idx val="4"/>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A5-4D4F-BDA5-9361DC2800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sl-SI"/>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Analysis!$A$2:$A$6</c:f>
              <c:strCache>
                <c:ptCount val="5"/>
                <c:pt idx="0">
                  <c:v>Low Carbon Transport</c:v>
                </c:pt>
                <c:pt idx="1">
                  <c:v>Access to Essential Services -Education</c:v>
                </c:pt>
                <c:pt idx="2">
                  <c:v>Employment Generation and Socio-economic Advancement and Empowerment </c:v>
                </c:pt>
                <c:pt idx="3">
                  <c:v>Access to Essential Services -Social Inclusion</c:v>
                </c:pt>
                <c:pt idx="4">
                  <c:v>Access to Essential Services -Healthcare</c:v>
                </c:pt>
              </c:strCache>
            </c:strRef>
          </c:cat>
          <c:val>
            <c:numRef>
              <c:f>Analysis!$E$2:$E$6</c:f>
              <c:numCache>
                <c:formatCode>#,##0.00</c:formatCode>
                <c:ptCount val="5"/>
                <c:pt idx="0">
                  <c:v>38.60259722665991</c:v>
                </c:pt>
                <c:pt idx="1">
                  <c:v>9.7958423707812834</c:v>
                </c:pt>
                <c:pt idx="2">
                  <c:v>1.3939058341014832</c:v>
                </c:pt>
                <c:pt idx="3">
                  <c:v>0.34487446117052606</c:v>
                </c:pt>
                <c:pt idx="4">
                  <c:v>49.862780107286788</c:v>
                </c:pt>
              </c:numCache>
            </c:numRef>
          </c:val>
          <c:extLst>
            <c:ext xmlns:c16="http://schemas.microsoft.com/office/drawing/2014/chart" uri="{C3380CC4-5D6E-409C-BE32-E72D297353CC}">
              <c16:uniqueId val="{00000000-AC0A-4D12-AB48-72C54BE01512}"/>
            </c:ext>
          </c:extLst>
        </c:ser>
        <c:dLbls>
          <c:showLegendKey val="0"/>
          <c:showVal val="0"/>
          <c:showCatName val="0"/>
          <c:showSerName val="0"/>
          <c:showPercent val="1"/>
          <c:showBubbleSize val="0"/>
          <c:showLeaderLines val="1"/>
        </c:dLbls>
      </c:pie3DChart>
      <c:spPr>
        <a:noFill/>
        <a:ln>
          <a:noFill/>
        </a:ln>
        <a:effectLst/>
      </c:spPr>
    </c:plotArea>
    <c:legend>
      <c:legendPos val="b"/>
      <c:layout>
        <c:manualLayout>
          <c:xMode val="edge"/>
          <c:yMode val="edge"/>
          <c:x val="6.850772164013165E-2"/>
          <c:y val="3.2234934966600973E-2"/>
          <c:w val="0.89354553796768343"/>
          <c:h val="9.24275462063366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2</xdr:row>
      <xdr:rowOff>30480</xdr:rowOff>
    </xdr:from>
    <xdr:to>
      <xdr:col>1</xdr:col>
      <xdr:colOff>1659932</xdr:colOff>
      <xdr:row>2</xdr:row>
      <xdr:rowOff>685800</xdr:rowOff>
    </xdr:to>
    <xdr:pic>
      <xdr:nvPicPr>
        <xdr:cNvPr id="9" name="Slika 8">
          <a:extLst>
            <a:ext uri="{FF2B5EF4-FFF2-40B4-BE49-F238E27FC236}">
              <a16:creationId xmlns:a16="http://schemas.microsoft.com/office/drawing/2014/main" id="{820D51BC-CBBF-421F-BF9A-5CCF5FAC00B3}"/>
            </a:ext>
          </a:extLst>
        </xdr:cNvPr>
        <xdr:cNvPicPr>
          <a:picLocks noChangeAspect="1"/>
        </xdr:cNvPicPr>
      </xdr:nvPicPr>
      <xdr:blipFill>
        <a:blip xmlns:r="http://schemas.openxmlformats.org/officeDocument/2006/relationships" r:embed="rId1"/>
        <a:stretch>
          <a:fillRect/>
        </a:stretch>
      </xdr:blipFill>
      <xdr:spPr>
        <a:xfrm>
          <a:off x="3398521" y="1264920"/>
          <a:ext cx="1278931" cy="655320"/>
        </a:xfrm>
        <a:prstGeom prst="rect">
          <a:avLst/>
        </a:prstGeom>
      </xdr:spPr>
    </xdr:pic>
    <xdr:clientData/>
  </xdr:twoCellAnchor>
  <xdr:twoCellAnchor editAs="oneCell">
    <xdr:from>
      <xdr:col>1</xdr:col>
      <xdr:colOff>419101</xdr:colOff>
      <xdr:row>1</xdr:row>
      <xdr:rowOff>15240</xdr:rowOff>
    </xdr:from>
    <xdr:to>
      <xdr:col>1</xdr:col>
      <xdr:colOff>1661006</xdr:colOff>
      <xdr:row>1</xdr:row>
      <xdr:rowOff>662940</xdr:rowOff>
    </xdr:to>
    <xdr:pic>
      <xdr:nvPicPr>
        <xdr:cNvPr id="12" name="Slika 11">
          <a:extLst>
            <a:ext uri="{FF2B5EF4-FFF2-40B4-BE49-F238E27FC236}">
              <a16:creationId xmlns:a16="http://schemas.microsoft.com/office/drawing/2014/main" id="{E6BF383F-9777-4FA3-AFC0-7696B6A882FF}"/>
            </a:ext>
          </a:extLst>
        </xdr:cNvPr>
        <xdr:cNvPicPr>
          <a:picLocks noChangeAspect="1"/>
        </xdr:cNvPicPr>
      </xdr:nvPicPr>
      <xdr:blipFill>
        <a:blip xmlns:r="http://schemas.openxmlformats.org/officeDocument/2006/relationships" r:embed="rId2"/>
        <a:stretch>
          <a:fillRect/>
        </a:stretch>
      </xdr:blipFill>
      <xdr:spPr>
        <a:xfrm>
          <a:off x="3436621" y="594360"/>
          <a:ext cx="1247620" cy="647700"/>
        </a:xfrm>
        <a:prstGeom prst="rect">
          <a:avLst/>
        </a:prstGeom>
      </xdr:spPr>
    </xdr:pic>
    <xdr:clientData/>
  </xdr:twoCellAnchor>
  <xdr:twoCellAnchor editAs="oneCell">
    <xdr:from>
      <xdr:col>1</xdr:col>
      <xdr:colOff>723900</xdr:colOff>
      <xdr:row>4</xdr:row>
      <xdr:rowOff>45970</xdr:rowOff>
    </xdr:from>
    <xdr:to>
      <xdr:col>1</xdr:col>
      <xdr:colOff>1436370</xdr:colOff>
      <xdr:row>4</xdr:row>
      <xdr:rowOff>762250</xdr:rowOff>
    </xdr:to>
    <xdr:pic>
      <xdr:nvPicPr>
        <xdr:cNvPr id="16" name="Slika 15">
          <a:extLst>
            <a:ext uri="{FF2B5EF4-FFF2-40B4-BE49-F238E27FC236}">
              <a16:creationId xmlns:a16="http://schemas.microsoft.com/office/drawing/2014/main" id="{22E968E1-A36B-4967-8DF9-43C723486E10}"/>
            </a:ext>
          </a:extLst>
        </xdr:cNvPr>
        <xdr:cNvPicPr>
          <a:picLocks noChangeAspect="1"/>
        </xdr:cNvPicPr>
      </xdr:nvPicPr>
      <xdr:blipFill>
        <a:blip xmlns:r="http://schemas.openxmlformats.org/officeDocument/2006/relationships" r:embed="rId3"/>
        <a:stretch>
          <a:fillRect/>
        </a:stretch>
      </xdr:blipFill>
      <xdr:spPr>
        <a:xfrm>
          <a:off x="3741420" y="2941570"/>
          <a:ext cx="716280" cy="716280"/>
        </a:xfrm>
        <a:prstGeom prst="rect">
          <a:avLst/>
        </a:prstGeom>
      </xdr:spPr>
    </xdr:pic>
    <xdr:clientData/>
  </xdr:twoCellAnchor>
  <xdr:twoCellAnchor editAs="oneCell">
    <xdr:from>
      <xdr:col>1</xdr:col>
      <xdr:colOff>99059</xdr:colOff>
      <xdr:row>3</xdr:row>
      <xdr:rowOff>126144</xdr:rowOff>
    </xdr:from>
    <xdr:to>
      <xdr:col>1</xdr:col>
      <xdr:colOff>2651114</xdr:colOff>
      <xdr:row>3</xdr:row>
      <xdr:rowOff>788669</xdr:rowOff>
    </xdr:to>
    <xdr:pic>
      <xdr:nvPicPr>
        <xdr:cNvPr id="17" name="Slika 16">
          <a:extLst>
            <a:ext uri="{FF2B5EF4-FFF2-40B4-BE49-F238E27FC236}">
              <a16:creationId xmlns:a16="http://schemas.microsoft.com/office/drawing/2014/main" id="{6B901CEA-6B1A-427D-AD25-9B72BFBB9F11}"/>
            </a:ext>
          </a:extLst>
        </xdr:cNvPr>
        <xdr:cNvPicPr>
          <a:picLocks noChangeAspect="1"/>
        </xdr:cNvPicPr>
      </xdr:nvPicPr>
      <xdr:blipFill>
        <a:blip xmlns:r="http://schemas.openxmlformats.org/officeDocument/2006/relationships" r:embed="rId4"/>
        <a:stretch>
          <a:fillRect/>
        </a:stretch>
      </xdr:blipFill>
      <xdr:spPr>
        <a:xfrm>
          <a:off x="3116579" y="2130204"/>
          <a:ext cx="2544435" cy="666335"/>
        </a:xfrm>
        <a:prstGeom prst="rect">
          <a:avLst/>
        </a:prstGeom>
      </xdr:spPr>
    </xdr:pic>
    <xdr:clientData/>
  </xdr:twoCellAnchor>
  <xdr:twoCellAnchor editAs="oneCell">
    <xdr:from>
      <xdr:col>1</xdr:col>
      <xdr:colOff>716280</xdr:colOff>
      <xdr:row>5</xdr:row>
      <xdr:rowOff>53340</xdr:rowOff>
    </xdr:from>
    <xdr:to>
      <xdr:col>1</xdr:col>
      <xdr:colOff>1428689</xdr:colOff>
      <xdr:row>5</xdr:row>
      <xdr:rowOff>762000</xdr:rowOff>
    </xdr:to>
    <xdr:pic>
      <xdr:nvPicPr>
        <xdr:cNvPr id="19" name="Slika 18">
          <a:extLst>
            <a:ext uri="{FF2B5EF4-FFF2-40B4-BE49-F238E27FC236}">
              <a16:creationId xmlns:a16="http://schemas.microsoft.com/office/drawing/2014/main" id="{82D42014-3CEF-4339-BB3B-3E80722E8CEB}"/>
            </a:ext>
          </a:extLst>
        </xdr:cNvPr>
        <xdr:cNvPicPr>
          <a:picLocks noChangeAspect="1"/>
        </xdr:cNvPicPr>
      </xdr:nvPicPr>
      <xdr:blipFill>
        <a:blip xmlns:r="http://schemas.openxmlformats.org/officeDocument/2006/relationships" r:embed="rId5"/>
        <a:stretch>
          <a:fillRect/>
        </a:stretch>
      </xdr:blipFill>
      <xdr:spPr>
        <a:xfrm>
          <a:off x="3733800" y="3787140"/>
          <a:ext cx="720029" cy="708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891540</xdr:colOff>
      <xdr:row>15</xdr:row>
      <xdr:rowOff>86675</xdr:rowOff>
    </xdr:from>
    <xdr:to>
      <xdr:col>9</xdr:col>
      <xdr:colOff>104775</xdr:colOff>
      <xdr:row>54</xdr:row>
      <xdr:rowOff>123824</xdr:rowOff>
    </xdr:to>
    <xdr:graphicFrame macro="">
      <xdr:nvGraphicFramePr>
        <xdr:cNvPr id="5" name="Grafikon 4">
          <a:extLst>
            <a:ext uri="{FF2B5EF4-FFF2-40B4-BE49-F238E27FC236}">
              <a16:creationId xmlns:a16="http://schemas.microsoft.com/office/drawing/2014/main" id="{6A7F28EB-975A-4A76-8EF5-FCD268EFFA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72BF4DB-C60A-4150-99D7-3FEBA3C931F6}" name="Tabela1" displayName="Tabela1" ref="A1:F7" totalsRowShown="0" headerRowDxfId="4" headerRowBorderDxfId="3" tableBorderDxfId="2">
  <autoFilter ref="A1:F7" xr:uid="{6DA5831A-434A-426E-B033-4560B9E4B25B}">
    <filterColumn colId="0" hiddenButton="1"/>
    <filterColumn colId="1" hiddenButton="1"/>
    <filterColumn colId="2" hiddenButton="1"/>
    <filterColumn colId="3" hiddenButton="1"/>
    <filterColumn colId="4" hiddenButton="1"/>
    <filterColumn colId="5" hiddenButton="1"/>
  </autoFilter>
  <tableColumns count="6">
    <tableColumn id="1" xr3:uid="{30F02E20-7F0F-4B87-A205-1977EFDBAB45}" name="Category"/>
    <tableColumn id="2" xr3:uid="{678A6C23-7F80-4BCF-9B6C-27ECE070A4BA}" name="SDGs"/>
    <tableColumn id="3" xr3:uid="{270872F3-0033-4128-A1E0-3EDAB536F80B}" name="Allocated in 2020 (€)"/>
    <tableColumn id="4" xr3:uid="{B9EF3297-28E4-4415-8F4F-D2BE7F4813DE}" name="Allocated in 2021(€)"/>
    <tableColumn id="5" xr3:uid="{3104FE14-F0AF-4250-98FF-EF78F81839DD}" name="Total (€)" dataDxfId="1"/>
    <tableColumn id="6" xr3:uid="{DBFEC827-68DD-4745-A4E8-64A7C9EAC9D9}" name="Share (%)" dataDxfId="0"/>
  </tableColumns>
  <tableStyleInfo name="TableStyleMedium2" showFirstColumn="0" showLastColumn="0" showRowStripes="1" showColumnStripes="0"/>
</table>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B7A39-AF02-4C4D-899D-E03903CA5955}">
  <dimension ref="A1:F7"/>
  <sheetViews>
    <sheetView showGridLines="0" workbookViewId="0">
      <selection activeCell="J7" sqref="J7"/>
    </sheetView>
  </sheetViews>
  <sheetFormatPr defaultColWidth="8.88671875" defaultRowHeight="14.4" x14ac:dyDescent="0.3"/>
  <cols>
    <col min="1" max="1" width="44" style="10" customWidth="1"/>
    <col min="2" max="2" width="40.109375" style="10" customWidth="1"/>
    <col min="3" max="4" width="15.33203125" style="10" customWidth="1"/>
    <col min="5" max="5" width="14.33203125" style="10" customWidth="1"/>
    <col min="6" max="6" width="12.44140625" style="10" customWidth="1"/>
    <col min="7" max="16384" width="8.88671875" style="10"/>
  </cols>
  <sheetData>
    <row r="1" spans="1:6" ht="45.6" customHeight="1" thickBot="1" x14ac:dyDescent="0.35">
      <c r="A1" s="241" t="s">
        <v>616</v>
      </c>
      <c r="B1" s="241" t="s">
        <v>617</v>
      </c>
      <c r="C1" s="241" t="s">
        <v>618</v>
      </c>
      <c r="D1" s="241" t="s">
        <v>619</v>
      </c>
      <c r="E1" s="241" t="s">
        <v>620</v>
      </c>
      <c r="F1" s="241" t="s">
        <v>438</v>
      </c>
    </row>
    <row r="2" spans="1:6" ht="54" customHeight="1" x14ac:dyDescent="0.3">
      <c r="A2" s="242" t="s">
        <v>393</v>
      </c>
      <c r="B2" s="243"/>
      <c r="C2" s="244">
        <f>+'Allocation report'!D19</f>
        <v>163177998.88000003</v>
      </c>
      <c r="D2" s="244">
        <f>+'Allocation report'!E19</f>
        <v>242544630.33999997</v>
      </c>
      <c r="E2" s="244">
        <f>SUM(C2:D2)</f>
        <v>405722629.22000003</v>
      </c>
      <c r="F2" s="245">
        <f>+E2/$E$7 * 100</f>
        <v>38.60259722665991</v>
      </c>
    </row>
    <row r="3" spans="1:6" ht="58.2" customHeight="1" x14ac:dyDescent="0.3">
      <c r="A3" s="246" t="s">
        <v>615</v>
      </c>
      <c r="B3" s="247"/>
      <c r="C3" s="248">
        <f>+'Allocation report'!D29</f>
        <v>48821588.219999999</v>
      </c>
      <c r="D3" s="248">
        <f>+'Allocation report'!E29</f>
        <v>54135083.289999992</v>
      </c>
      <c r="E3" s="248">
        <f t="shared" ref="E3:E6" si="0">SUM(C3:D3)</f>
        <v>102956671.50999999</v>
      </c>
      <c r="F3" s="249">
        <f t="shared" ref="F3:F6" si="1">+E3/$E$7 * 100</f>
        <v>9.7958423707812834</v>
      </c>
    </row>
    <row r="4" spans="1:6" ht="70.2" customHeight="1" x14ac:dyDescent="0.3">
      <c r="A4" s="250" t="s">
        <v>19</v>
      </c>
      <c r="B4" s="251"/>
      <c r="C4" s="252">
        <f>+'Allocation report'!D143</f>
        <v>6696095.3999999994</v>
      </c>
      <c r="D4" s="252">
        <f>+'Allocation report'!E143</f>
        <v>7954191.9000000004</v>
      </c>
      <c r="E4" s="248">
        <f t="shared" si="0"/>
        <v>14650287.300000001</v>
      </c>
      <c r="F4" s="249">
        <f t="shared" si="1"/>
        <v>1.3939058341014832</v>
      </c>
    </row>
    <row r="5" spans="1:6" ht="66" customHeight="1" x14ac:dyDescent="0.3">
      <c r="A5" s="253" t="s">
        <v>612</v>
      </c>
      <c r="B5" s="254"/>
      <c r="C5" s="255">
        <f>+'Allocation report'!D67</f>
        <v>1591257.0019999999</v>
      </c>
      <c r="D5" s="255">
        <f>+'Allocation report'!E67</f>
        <v>2033456.96</v>
      </c>
      <c r="E5" s="248">
        <f t="shared" si="0"/>
        <v>3624713.9619999998</v>
      </c>
      <c r="F5" s="249">
        <f t="shared" si="1"/>
        <v>0.34487446117052606</v>
      </c>
    </row>
    <row r="6" spans="1:6" ht="64.2" customHeight="1" thickBot="1" x14ac:dyDescent="0.35">
      <c r="A6" s="256" t="s">
        <v>613</v>
      </c>
      <c r="B6" s="257"/>
      <c r="C6" s="258">
        <f>+Healthcare!J54</f>
        <v>220573404.95999998</v>
      </c>
      <c r="D6" s="258">
        <f>+Healthcare!K54</f>
        <v>303496468.54000002</v>
      </c>
      <c r="E6" s="259">
        <f t="shared" si="0"/>
        <v>524069873.5</v>
      </c>
      <c r="F6" s="260">
        <f t="shared" si="1"/>
        <v>49.862780107286788</v>
      </c>
    </row>
    <row r="7" spans="1:6" ht="34.200000000000003" customHeight="1" x14ac:dyDescent="0.3">
      <c r="A7" s="261" t="s">
        <v>437</v>
      </c>
      <c r="B7" s="261"/>
      <c r="C7" s="261">
        <f>SUM(C2:C6)</f>
        <v>440860344.46200001</v>
      </c>
      <c r="D7" s="261">
        <f>SUM(D2:D6)</f>
        <v>610163831.02999997</v>
      </c>
      <c r="E7" s="261">
        <f>SUM(E2:E6)</f>
        <v>1051024175.4920001</v>
      </c>
      <c r="F7" s="262">
        <f>SUM(F2:F6)</f>
        <v>100</v>
      </c>
    </row>
  </sheetData>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62F74-93FF-42D6-8D47-49AD5E606099}">
  <dimension ref="A1:E8"/>
  <sheetViews>
    <sheetView showGridLines="0" zoomScale="85" zoomScaleNormal="85" workbookViewId="0">
      <selection activeCell="N32" sqref="N32"/>
    </sheetView>
  </sheetViews>
  <sheetFormatPr defaultColWidth="9.109375" defaultRowHeight="13.8" x14ac:dyDescent="0.25"/>
  <cols>
    <col min="1" max="1" width="47.109375" style="4" customWidth="1"/>
    <col min="2" max="2" width="21" style="4" customWidth="1"/>
    <col min="3" max="3" width="19.33203125" style="4" customWidth="1"/>
    <col min="4" max="4" width="20.44140625" style="4" customWidth="1"/>
    <col min="5" max="5" width="20.88671875" style="4" customWidth="1"/>
    <col min="6" max="16384" width="9.109375" style="4"/>
  </cols>
  <sheetData>
    <row r="1" spans="1:5" s="30" customFormat="1" ht="25.5" customHeight="1" thickBot="1" x14ac:dyDescent="0.4">
      <c r="A1" s="27" t="s">
        <v>621</v>
      </c>
      <c r="B1" s="28" t="s">
        <v>618</v>
      </c>
      <c r="C1" s="28" t="s">
        <v>619</v>
      </c>
      <c r="D1" s="28" t="s">
        <v>620</v>
      </c>
      <c r="E1" s="29" t="s">
        <v>438</v>
      </c>
    </row>
    <row r="2" spans="1:5" s="30" customFormat="1" ht="18" x14ac:dyDescent="0.35">
      <c r="A2" s="31" t="s">
        <v>393</v>
      </c>
      <c r="B2" s="32">
        <f>+'Allocation report'!D19</f>
        <v>163177998.88000003</v>
      </c>
      <c r="C2" s="32">
        <f>+'Allocation report'!E19</f>
        <v>242544630.33999997</v>
      </c>
      <c r="D2" s="32">
        <f>SUM(B2:C2)</f>
        <v>405722629.22000003</v>
      </c>
      <c r="E2" s="33">
        <f>+D2/$D$7 * 100</f>
        <v>38.60259722665991</v>
      </c>
    </row>
    <row r="3" spans="1:5" s="30" customFormat="1" ht="18" x14ac:dyDescent="0.35">
      <c r="A3" s="34" t="s">
        <v>615</v>
      </c>
      <c r="B3" s="35">
        <f>+'Allocation report'!D29</f>
        <v>48821588.219999999</v>
      </c>
      <c r="C3" s="35">
        <f>+'Allocation report'!E29</f>
        <v>54135083.289999992</v>
      </c>
      <c r="D3" s="35">
        <f t="shared" ref="D3:D6" si="0">SUM(B3:C3)</f>
        <v>102956671.50999999</v>
      </c>
      <c r="E3" s="36">
        <f t="shared" ref="E3:E6" si="1">+D3/$D$7 * 100</f>
        <v>9.7958423707812834</v>
      </c>
    </row>
    <row r="4" spans="1:5" s="30" customFormat="1" ht="31.8" x14ac:dyDescent="0.35">
      <c r="A4" s="37" t="s">
        <v>19</v>
      </c>
      <c r="B4" s="38">
        <f>+'Allocation report'!D143</f>
        <v>6696095.3999999994</v>
      </c>
      <c r="C4" s="38">
        <f>+'Allocation report'!E143</f>
        <v>7954191.9000000004</v>
      </c>
      <c r="D4" s="35">
        <f t="shared" si="0"/>
        <v>14650287.300000001</v>
      </c>
      <c r="E4" s="36">
        <f t="shared" si="1"/>
        <v>1.3939058341014832</v>
      </c>
    </row>
    <row r="5" spans="1:5" s="30" customFormat="1" ht="18" x14ac:dyDescent="0.35">
      <c r="A5" s="229" t="s">
        <v>612</v>
      </c>
      <c r="B5" s="230">
        <f>+'Allocation report'!D67</f>
        <v>1591257.0019999999</v>
      </c>
      <c r="C5" s="230">
        <f>+'Allocation report'!E67</f>
        <v>2033456.96</v>
      </c>
      <c r="D5" s="35">
        <f t="shared" si="0"/>
        <v>3624713.9619999998</v>
      </c>
      <c r="E5" s="36">
        <f t="shared" si="1"/>
        <v>0.34487446117052606</v>
      </c>
    </row>
    <row r="6" spans="1:5" s="30" customFormat="1" ht="18.600000000000001" thickBot="1" x14ac:dyDescent="0.4">
      <c r="A6" s="39" t="s">
        <v>613</v>
      </c>
      <c r="B6" s="40">
        <f>+Healthcare!J54</f>
        <v>220573404.95999998</v>
      </c>
      <c r="C6" s="40">
        <f>+Healthcare!K54</f>
        <v>303496468.54000002</v>
      </c>
      <c r="D6" s="41">
        <f t="shared" si="0"/>
        <v>524069873.5</v>
      </c>
      <c r="E6" s="42">
        <f t="shared" si="1"/>
        <v>49.862780107286788</v>
      </c>
    </row>
    <row r="7" spans="1:5" s="30" customFormat="1" ht="18" x14ac:dyDescent="0.35">
      <c r="A7" s="43" t="s">
        <v>437</v>
      </c>
      <c r="B7" s="43">
        <f>SUM(B2:B6)</f>
        <v>440860344.46200001</v>
      </c>
      <c r="C7" s="43">
        <f>SUM(C2:C6)</f>
        <v>610163831.02999997</v>
      </c>
      <c r="D7" s="43">
        <f>SUM(D2:D6)</f>
        <v>1051024175.4920001</v>
      </c>
      <c r="E7" s="44">
        <f>SUM(E2:E6)</f>
        <v>100</v>
      </c>
    </row>
    <row r="8" spans="1:5" x14ac:dyDescent="0.25">
      <c r="D8" s="5"/>
      <c r="E8" s="45"/>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E8DB3-7904-451A-952C-8DC801FE923A}">
  <dimension ref="A1:K143"/>
  <sheetViews>
    <sheetView showGridLines="0" workbookViewId="0">
      <selection activeCell="D120" sqref="D120"/>
    </sheetView>
  </sheetViews>
  <sheetFormatPr defaultColWidth="9.109375" defaultRowHeight="13.8" x14ac:dyDescent="0.25"/>
  <cols>
    <col min="1" max="1" width="27.33203125" style="4" customWidth="1"/>
    <col min="2" max="2" width="21.109375" style="4" customWidth="1"/>
    <col min="3" max="3" width="42.109375" style="8" customWidth="1"/>
    <col min="4" max="5" width="13.109375" style="4" customWidth="1"/>
    <col min="6" max="6" width="14.6640625" style="4" customWidth="1"/>
    <col min="7" max="7" width="11.109375" style="233" bestFit="1" customWidth="1"/>
    <col min="8" max="8" width="11.5546875" style="233" customWidth="1"/>
    <col min="9" max="9" width="37.33203125" style="4" customWidth="1"/>
    <col min="10" max="16384" width="9.109375" style="4"/>
  </cols>
  <sheetData>
    <row r="1" spans="1:11" s="211" customFormat="1" x14ac:dyDescent="0.3">
      <c r="A1" s="293" t="s">
        <v>411</v>
      </c>
      <c r="B1" s="295" t="s">
        <v>413</v>
      </c>
      <c r="C1" s="297" t="s">
        <v>4</v>
      </c>
      <c r="D1" s="295" t="s">
        <v>414</v>
      </c>
      <c r="E1" s="295"/>
      <c r="F1" s="299" t="s">
        <v>418</v>
      </c>
      <c r="G1" s="239"/>
      <c r="H1" s="239"/>
    </row>
    <row r="2" spans="1:11" s="211" customFormat="1" ht="14.4" thickBot="1" x14ac:dyDescent="0.35">
      <c r="A2" s="294"/>
      <c r="B2" s="296"/>
      <c r="C2" s="298"/>
      <c r="D2" s="212" t="s">
        <v>486</v>
      </c>
      <c r="E2" s="212" t="s">
        <v>417</v>
      </c>
      <c r="F2" s="300"/>
      <c r="G2" s="239"/>
      <c r="H2" s="239"/>
    </row>
    <row r="3" spans="1:11" s="211" customFormat="1" x14ac:dyDescent="0.3">
      <c r="A3" s="302" t="s">
        <v>412</v>
      </c>
      <c r="B3" s="203" t="s">
        <v>415</v>
      </c>
      <c r="C3" s="152" t="s">
        <v>389</v>
      </c>
      <c r="D3" s="21">
        <f>+'Low Carbon Transport'!H4</f>
        <v>14001000</v>
      </c>
      <c r="E3" s="21">
        <f>+'Low Carbon Transport'!I4</f>
        <v>14001000</v>
      </c>
      <c r="F3" s="22">
        <f>+D3+E3</f>
        <v>28002000</v>
      </c>
      <c r="G3" s="232">
        <f>+D3</f>
        <v>14001000</v>
      </c>
      <c r="H3" s="232">
        <f>+E3</f>
        <v>14001000</v>
      </c>
    </row>
    <row r="4" spans="1:11" x14ac:dyDescent="0.25">
      <c r="A4" s="303"/>
      <c r="B4" s="301" t="s">
        <v>420</v>
      </c>
      <c r="C4" s="138" t="s">
        <v>395</v>
      </c>
      <c r="D4" s="204">
        <f>+'Low Carbon Transport'!H11</f>
        <v>99176000</v>
      </c>
      <c r="E4" s="204">
        <f>+'Low Carbon Transport'!I11</f>
        <v>169000000</v>
      </c>
      <c r="F4" s="205">
        <f>+D4+E4</f>
        <v>268176000</v>
      </c>
    </row>
    <row r="5" spans="1:11" ht="27.6" x14ac:dyDescent="0.25">
      <c r="A5" s="303"/>
      <c r="B5" s="301"/>
      <c r="C5" s="138" t="s">
        <v>396</v>
      </c>
      <c r="D5" s="204">
        <f>+'Low Carbon Transport'!H12</f>
        <v>33137649</v>
      </c>
      <c r="E5" s="204">
        <f>+'Low Carbon Transport'!I12</f>
        <v>12542415.869999999</v>
      </c>
      <c r="F5" s="205">
        <f t="shared" ref="F5:F18" si="0">+D5+E5</f>
        <v>45680064.869999997</v>
      </c>
    </row>
    <row r="6" spans="1:11" x14ac:dyDescent="0.25">
      <c r="A6" s="303"/>
      <c r="B6" s="301"/>
      <c r="C6" s="138" t="s">
        <v>397</v>
      </c>
      <c r="D6" s="204">
        <f>+'Low Carbon Transport'!H13</f>
        <v>3760684</v>
      </c>
      <c r="E6" s="204">
        <f>+'Low Carbon Transport'!I13</f>
        <v>9247467</v>
      </c>
      <c r="F6" s="205">
        <f t="shared" si="0"/>
        <v>13008151</v>
      </c>
    </row>
    <row r="7" spans="1:11" ht="27.6" x14ac:dyDescent="0.25">
      <c r="A7" s="303"/>
      <c r="B7" s="301"/>
      <c r="C7" s="138" t="s">
        <v>398</v>
      </c>
      <c r="D7" s="204">
        <f>+'Low Carbon Transport'!H14</f>
        <v>0</v>
      </c>
      <c r="E7" s="204">
        <f>+'Low Carbon Transport'!I14</f>
        <v>11471839</v>
      </c>
      <c r="F7" s="205">
        <f t="shared" si="0"/>
        <v>11471839</v>
      </c>
      <c r="I7" s="214"/>
      <c r="J7" s="66"/>
      <c r="K7" s="66"/>
    </row>
    <row r="8" spans="1:11" ht="27.6" x14ac:dyDescent="0.25">
      <c r="A8" s="303"/>
      <c r="B8" s="301"/>
      <c r="C8" s="138" t="s">
        <v>399</v>
      </c>
      <c r="D8" s="204">
        <f>+'Low Carbon Transport'!H15</f>
        <v>0</v>
      </c>
      <c r="E8" s="204">
        <f>+'Low Carbon Transport'!I15</f>
        <v>3300000</v>
      </c>
      <c r="F8" s="205">
        <f t="shared" si="0"/>
        <v>3300000</v>
      </c>
    </row>
    <row r="9" spans="1:11" x14ac:dyDescent="0.25">
      <c r="A9" s="303"/>
      <c r="B9" s="301"/>
      <c r="C9" s="138" t="s">
        <v>400</v>
      </c>
      <c r="D9" s="204">
        <f>+'Low Carbon Transport'!H16</f>
        <v>6083255</v>
      </c>
      <c r="E9" s="204">
        <f>+'Low Carbon Transport'!I16</f>
        <v>14342293</v>
      </c>
      <c r="F9" s="205">
        <f t="shared" si="0"/>
        <v>20425548</v>
      </c>
      <c r="I9" s="11"/>
    </row>
    <row r="10" spans="1:11" x14ac:dyDescent="0.25">
      <c r="A10" s="303"/>
      <c r="B10" s="301"/>
      <c r="C10" s="138" t="s">
        <v>401</v>
      </c>
      <c r="D10" s="204">
        <f>+'Low Carbon Transport'!H17</f>
        <v>425803</v>
      </c>
      <c r="E10" s="204">
        <f>+'Low Carbon Transport'!I17</f>
        <v>3649652</v>
      </c>
      <c r="F10" s="205">
        <f t="shared" si="0"/>
        <v>4075455</v>
      </c>
      <c r="I10" s="11"/>
    </row>
    <row r="11" spans="1:11" ht="27.6" x14ac:dyDescent="0.25">
      <c r="A11" s="303"/>
      <c r="B11" s="301"/>
      <c r="C11" s="138" t="s">
        <v>391</v>
      </c>
      <c r="D11" s="204">
        <f>+'Low Carbon Transport'!H18</f>
        <v>1327205</v>
      </c>
      <c r="E11" s="204">
        <f>+'Low Carbon Transport'!I18</f>
        <v>466122.26</v>
      </c>
      <c r="F11" s="205">
        <f t="shared" si="0"/>
        <v>1793327.26</v>
      </c>
      <c r="I11" s="12"/>
    </row>
    <row r="12" spans="1:11" x14ac:dyDescent="0.25">
      <c r="A12" s="303"/>
      <c r="B12" s="301"/>
      <c r="C12" s="138" t="s">
        <v>402</v>
      </c>
      <c r="D12" s="204">
        <f>+'Low Carbon Transport'!H19</f>
        <v>3352195</v>
      </c>
      <c r="E12" s="204">
        <f>+'Low Carbon Transport'!I19</f>
        <v>1668178</v>
      </c>
      <c r="F12" s="205">
        <f t="shared" si="0"/>
        <v>5020373</v>
      </c>
      <c r="G12" s="234">
        <f>+D4+D5+D6+D7+D8+D9+D10+D11+D12</f>
        <v>147262791</v>
      </c>
      <c r="H12" s="234">
        <f>+E4+E5+E6+E7+E8+E9+E10+E11+E12</f>
        <v>225687967.13</v>
      </c>
      <c r="I12" s="12"/>
    </row>
    <row r="13" spans="1:11" ht="27.6" x14ac:dyDescent="0.25">
      <c r="A13" s="303"/>
      <c r="B13" s="301" t="s">
        <v>416</v>
      </c>
      <c r="C13" s="138" t="s">
        <v>146</v>
      </c>
      <c r="D13" s="204">
        <f>+'Low Carbon Transport'!H21</f>
        <v>890136</v>
      </c>
      <c r="E13" s="204">
        <f>+'Low Carbon Transport'!I21</f>
        <v>100955.32</v>
      </c>
      <c r="F13" s="205">
        <f t="shared" si="0"/>
        <v>991091.32000000007</v>
      </c>
    </row>
    <row r="14" spans="1:11" ht="27.6" x14ac:dyDescent="0.25">
      <c r="A14" s="303"/>
      <c r="B14" s="301"/>
      <c r="C14" s="138" t="s">
        <v>147</v>
      </c>
      <c r="D14" s="204">
        <f>+'Low Carbon Transport'!H22</f>
        <v>225914.02</v>
      </c>
      <c r="E14" s="204">
        <f>+'Low Carbon Transport'!I22</f>
        <v>194098.48</v>
      </c>
      <c r="F14" s="205">
        <f t="shared" si="0"/>
        <v>420012.5</v>
      </c>
    </row>
    <row r="15" spans="1:11" ht="27.6" x14ac:dyDescent="0.25">
      <c r="A15" s="303"/>
      <c r="B15" s="301"/>
      <c r="C15" s="138" t="s">
        <v>148</v>
      </c>
      <c r="D15" s="204">
        <f>+'Low Carbon Transport'!H23</f>
        <v>634393</v>
      </c>
      <c r="E15" s="204">
        <f>+'Low Carbon Transport'!I23</f>
        <v>140577.43</v>
      </c>
      <c r="F15" s="205">
        <f t="shared" si="0"/>
        <v>774970.42999999993</v>
      </c>
    </row>
    <row r="16" spans="1:11" ht="27.6" x14ac:dyDescent="0.25">
      <c r="A16" s="303"/>
      <c r="B16" s="301"/>
      <c r="C16" s="138" t="s">
        <v>149</v>
      </c>
      <c r="D16" s="204">
        <f>+'Low Carbon Transport'!H24</f>
        <v>0</v>
      </c>
      <c r="E16" s="204">
        <f>+'Low Carbon Transport'!I24</f>
        <v>1345222</v>
      </c>
      <c r="F16" s="205">
        <f t="shared" si="0"/>
        <v>1345222</v>
      </c>
    </row>
    <row r="17" spans="1:8" ht="27.6" x14ac:dyDescent="0.25">
      <c r="A17" s="303"/>
      <c r="B17" s="301"/>
      <c r="C17" s="138" t="s">
        <v>150</v>
      </c>
      <c r="D17" s="204">
        <f>+'Low Carbon Transport'!H25</f>
        <v>99538.81</v>
      </c>
      <c r="E17" s="204">
        <f>+'Low Carbon Transport'!I25</f>
        <v>966192.22999999986</v>
      </c>
      <c r="F17" s="205">
        <f t="shared" si="0"/>
        <v>1065731.0399999998</v>
      </c>
      <c r="G17" s="234">
        <f>+D13+D14+D15+D16+D17</f>
        <v>1849981.83</v>
      </c>
      <c r="H17" s="234">
        <f>+E13+E14+E15+E16+E17</f>
        <v>2747045.46</v>
      </c>
    </row>
    <row r="18" spans="1:8" ht="14.4" thickBot="1" x14ac:dyDescent="0.3">
      <c r="A18" s="304"/>
      <c r="B18" s="206" t="s">
        <v>419</v>
      </c>
      <c r="C18" s="207" t="s">
        <v>152</v>
      </c>
      <c r="D18" s="17">
        <f>+'Low Carbon Transport'!H20</f>
        <v>64226.05</v>
      </c>
      <c r="E18" s="17">
        <f>+'Low Carbon Transport'!I20</f>
        <v>108617.75</v>
      </c>
      <c r="F18" s="208">
        <f t="shared" si="0"/>
        <v>172843.8</v>
      </c>
      <c r="G18" s="234">
        <f>+D18</f>
        <v>64226.05</v>
      </c>
      <c r="H18" s="234">
        <f>+E18</f>
        <v>108617.75</v>
      </c>
    </row>
    <row r="19" spans="1:8" ht="25.5" customHeight="1" x14ac:dyDescent="0.25">
      <c r="C19" s="209" t="s">
        <v>421</v>
      </c>
      <c r="D19" s="210">
        <f>SUM(D3:D18)</f>
        <v>163177998.88000003</v>
      </c>
      <c r="E19" s="210">
        <f>SUM(E3:E18)</f>
        <v>242544630.33999997</v>
      </c>
      <c r="F19" s="210">
        <f>SUM(F3:F18)</f>
        <v>405722629.22000003</v>
      </c>
    </row>
    <row r="21" spans="1:8" ht="14.4" thickBot="1" x14ac:dyDescent="0.3"/>
    <row r="22" spans="1:8" x14ac:dyDescent="0.25">
      <c r="A22" s="305" t="s">
        <v>411</v>
      </c>
      <c r="B22" s="307" t="s">
        <v>413</v>
      </c>
      <c r="C22" s="309" t="s">
        <v>4</v>
      </c>
      <c r="D22" s="307" t="s">
        <v>414</v>
      </c>
      <c r="E22" s="307"/>
      <c r="F22" s="318" t="s">
        <v>418</v>
      </c>
    </row>
    <row r="23" spans="1:8" ht="14.4" thickBot="1" x14ac:dyDescent="0.3">
      <c r="A23" s="306"/>
      <c r="B23" s="308"/>
      <c r="C23" s="310"/>
      <c r="D23" s="213" t="s">
        <v>486</v>
      </c>
      <c r="E23" s="213" t="s">
        <v>417</v>
      </c>
      <c r="F23" s="320"/>
    </row>
    <row r="24" spans="1:8" ht="27.6" x14ac:dyDescent="0.25">
      <c r="A24" s="311" t="s">
        <v>439</v>
      </c>
      <c r="B24" s="203" t="s">
        <v>423</v>
      </c>
      <c r="C24" s="152" t="s">
        <v>24</v>
      </c>
      <c r="D24" s="21">
        <f>+Education!J4</f>
        <v>18828681.440000001</v>
      </c>
      <c r="E24" s="21">
        <f>+Education!K4</f>
        <v>24915767.859999999</v>
      </c>
      <c r="F24" s="22">
        <f>+D24+E24</f>
        <v>43744449.299999997</v>
      </c>
      <c r="G24" s="234">
        <f t="shared" ref="G24:H26" si="1">+D24</f>
        <v>18828681.440000001</v>
      </c>
      <c r="H24" s="234">
        <f t="shared" si="1"/>
        <v>24915767.859999999</v>
      </c>
    </row>
    <row r="25" spans="1:8" x14ac:dyDescent="0.25">
      <c r="A25" s="312"/>
      <c r="B25" s="186" t="s">
        <v>424</v>
      </c>
      <c r="C25" s="138" t="s">
        <v>29</v>
      </c>
      <c r="D25" s="155">
        <f>+Education!J5</f>
        <v>22043420.879999999</v>
      </c>
      <c r="E25" s="155">
        <f>+Education!K5</f>
        <v>24496372.16</v>
      </c>
      <c r="F25" s="23">
        <f t="shared" ref="F25:F28" si="2">+D25+E25</f>
        <v>46539793.039999999</v>
      </c>
      <c r="G25" s="234">
        <f t="shared" si="1"/>
        <v>22043420.879999999</v>
      </c>
      <c r="H25" s="234">
        <f t="shared" si="1"/>
        <v>24496372.16</v>
      </c>
    </row>
    <row r="26" spans="1:8" x14ac:dyDescent="0.25">
      <c r="A26" s="312"/>
      <c r="B26" s="186" t="s">
        <v>425</v>
      </c>
      <c r="C26" s="138" t="s">
        <v>34</v>
      </c>
      <c r="D26" s="155">
        <f>+Education!J6</f>
        <v>4532848.9000000004</v>
      </c>
      <c r="E26" s="155">
        <f>+Education!K6</f>
        <v>4564222.2699999996</v>
      </c>
      <c r="F26" s="23">
        <f t="shared" si="2"/>
        <v>9097071.1699999999</v>
      </c>
      <c r="G26" s="234">
        <f t="shared" si="1"/>
        <v>4532848.9000000004</v>
      </c>
      <c r="H26" s="234">
        <f t="shared" si="1"/>
        <v>4564222.2699999996</v>
      </c>
    </row>
    <row r="27" spans="1:8" ht="27.6" x14ac:dyDescent="0.25">
      <c r="A27" s="312"/>
      <c r="B27" s="301" t="s">
        <v>426</v>
      </c>
      <c r="C27" s="138" t="s">
        <v>37</v>
      </c>
      <c r="D27" s="204">
        <f>+Education!J7</f>
        <v>2895637</v>
      </c>
      <c r="E27" s="204">
        <f>+Education!K7</f>
        <v>158721</v>
      </c>
      <c r="F27" s="23">
        <f t="shared" si="2"/>
        <v>3054358</v>
      </c>
    </row>
    <row r="28" spans="1:8" ht="14.4" thickBot="1" x14ac:dyDescent="0.3">
      <c r="A28" s="313"/>
      <c r="B28" s="314"/>
      <c r="C28" s="207" t="s">
        <v>145</v>
      </c>
      <c r="D28" s="204">
        <f>+Education!J8</f>
        <v>521000</v>
      </c>
      <c r="E28" s="204">
        <f>+Education!K8</f>
        <v>0</v>
      </c>
      <c r="F28" s="24">
        <f t="shared" si="2"/>
        <v>521000</v>
      </c>
      <c r="G28" s="234">
        <f>+D27+D28</f>
        <v>3416637</v>
      </c>
      <c r="H28" s="234">
        <f>+E27+E28</f>
        <v>158721</v>
      </c>
    </row>
    <row r="29" spans="1:8" x14ac:dyDescent="0.25">
      <c r="C29" s="25" t="s">
        <v>422</v>
      </c>
      <c r="D29" s="26">
        <f>SUM(D24:D28)</f>
        <v>48821588.219999999</v>
      </c>
      <c r="E29" s="26">
        <f>SUM(E24:E28)</f>
        <v>54135083.289999992</v>
      </c>
      <c r="F29" s="26">
        <f>SUM(F24:F28)</f>
        <v>102956671.51000001</v>
      </c>
    </row>
    <row r="32" spans="1:8" ht="14.4" thickBot="1" x14ac:dyDescent="0.3"/>
    <row r="33" spans="1:6" x14ac:dyDescent="0.25">
      <c r="A33" s="305" t="s">
        <v>411</v>
      </c>
      <c r="B33" s="307" t="s">
        <v>413</v>
      </c>
      <c r="C33" s="309" t="s">
        <v>4</v>
      </c>
      <c r="D33" s="307" t="s">
        <v>414</v>
      </c>
      <c r="E33" s="307"/>
      <c r="F33" s="318" t="s">
        <v>418</v>
      </c>
    </row>
    <row r="34" spans="1:6" x14ac:dyDescent="0.25">
      <c r="A34" s="315"/>
      <c r="B34" s="316"/>
      <c r="C34" s="317"/>
      <c r="D34" s="187" t="s">
        <v>486</v>
      </c>
      <c r="E34" s="187" t="s">
        <v>417</v>
      </c>
      <c r="F34" s="319"/>
    </row>
    <row r="35" spans="1:6" x14ac:dyDescent="0.25">
      <c r="A35" s="326" t="s">
        <v>614</v>
      </c>
      <c r="B35" s="301" t="s">
        <v>428</v>
      </c>
      <c r="C35" s="138" t="s">
        <v>69</v>
      </c>
      <c r="D35" s="155">
        <f>+'Social inclusion'!J4</f>
        <v>44660</v>
      </c>
      <c r="E35" s="155">
        <f>+'Social inclusion'!K4</f>
        <v>48060</v>
      </c>
      <c r="F35" s="23">
        <f t="shared" ref="F35:F66" si="3">+D35+E35</f>
        <v>92720</v>
      </c>
    </row>
    <row r="36" spans="1:6" x14ac:dyDescent="0.25">
      <c r="A36" s="324"/>
      <c r="B36" s="301"/>
      <c r="C36" s="138" t="s">
        <v>72</v>
      </c>
      <c r="D36" s="155">
        <f>+'Social inclusion'!J5</f>
        <v>45805</v>
      </c>
      <c r="E36" s="155">
        <f>+'Social inclusion'!K5</f>
        <v>45805</v>
      </c>
      <c r="F36" s="23">
        <f t="shared" si="3"/>
        <v>91610</v>
      </c>
    </row>
    <row r="37" spans="1:6" x14ac:dyDescent="0.25">
      <c r="A37" s="324"/>
      <c r="B37" s="301"/>
      <c r="C37" s="138" t="s">
        <v>74</v>
      </c>
      <c r="D37" s="155">
        <f>+'Social inclusion'!J6</f>
        <v>48328</v>
      </c>
      <c r="E37" s="155">
        <f>+'Social inclusion'!K6</f>
        <v>47487</v>
      </c>
      <c r="F37" s="23">
        <f t="shared" si="3"/>
        <v>95815</v>
      </c>
    </row>
    <row r="38" spans="1:6" x14ac:dyDescent="0.25">
      <c r="A38" s="324"/>
      <c r="B38" s="301"/>
      <c r="C38" s="138" t="s">
        <v>76</v>
      </c>
      <c r="D38" s="155">
        <f>+'Social inclusion'!J7</f>
        <v>45805</v>
      </c>
      <c r="E38" s="155">
        <f>+'Social inclusion'!K7</f>
        <v>45805</v>
      </c>
      <c r="F38" s="23">
        <f t="shared" si="3"/>
        <v>91610</v>
      </c>
    </row>
    <row r="39" spans="1:6" ht="27.6" x14ac:dyDescent="0.25">
      <c r="A39" s="324"/>
      <c r="B39" s="301"/>
      <c r="C39" s="138" t="s">
        <v>429</v>
      </c>
      <c r="D39" s="155">
        <f>+'Social inclusion'!J8</f>
        <v>48525</v>
      </c>
      <c r="E39" s="155">
        <f>+'Social inclusion'!K8</f>
        <v>45188</v>
      </c>
      <c r="F39" s="23">
        <f t="shared" si="3"/>
        <v>93713</v>
      </c>
    </row>
    <row r="40" spans="1:6" ht="27.6" x14ac:dyDescent="0.25">
      <c r="A40" s="324"/>
      <c r="B40" s="301"/>
      <c r="C40" s="138" t="s">
        <v>80</v>
      </c>
      <c r="D40" s="155">
        <f>+'Social inclusion'!J9</f>
        <v>19468</v>
      </c>
      <c r="E40" s="155">
        <f>+'Social inclusion'!K9</f>
        <v>19518</v>
      </c>
      <c r="F40" s="23">
        <f t="shared" si="3"/>
        <v>38986</v>
      </c>
    </row>
    <row r="41" spans="1:6" ht="41.4" x14ac:dyDescent="0.25">
      <c r="A41" s="324"/>
      <c r="B41" s="301"/>
      <c r="C41" s="138" t="s">
        <v>83</v>
      </c>
      <c r="D41" s="155">
        <f>+'Social inclusion'!J10</f>
        <v>69421</v>
      </c>
      <c r="E41" s="155">
        <f>+'Social inclusion'!K10</f>
        <v>67398</v>
      </c>
      <c r="F41" s="23">
        <f t="shared" si="3"/>
        <v>136819</v>
      </c>
    </row>
    <row r="42" spans="1:6" ht="27.6" x14ac:dyDescent="0.25">
      <c r="A42" s="324"/>
      <c r="B42" s="301"/>
      <c r="C42" s="138" t="s">
        <v>85</v>
      </c>
      <c r="D42" s="155">
        <f>+'Social inclusion'!J11</f>
        <v>68490</v>
      </c>
      <c r="E42" s="155">
        <f>+'Social inclusion'!K11</f>
        <v>69237</v>
      </c>
      <c r="F42" s="23">
        <f t="shared" si="3"/>
        <v>137727</v>
      </c>
    </row>
    <row r="43" spans="1:6" x14ac:dyDescent="0.25">
      <c r="A43" s="324"/>
      <c r="B43" s="301"/>
      <c r="C43" s="138" t="s">
        <v>87</v>
      </c>
      <c r="D43" s="155">
        <f>+'Social inclusion'!J12</f>
        <v>42295.789999999994</v>
      </c>
      <c r="E43" s="155">
        <f>+'Social inclusion'!K12</f>
        <v>40329.740000000005</v>
      </c>
      <c r="F43" s="23">
        <f t="shared" si="3"/>
        <v>82625.53</v>
      </c>
    </row>
    <row r="44" spans="1:6" ht="27.6" x14ac:dyDescent="0.25">
      <c r="A44" s="324"/>
      <c r="B44" s="301"/>
      <c r="C44" s="138" t="s">
        <v>89</v>
      </c>
      <c r="D44" s="155">
        <f>+'Social inclusion'!J13</f>
        <v>22248.54</v>
      </c>
      <c r="E44" s="155">
        <f>+'Social inclusion'!K13</f>
        <v>22257</v>
      </c>
      <c r="F44" s="23">
        <f t="shared" si="3"/>
        <v>44505.54</v>
      </c>
    </row>
    <row r="45" spans="1:6" x14ac:dyDescent="0.25">
      <c r="A45" s="324"/>
      <c r="B45" s="301"/>
      <c r="C45" s="138" t="s">
        <v>92</v>
      </c>
      <c r="D45" s="155">
        <f>+'Social inclusion'!J14</f>
        <v>48346.789999999994</v>
      </c>
      <c r="E45" s="155">
        <f>+'Social inclusion'!K14</f>
        <v>44587.19</v>
      </c>
      <c r="F45" s="23">
        <f t="shared" si="3"/>
        <v>92933.98</v>
      </c>
    </row>
    <row r="46" spans="1:6" x14ac:dyDescent="0.25">
      <c r="A46" s="324"/>
      <c r="B46" s="301"/>
      <c r="C46" s="138" t="s">
        <v>94</v>
      </c>
      <c r="D46" s="155">
        <f>+'Social inclusion'!J15</f>
        <v>46546</v>
      </c>
      <c r="E46" s="155">
        <f>+'Social inclusion'!K15</f>
        <v>44828.39</v>
      </c>
      <c r="F46" s="23">
        <f t="shared" si="3"/>
        <v>91374.39</v>
      </c>
    </row>
    <row r="47" spans="1:6" x14ac:dyDescent="0.25">
      <c r="A47" s="324"/>
      <c r="B47" s="301"/>
      <c r="C47" s="138" t="s">
        <v>96</v>
      </c>
      <c r="D47" s="155">
        <f>+'Social inclusion'!J16</f>
        <v>24565.19</v>
      </c>
      <c r="E47" s="155">
        <f>+'Social inclusion'!K16</f>
        <v>22283.59</v>
      </c>
      <c r="F47" s="23">
        <f t="shared" si="3"/>
        <v>46848.78</v>
      </c>
    </row>
    <row r="48" spans="1:6" x14ac:dyDescent="0.25">
      <c r="A48" s="324"/>
      <c r="B48" s="301"/>
      <c r="C48" s="138" t="s">
        <v>98</v>
      </c>
      <c r="D48" s="155">
        <f>+'Social inclusion'!J17</f>
        <v>37887.289999999994</v>
      </c>
      <c r="E48" s="155">
        <f>+'Social inclusion'!K17</f>
        <v>54868.229999999996</v>
      </c>
      <c r="F48" s="23">
        <f t="shared" si="3"/>
        <v>92755.51999999999</v>
      </c>
    </row>
    <row r="49" spans="1:6" ht="27.6" x14ac:dyDescent="0.25">
      <c r="A49" s="324"/>
      <c r="B49" s="301"/>
      <c r="C49" s="138" t="s">
        <v>100</v>
      </c>
      <c r="D49" s="155">
        <f>+'Social inclusion'!J18</f>
        <v>20612.349999999999</v>
      </c>
      <c r="E49" s="155">
        <f>+'Social inclusion'!K18</f>
        <v>20612</v>
      </c>
      <c r="F49" s="23">
        <f t="shared" si="3"/>
        <v>41224.35</v>
      </c>
    </row>
    <row r="50" spans="1:6" ht="27.6" x14ac:dyDescent="0.25">
      <c r="A50" s="324"/>
      <c r="B50" s="301"/>
      <c r="C50" s="138" t="s">
        <v>104</v>
      </c>
      <c r="D50" s="155">
        <f>+'Social inclusion'!J19</f>
        <v>8960.8700000000008</v>
      </c>
      <c r="E50" s="155">
        <f>+'Social inclusion'!K19</f>
        <v>15674.79</v>
      </c>
      <c r="F50" s="23">
        <f t="shared" si="3"/>
        <v>24635.660000000003</v>
      </c>
    </row>
    <row r="51" spans="1:6" x14ac:dyDescent="0.25">
      <c r="A51" s="324"/>
      <c r="B51" s="301"/>
      <c r="C51" s="138" t="s">
        <v>106</v>
      </c>
      <c r="D51" s="155">
        <f>+'Social inclusion'!J20</f>
        <v>44660.07</v>
      </c>
      <c r="E51" s="155">
        <f>+'Social inclusion'!K20</f>
        <v>48095</v>
      </c>
      <c r="F51" s="23">
        <f t="shared" si="3"/>
        <v>92755.07</v>
      </c>
    </row>
    <row r="52" spans="1:6" x14ac:dyDescent="0.25">
      <c r="A52" s="324"/>
      <c r="B52" s="301"/>
      <c r="C52" s="138" t="s">
        <v>108</v>
      </c>
      <c r="D52" s="155">
        <f>+'Social inclusion'!J21</f>
        <v>49490.53</v>
      </c>
      <c r="E52" s="155">
        <f>+'Social inclusion'!K21</f>
        <v>52130.13</v>
      </c>
      <c r="F52" s="23">
        <f t="shared" si="3"/>
        <v>101620.66</v>
      </c>
    </row>
    <row r="53" spans="1:6" x14ac:dyDescent="0.25">
      <c r="A53" s="324"/>
      <c r="B53" s="301"/>
      <c r="C53" s="138" t="s">
        <v>112</v>
      </c>
      <c r="D53" s="155">
        <f>+'Social inclusion'!J22</f>
        <v>192798.96000000002</v>
      </c>
      <c r="E53" s="155">
        <f>+'Social inclusion'!K22</f>
        <v>159823.98000000001</v>
      </c>
      <c r="F53" s="23">
        <f t="shared" si="3"/>
        <v>352622.94000000006</v>
      </c>
    </row>
    <row r="54" spans="1:6" x14ac:dyDescent="0.25">
      <c r="A54" s="324"/>
      <c r="B54" s="301"/>
      <c r="C54" s="138" t="s">
        <v>115</v>
      </c>
      <c r="D54" s="155">
        <f>+'Social inclusion'!J23</f>
        <v>8622.380000000001</v>
      </c>
      <c r="E54" s="155">
        <f>+'Social inclusion'!K23</f>
        <v>6121</v>
      </c>
      <c r="F54" s="23">
        <f t="shared" si="3"/>
        <v>14743.380000000001</v>
      </c>
    </row>
    <row r="55" spans="1:6" x14ac:dyDescent="0.25">
      <c r="A55" s="324"/>
      <c r="B55" s="301"/>
      <c r="C55" s="138" t="s">
        <v>118</v>
      </c>
      <c r="D55" s="155">
        <f>+'Social inclusion'!J24</f>
        <v>9236.34</v>
      </c>
      <c r="E55" s="155">
        <f>+'Social inclusion'!K24</f>
        <v>7380</v>
      </c>
      <c r="F55" s="23">
        <f t="shared" si="3"/>
        <v>16616.34</v>
      </c>
    </row>
    <row r="56" spans="1:6" ht="27.6" x14ac:dyDescent="0.25">
      <c r="A56" s="324"/>
      <c r="B56" s="301"/>
      <c r="C56" s="138" t="s">
        <v>120</v>
      </c>
      <c r="D56" s="155">
        <f>+'Social inclusion'!J25</f>
        <v>8522.74</v>
      </c>
      <c r="E56" s="155">
        <f>+'Social inclusion'!K25</f>
        <v>6931.53</v>
      </c>
      <c r="F56" s="23">
        <f t="shared" si="3"/>
        <v>15454.27</v>
      </c>
    </row>
    <row r="57" spans="1:6" x14ac:dyDescent="0.25">
      <c r="A57" s="324"/>
      <c r="B57" s="301"/>
      <c r="C57" s="138" t="s">
        <v>122</v>
      </c>
      <c r="D57" s="155">
        <f>+'Social inclusion'!J26</f>
        <v>6536.98</v>
      </c>
      <c r="E57" s="155">
        <f>+'Social inclusion'!K26</f>
        <v>8019</v>
      </c>
      <c r="F57" s="23">
        <f t="shared" si="3"/>
        <v>14555.98</v>
      </c>
    </row>
    <row r="58" spans="1:6" x14ac:dyDescent="0.25">
      <c r="A58" s="324"/>
      <c r="B58" s="301"/>
      <c r="C58" s="138" t="s">
        <v>124</v>
      </c>
      <c r="D58" s="155">
        <f>+'Social inclusion'!J27</f>
        <v>9497.8200000000015</v>
      </c>
      <c r="E58" s="155">
        <f>+'Social inclusion'!K27</f>
        <v>7095.31</v>
      </c>
      <c r="F58" s="23">
        <f t="shared" si="3"/>
        <v>16593.13</v>
      </c>
    </row>
    <row r="59" spans="1:6" x14ac:dyDescent="0.25">
      <c r="A59" s="324"/>
      <c r="B59" s="301"/>
      <c r="C59" s="138" t="s">
        <v>126</v>
      </c>
      <c r="D59" s="155">
        <f>+'Social inclusion'!J28</f>
        <v>8725.7800000000007</v>
      </c>
      <c r="E59" s="155">
        <f>+'Social inclusion'!K28</f>
        <v>6543</v>
      </c>
      <c r="F59" s="23">
        <f t="shared" si="3"/>
        <v>15268.78</v>
      </c>
    </row>
    <row r="60" spans="1:6" x14ac:dyDescent="0.25">
      <c r="A60" s="324"/>
      <c r="B60" s="301"/>
      <c r="C60" s="138" t="s">
        <v>128</v>
      </c>
      <c r="D60" s="155">
        <f>+'Social inclusion'!J29</f>
        <v>7357.6900000000005</v>
      </c>
      <c r="E60" s="155">
        <f>+'Social inclusion'!K29</f>
        <v>6929</v>
      </c>
      <c r="F60" s="23">
        <f t="shared" si="3"/>
        <v>14286.69</v>
      </c>
    </row>
    <row r="61" spans="1:6" ht="27.6" x14ac:dyDescent="0.25">
      <c r="A61" s="324"/>
      <c r="B61" s="301"/>
      <c r="C61" s="138" t="s">
        <v>130</v>
      </c>
      <c r="D61" s="155">
        <f>+'Social inclusion'!J30</f>
        <v>5652</v>
      </c>
      <c r="E61" s="155">
        <f>+'Social inclusion'!K30</f>
        <v>63816</v>
      </c>
      <c r="F61" s="23">
        <f t="shared" si="3"/>
        <v>69468</v>
      </c>
    </row>
    <row r="62" spans="1:6" ht="27.6" x14ac:dyDescent="0.25">
      <c r="A62" s="324"/>
      <c r="B62" s="301"/>
      <c r="C62" s="138" t="s">
        <v>133</v>
      </c>
      <c r="D62" s="155">
        <f>+'Social inclusion'!J31</f>
        <v>21399</v>
      </c>
      <c r="E62" s="155">
        <f>+'Social inclusion'!K31</f>
        <v>87845</v>
      </c>
      <c r="F62" s="23">
        <f t="shared" si="3"/>
        <v>109244</v>
      </c>
    </row>
    <row r="63" spans="1:6" x14ac:dyDescent="0.25">
      <c r="A63" s="324"/>
      <c r="B63" s="301"/>
      <c r="C63" s="138" t="s">
        <v>135</v>
      </c>
      <c r="D63" s="155">
        <f>+'Social inclusion'!J32</f>
        <v>82112.87</v>
      </c>
      <c r="E63" s="155">
        <f>+'Social inclusion'!K32</f>
        <v>101204.04</v>
      </c>
      <c r="F63" s="23">
        <f t="shared" si="3"/>
        <v>183316.90999999997</v>
      </c>
    </row>
    <row r="64" spans="1:6" x14ac:dyDescent="0.25">
      <c r="A64" s="324"/>
      <c r="B64" s="301"/>
      <c r="C64" s="138" t="s">
        <v>137</v>
      </c>
      <c r="D64" s="155">
        <f>+'Social inclusion'!J33</f>
        <v>51494.119999999995</v>
      </c>
      <c r="E64" s="155">
        <f>+'Social inclusion'!K33</f>
        <v>136157.75</v>
      </c>
      <c r="F64" s="23">
        <f t="shared" si="3"/>
        <v>187651.87</v>
      </c>
    </row>
    <row r="65" spans="1:6" x14ac:dyDescent="0.25">
      <c r="A65" s="324"/>
      <c r="B65" s="301"/>
      <c r="C65" s="138" t="s">
        <v>139</v>
      </c>
      <c r="D65" s="155">
        <f>+'Social inclusion'!J34</f>
        <v>346798.39</v>
      </c>
      <c r="E65" s="155">
        <f>+'Social inclusion'!K34</f>
        <v>590865.6</v>
      </c>
      <c r="F65" s="23">
        <f t="shared" si="3"/>
        <v>937663.99</v>
      </c>
    </row>
    <row r="66" spans="1:6" ht="14.4" thickBot="1" x14ac:dyDescent="0.3">
      <c r="A66" s="327"/>
      <c r="B66" s="314"/>
      <c r="C66" s="132" t="s">
        <v>142</v>
      </c>
      <c r="D66" s="156">
        <f>+'Social inclusion'!J35</f>
        <v>96386.512000000002</v>
      </c>
      <c r="E66" s="156">
        <f>+'Social inclusion'!K35</f>
        <v>90561.69</v>
      </c>
      <c r="F66" s="24">
        <f t="shared" si="3"/>
        <v>186948.20199999999</v>
      </c>
    </row>
    <row r="67" spans="1:6" x14ac:dyDescent="0.25">
      <c r="C67" s="25" t="s">
        <v>436</v>
      </c>
      <c r="D67" s="26">
        <f>SUM(D35:D66)</f>
        <v>1591257.0019999999</v>
      </c>
      <c r="E67" s="26">
        <f>SUM(E35:E66)</f>
        <v>2033456.96</v>
      </c>
      <c r="F67" s="26">
        <f>SUM(F35:F66)</f>
        <v>3624713.9619999998</v>
      </c>
    </row>
    <row r="70" spans="1:6" ht="14.4" thickBot="1" x14ac:dyDescent="0.3"/>
    <row r="71" spans="1:6" x14ac:dyDescent="0.25">
      <c r="A71" s="305" t="s">
        <v>411</v>
      </c>
      <c r="B71" s="307" t="s">
        <v>413</v>
      </c>
      <c r="C71" s="309" t="s">
        <v>4</v>
      </c>
      <c r="D71" s="307" t="s">
        <v>414</v>
      </c>
      <c r="E71" s="307"/>
      <c r="F71" s="318" t="s">
        <v>418</v>
      </c>
    </row>
    <row r="72" spans="1:6" ht="14.4" thickBot="1" x14ac:dyDescent="0.3">
      <c r="A72" s="315"/>
      <c r="B72" s="316"/>
      <c r="C72" s="317"/>
      <c r="D72" s="187" t="s">
        <v>486</v>
      </c>
      <c r="E72" s="187" t="s">
        <v>417</v>
      </c>
      <c r="F72" s="319"/>
    </row>
    <row r="73" spans="1:6" ht="16.5" customHeight="1" x14ac:dyDescent="0.25">
      <c r="A73" s="311" t="s">
        <v>440</v>
      </c>
      <c r="B73" s="321" t="s">
        <v>431</v>
      </c>
      <c r="C73" s="152" t="s">
        <v>154</v>
      </c>
      <c r="D73" s="21">
        <f>+Healthcare!J4</f>
        <v>1268915.43</v>
      </c>
      <c r="E73" s="21">
        <f>+Healthcare!K4</f>
        <v>552547.64</v>
      </c>
      <c r="F73" s="22">
        <f>+D73+E73</f>
        <v>1821463.0699999998</v>
      </c>
    </row>
    <row r="74" spans="1:6" x14ac:dyDescent="0.25">
      <c r="A74" s="312"/>
      <c r="B74" s="322"/>
      <c r="C74" s="138" t="s">
        <v>156</v>
      </c>
      <c r="D74" s="155">
        <f>+Healthcare!J5</f>
        <v>47667</v>
      </c>
      <c r="E74" s="155">
        <f>+Healthcare!K5</f>
        <v>158661.04999999999</v>
      </c>
      <c r="F74" s="23">
        <f t="shared" ref="F74:F122" si="4">+D74+E74</f>
        <v>206328.05</v>
      </c>
    </row>
    <row r="75" spans="1:6" x14ac:dyDescent="0.25">
      <c r="A75" s="312"/>
      <c r="B75" s="322"/>
      <c r="C75" s="138" t="s">
        <v>158</v>
      </c>
      <c r="D75" s="155">
        <f>+Healthcare!J6</f>
        <v>222597</v>
      </c>
      <c r="E75" s="155">
        <f>+Healthcare!K6</f>
        <v>27437.26</v>
      </c>
      <c r="F75" s="23">
        <f t="shared" si="4"/>
        <v>250034.26</v>
      </c>
    </row>
    <row r="76" spans="1:6" ht="27.6" x14ac:dyDescent="0.25">
      <c r="A76" s="312"/>
      <c r="B76" s="322"/>
      <c r="C76" s="138" t="s">
        <v>172</v>
      </c>
      <c r="D76" s="155">
        <f>+Healthcare!J13</f>
        <v>250965.47</v>
      </c>
      <c r="E76" s="155">
        <f>+Healthcare!K13</f>
        <v>62421.3</v>
      </c>
      <c r="F76" s="23">
        <f t="shared" si="4"/>
        <v>313386.77</v>
      </c>
    </row>
    <row r="77" spans="1:6" x14ac:dyDescent="0.25">
      <c r="A77" s="312"/>
      <c r="B77" s="322"/>
      <c r="C77" s="138" t="s">
        <v>176</v>
      </c>
      <c r="D77" s="155">
        <f>+Healthcare!J15</f>
        <v>21418.32</v>
      </c>
      <c r="E77" s="155">
        <f>+Healthcare!K15</f>
        <v>965816.61</v>
      </c>
      <c r="F77" s="23">
        <f t="shared" si="4"/>
        <v>987234.92999999993</v>
      </c>
    </row>
    <row r="78" spans="1:6" ht="27.6" x14ac:dyDescent="0.25">
      <c r="A78" s="312"/>
      <c r="B78" s="322"/>
      <c r="C78" s="138" t="s">
        <v>182</v>
      </c>
      <c r="D78" s="155">
        <f>+Healthcare!J18</f>
        <v>851563</v>
      </c>
      <c r="E78" s="155">
        <f>+Healthcare!K18</f>
        <v>647888.46</v>
      </c>
      <c r="F78" s="23">
        <f t="shared" si="4"/>
        <v>1499451.46</v>
      </c>
    </row>
    <row r="79" spans="1:6" x14ac:dyDescent="0.25">
      <c r="A79" s="312"/>
      <c r="B79" s="322"/>
      <c r="C79" s="138" t="s">
        <v>184</v>
      </c>
      <c r="D79" s="155">
        <f>+Healthcare!J19</f>
        <v>0</v>
      </c>
      <c r="E79" s="155">
        <f>+Healthcare!K19</f>
        <v>734311.9</v>
      </c>
      <c r="F79" s="23">
        <f t="shared" si="4"/>
        <v>734311.9</v>
      </c>
    </row>
    <row r="80" spans="1:6" ht="27.6" x14ac:dyDescent="0.25">
      <c r="A80" s="312"/>
      <c r="B80" s="322"/>
      <c r="C80" s="138" t="s">
        <v>186</v>
      </c>
      <c r="D80" s="155">
        <f>+Healthcare!J20</f>
        <v>0</v>
      </c>
      <c r="E80" s="155">
        <f>+Healthcare!K20</f>
        <v>280981.71999999997</v>
      </c>
      <c r="F80" s="23">
        <f t="shared" si="4"/>
        <v>280981.71999999997</v>
      </c>
    </row>
    <row r="81" spans="1:6" ht="27.6" x14ac:dyDescent="0.25">
      <c r="A81" s="312"/>
      <c r="B81" s="322"/>
      <c r="C81" s="138" t="s">
        <v>188</v>
      </c>
      <c r="D81" s="155">
        <f>+Healthcare!J21</f>
        <v>0</v>
      </c>
      <c r="E81" s="155">
        <f>+Healthcare!K21</f>
        <v>896963.06</v>
      </c>
      <c r="F81" s="23">
        <f t="shared" si="4"/>
        <v>896963.06</v>
      </c>
    </row>
    <row r="82" spans="1:6" x14ac:dyDescent="0.25">
      <c r="A82" s="312"/>
      <c r="B82" s="322"/>
      <c r="C82" s="138" t="s">
        <v>190</v>
      </c>
      <c r="D82" s="155">
        <f>+Healthcare!J22</f>
        <v>0</v>
      </c>
      <c r="E82" s="155">
        <f>+Healthcare!K22</f>
        <v>162594.47</v>
      </c>
      <c r="F82" s="23">
        <f t="shared" si="4"/>
        <v>162594.47</v>
      </c>
    </row>
    <row r="83" spans="1:6" x14ac:dyDescent="0.25">
      <c r="A83" s="312"/>
      <c r="B83" s="322"/>
      <c r="C83" s="138" t="s">
        <v>192</v>
      </c>
      <c r="D83" s="155">
        <f>+Healthcare!J23</f>
        <v>0</v>
      </c>
      <c r="E83" s="155">
        <f>+Healthcare!K23</f>
        <v>1228644.27</v>
      </c>
      <c r="F83" s="23">
        <f t="shared" si="4"/>
        <v>1228644.27</v>
      </c>
    </row>
    <row r="84" spans="1:6" x14ac:dyDescent="0.25">
      <c r="A84" s="312"/>
      <c r="B84" s="322"/>
      <c r="C84" s="138" t="s">
        <v>194</v>
      </c>
      <c r="D84" s="155">
        <f>+Healthcare!J24</f>
        <v>0</v>
      </c>
      <c r="E84" s="155">
        <f>+Healthcare!K24</f>
        <v>983317.35</v>
      </c>
      <c r="F84" s="23">
        <f t="shared" si="4"/>
        <v>983317.35</v>
      </c>
    </row>
    <row r="85" spans="1:6" x14ac:dyDescent="0.25">
      <c r="A85" s="312"/>
      <c r="B85" s="322"/>
      <c r="C85" s="138" t="s">
        <v>196</v>
      </c>
      <c r="D85" s="155">
        <f>+Healthcare!J25</f>
        <v>0</v>
      </c>
      <c r="E85" s="155">
        <f>+Healthcare!K25</f>
        <v>15012.4</v>
      </c>
      <c r="F85" s="23">
        <f t="shared" si="4"/>
        <v>15012.4</v>
      </c>
    </row>
    <row r="86" spans="1:6" x14ac:dyDescent="0.25">
      <c r="A86" s="312"/>
      <c r="B86" s="322"/>
      <c r="C86" s="138" t="s">
        <v>198</v>
      </c>
      <c r="D86" s="155">
        <f>+Healthcare!J26</f>
        <v>0</v>
      </c>
      <c r="E86" s="155">
        <f>+Healthcare!K26</f>
        <v>170341.71</v>
      </c>
      <c r="F86" s="23">
        <f t="shared" si="4"/>
        <v>170341.71</v>
      </c>
    </row>
    <row r="87" spans="1:6" ht="27.6" x14ac:dyDescent="0.25">
      <c r="A87" s="312"/>
      <c r="B87" s="322"/>
      <c r="C87" s="138" t="s">
        <v>200</v>
      </c>
      <c r="D87" s="155">
        <f>+Healthcare!J27</f>
        <v>0</v>
      </c>
      <c r="E87" s="155">
        <f>+Healthcare!K27</f>
        <v>27225.279999999999</v>
      </c>
      <c r="F87" s="23">
        <f t="shared" si="4"/>
        <v>27225.279999999999</v>
      </c>
    </row>
    <row r="88" spans="1:6" x14ac:dyDescent="0.25">
      <c r="A88" s="312"/>
      <c r="B88" s="322"/>
      <c r="C88" s="138" t="s">
        <v>204</v>
      </c>
      <c r="D88" s="155">
        <f>+Healthcare!J29</f>
        <v>109539</v>
      </c>
      <c r="E88" s="155">
        <f>+Healthcare!K29</f>
        <v>1581657.43</v>
      </c>
      <c r="F88" s="23">
        <f t="shared" si="4"/>
        <v>1691196.43</v>
      </c>
    </row>
    <row r="89" spans="1:6" x14ac:dyDescent="0.25">
      <c r="A89" s="312"/>
      <c r="B89" s="322"/>
      <c r="C89" s="138" t="s">
        <v>206</v>
      </c>
      <c r="D89" s="155">
        <f>+Healthcare!J30</f>
        <v>259313</v>
      </c>
      <c r="E89" s="155">
        <f>+Healthcare!K30</f>
        <v>2612043.9500000002</v>
      </c>
      <c r="F89" s="23">
        <f t="shared" si="4"/>
        <v>2871356.95</v>
      </c>
    </row>
    <row r="90" spans="1:6" x14ac:dyDescent="0.25">
      <c r="A90" s="312"/>
      <c r="B90" s="322"/>
      <c r="C90" s="138" t="s">
        <v>208</v>
      </c>
      <c r="D90" s="155">
        <f>+Healthcare!J31</f>
        <v>0</v>
      </c>
      <c r="E90" s="155">
        <f>+Healthcare!K31</f>
        <v>1607885.45</v>
      </c>
      <c r="F90" s="23">
        <f t="shared" si="4"/>
        <v>1607885.45</v>
      </c>
    </row>
    <row r="91" spans="1:6" ht="27.6" x14ac:dyDescent="0.25">
      <c r="A91" s="312"/>
      <c r="B91" s="322"/>
      <c r="C91" s="138" t="s">
        <v>210</v>
      </c>
      <c r="D91" s="155">
        <f>+Healthcare!J32</f>
        <v>8592.98</v>
      </c>
      <c r="E91" s="155">
        <f>+Healthcare!K32</f>
        <v>99847</v>
      </c>
      <c r="F91" s="23">
        <f t="shared" si="4"/>
        <v>108439.98</v>
      </c>
    </row>
    <row r="92" spans="1:6" ht="27.6" x14ac:dyDescent="0.25">
      <c r="A92" s="312"/>
      <c r="B92" s="322"/>
      <c r="C92" s="138" t="s">
        <v>242</v>
      </c>
      <c r="D92" s="155">
        <f>+Healthcare!J48</f>
        <v>0</v>
      </c>
      <c r="E92" s="155">
        <f>+Healthcare!K48</f>
        <v>31222.260000000002</v>
      </c>
      <c r="F92" s="23">
        <f t="shared" si="4"/>
        <v>31222.260000000002</v>
      </c>
    </row>
    <row r="93" spans="1:6" x14ac:dyDescent="0.25">
      <c r="A93" s="312"/>
      <c r="B93" s="322"/>
      <c r="C93" s="138" t="s">
        <v>244</v>
      </c>
      <c r="D93" s="155">
        <f>+Healthcare!J49</f>
        <v>3774605</v>
      </c>
      <c r="E93" s="155">
        <f>+Healthcare!K49</f>
        <v>9530394.2300000004</v>
      </c>
      <c r="F93" s="23">
        <f t="shared" si="4"/>
        <v>13304999.23</v>
      </c>
    </row>
    <row r="94" spans="1:6" x14ac:dyDescent="0.25">
      <c r="A94" s="312"/>
      <c r="B94" s="322"/>
      <c r="C94" s="138" t="s">
        <v>246</v>
      </c>
      <c r="D94" s="155">
        <f>+Healthcare!J50</f>
        <v>0</v>
      </c>
      <c r="E94" s="155">
        <f>+Healthcare!K50</f>
        <v>48190</v>
      </c>
      <c r="F94" s="23">
        <f t="shared" si="4"/>
        <v>48190</v>
      </c>
    </row>
    <row r="95" spans="1:6" x14ac:dyDescent="0.25">
      <c r="A95" s="312"/>
      <c r="B95" s="322"/>
      <c r="C95" s="138" t="s">
        <v>248</v>
      </c>
      <c r="D95" s="155">
        <f>+Healthcare!J51</f>
        <v>3316759</v>
      </c>
      <c r="E95" s="155">
        <f>+Healthcare!K51</f>
        <v>9928816.4299999997</v>
      </c>
      <c r="F95" s="23">
        <f t="shared" si="4"/>
        <v>13245575.43</v>
      </c>
    </row>
    <row r="96" spans="1:6" x14ac:dyDescent="0.25">
      <c r="A96" s="312"/>
      <c r="B96" s="322"/>
      <c r="C96" s="138" t="s">
        <v>250</v>
      </c>
      <c r="D96" s="155">
        <f>+Healthcare!J52</f>
        <v>0</v>
      </c>
      <c r="E96" s="155">
        <f>+Healthcare!K52</f>
        <v>147892.20000000001</v>
      </c>
      <c r="F96" s="23">
        <f t="shared" si="4"/>
        <v>147892.20000000001</v>
      </c>
    </row>
    <row r="97" spans="1:8" x14ac:dyDescent="0.25">
      <c r="A97" s="312"/>
      <c r="B97" s="322"/>
      <c r="C97" s="138" t="s">
        <v>252</v>
      </c>
      <c r="D97" s="155">
        <f>+Healthcare!J53</f>
        <v>54596</v>
      </c>
      <c r="E97" s="155">
        <f>+Healthcare!K53</f>
        <v>3058880.88</v>
      </c>
      <c r="F97" s="23">
        <f t="shared" si="4"/>
        <v>3113476.88</v>
      </c>
      <c r="G97" s="234">
        <f>+D73+D74+D75+D76+D77+D78+D79+D80+D81+D82+D83+D84+D85+D86+D87+D88+D89+D90+D91+D92+D93+D94+D95+D96+D97</f>
        <v>10186531.199999999</v>
      </c>
      <c r="H97" s="234">
        <f>+E73+E74+E75+E76+E77+E78+E79+E80+E81+E82+E83+E84+E85+E86+E87+E88+E89+E90+E91+E92+E93+E94+E95+E96+E97</f>
        <v>35560994.309999995</v>
      </c>
    </row>
    <row r="98" spans="1:8" ht="24" customHeight="1" x14ac:dyDescent="0.25">
      <c r="A98" s="312"/>
      <c r="B98" s="322" t="s">
        <v>432</v>
      </c>
      <c r="C98" s="138" t="s">
        <v>160</v>
      </c>
      <c r="D98" s="155">
        <f>+Healthcare!J7</f>
        <v>418316.33999999997</v>
      </c>
      <c r="E98" s="155">
        <f>+Healthcare!K7</f>
        <v>344153.70999999996</v>
      </c>
      <c r="F98" s="23">
        <f t="shared" si="4"/>
        <v>762470.04999999993</v>
      </c>
    </row>
    <row r="99" spans="1:8" ht="27.6" x14ac:dyDescent="0.25">
      <c r="A99" s="312"/>
      <c r="B99" s="322"/>
      <c r="C99" s="138" t="s">
        <v>162</v>
      </c>
      <c r="D99" s="155">
        <f>+Healthcare!J8</f>
        <v>7790936</v>
      </c>
      <c r="E99" s="155">
        <f>+Healthcare!K8</f>
        <v>814218</v>
      </c>
      <c r="F99" s="23">
        <f t="shared" si="4"/>
        <v>8605154</v>
      </c>
    </row>
    <row r="100" spans="1:8" ht="27.6" x14ac:dyDescent="0.25">
      <c r="A100" s="312"/>
      <c r="B100" s="322"/>
      <c r="C100" s="138" t="s">
        <v>164</v>
      </c>
      <c r="D100" s="155">
        <f>+Healthcare!J9</f>
        <v>895389.28</v>
      </c>
      <c r="E100" s="155">
        <f>+Healthcare!K9</f>
        <v>892340.66</v>
      </c>
      <c r="F100" s="23">
        <f t="shared" si="4"/>
        <v>1787729.94</v>
      </c>
    </row>
    <row r="101" spans="1:8" ht="27.6" x14ac:dyDescent="0.25">
      <c r="A101" s="312"/>
      <c r="B101" s="322"/>
      <c r="C101" s="138" t="s">
        <v>180</v>
      </c>
      <c r="D101" s="155">
        <f>+Healthcare!J17</f>
        <v>479314.74</v>
      </c>
      <c r="E101" s="155">
        <f>+Healthcare!K17</f>
        <v>477814.41</v>
      </c>
      <c r="F101" s="23">
        <f t="shared" si="4"/>
        <v>957129.14999999991</v>
      </c>
    </row>
    <row r="102" spans="1:8" x14ac:dyDescent="0.25">
      <c r="A102" s="312"/>
      <c r="B102" s="322"/>
      <c r="C102" s="138" t="s">
        <v>202</v>
      </c>
      <c r="D102" s="155">
        <f>+Healthcare!J28</f>
        <v>0</v>
      </c>
      <c r="E102" s="155">
        <f>+Healthcare!K28</f>
        <v>21423</v>
      </c>
      <c r="F102" s="23">
        <f t="shared" si="4"/>
        <v>21423</v>
      </c>
    </row>
    <row r="103" spans="1:8" ht="27.6" x14ac:dyDescent="0.25">
      <c r="A103" s="312"/>
      <c r="B103" s="322" t="s">
        <v>433</v>
      </c>
      <c r="C103" s="138" t="s">
        <v>166</v>
      </c>
      <c r="D103" s="155">
        <f>+Healthcare!J10</f>
        <v>2274042.1100000003</v>
      </c>
      <c r="E103" s="155">
        <f>+Healthcare!K10</f>
        <v>2178806.62</v>
      </c>
      <c r="F103" s="23">
        <f t="shared" si="4"/>
        <v>4452848.7300000004</v>
      </c>
    </row>
    <row r="104" spans="1:8" ht="27.6" x14ac:dyDescent="0.25">
      <c r="A104" s="312"/>
      <c r="B104" s="322"/>
      <c r="C104" s="138" t="s">
        <v>168</v>
      </c>
      <c r="D104" s="155">
        <f>+Healthcare!J11</f>
        <v>105598.39</v>
      </c>
      <c r="E104" s="155">
        <f>+Healthcare!K11</f>
        <v>46919.11</v>
      </c>
      <c r="F104" s="23">
        <f t="shared" si="4"/>
        <v>152517.5</v>
      </c>
    </row>
    <row r="105" spans="1:8" x14ac:dyDescent="0.25">
      <c r="A105" s="312"/>
      <c r="B105" s="322"/>
      <c r="C105" s="138" t="s">
        <v>170</v>
      </c>
      <c r="D105" s="155">
        <f>+Healthcare!J12</f>
        <v>18264309.800000001</v>
      </c>
      <c r="E105" s="155">
        <f>+Healthcare!K12</f>
        <v>0</v>
      </c>
      <c r="F105" s="23">
        <f t="shared" si="4"/>
        <v>18264309.800000001</v>
      </c>
    </row>
    <row r="106" spans="1:8" x14ac:dyDescent="0.25">
      <c r="A106" s="312"/>
      <c r="B106" s="322"/>
      <c r="C106" s="138" t="s">
        <v>178</v>
      </c>
      <c r="D106" s="155">
        <f>+Healthcare!J16</f>
        <v>2392060.9900000002</v>
      </c>
      <c r="E106" s="155">
        <f>+Healthcare!K16</f>
        <v>2397455.4099999997</v>
      </c>
      <c r="F106" s="23">
        <f t="shared" si="4"/>
        <v>4789516.4000000004</v>
      </c>
    </row>
    <row r="107" spans="1:8" x14ac:dyDescent="0.25">
      <c r="A107" s="312"/>
      <c r="B107" s="322"/>
      <c r="C107" s="138" t="s">
        <v>212</v>
      </c>
      <c r="D107" s="155">
        <f>+Healthcare!J33</f>
        <v>485901.04000000004</v>
      </c>
      <c r="E107" s="155">
        <f>+Healthcare!K33</f>
        <v>468970.16000000003</v>
      </c>
      <c r="F107" s="23">
        <f t="shared" si="4"/>
        <v>954871.20000000007</v>
      </c>
      <c r="G107" s="234">
        <f>+D103+D104+D105+D106+D107</f>
        <v>23521912.329999998</v>
      </c>
      <c r="H107" s="234">
        <f>+E103+E104+E105+E106+E107</f>
        <v>5092151.3</v>
      </c>
    </row>
    <row r="108" spans="1:8" ht="27.6" x14ac:dyDescent="0.25">
      <c r="A108" s="312"/>
      <c r="B108" s="185" t="s">
        <v>434</v>
      </c>
      <c r="C108" s="138" t="s">
        <v>174</v>
      </c>
      <c r="D108" s="155">
        <f>+Healthcare!J14</f>
        <v>80000000</v>
      </c>
      <c r="E108" s="155">
        <f>+Healthcare!K14</f>
        <v>87168965.019999996</v>
      </c>
      <c r="F108" s="23">
        <f t="shared" si="4"/>
        <v>167168965.01999998</v>
      </c>
      <c r="G108" s="234">
        <f>+D108</f>
        <v>80000000</v>
      </c>
      <c r="H108" s="234">
        <f>+E108</f>
        <v>87168965.019999996</v>
      </c>
    </row>
    <row r="109" spans="1:8" ht="27.6" x14ac:dyDescent="0.25">
      <c r="A109" s="312"/>
      <c r="B109" s="322" t="s">
        <v>435</v>
      </c>
      <c r="C109" s="138" t="s">
        <v>214</v>
      </c>
      <c r="D109" s="155">
        <f>+Healthcare!J34</f>
        <v>61943117.030000001</v>
      </c>
      <c r="E109" s="155">
        <f>+Healthcare!K34</f>
        <v>2753.99</v>
      </c>
      <c r="F109" s="23">
        <f t="shared" si="4"/>
        <v>61945871.020000003</v>
      </c>
    </row>
    <row r="110" spans="1:8" ht="27.6" x14ac:dyDescent="0.25">
      <c r="A110" s="312"/>
      <c r="B110" s="322"/>
      <c r="C110" s="138" t="s">
        <v>216</v>
      </c>
      <c r="D110" s="155">
        <f>+Healthcare!J35</f>
        <v>18615405.84</v>
      </c>
      <c r="E110" s="155">
        <f>+Healthcare!K35</f>
        <v>50781.3</v>
      </c>
      <c r="F110" s="23">
        <f t="shared" si="4"/>
        <v>18666187.140000001</v>
      </c>
    </row>
    <row r="111" spans="1:8" x14ac:dyDescent="0.25">
      <c r="A111" s="312"/>
      <c r="B111" s="322"/>
      <c r="C111" s="138" t="s">
        <v>218</v>
      </c>
      <c r="D111" s="155">
        <f>+Healthcare!J36</f>
        <v>134853.4</v>
      </c>
      <c r="E111" s="155">
        <f>+Healthcare!K36</f>
        <v>373150.19999999995</v>
      </c>
      <c r="F111" s="23">
        <f t="shared" si="4"/>
        <v>508003.6</v>
      </c>
    </row>
    <row r="112" spans="1:8" x14ac:dyDescent="0.25">
      <c r="A112" s="312"/>
      <c r="B112" s="322"/>
      <c r="C112" s="138" t="s">
        <v>220</v>
      </c>
      <c r="D112" s="155">
        <f>+Healthcare!J37</f>
        <v>70483.27</v>
      </c>
      <c r="E112" s="155">
        <f>+Healthcare!K37</f>
        <v>303628.09999999998</v>
      </c>
      <c r="F112" s="23">
        <f t="shared" si="4"/>
        <v>374111.37</v>
      </c>
    </row>
    <row r="113" spans="1:8" x14ac:dyDescent="0.25">
      <c r="A113" s="312"/>
      <c r="B113" s="322"/>
      <c r="C113" s="138" t="s">
        <v>222</v>
      </c>
      <c r="D113" s="155">
        <f>+Healthcare!J38</f>
        <v>101333.13</v>
      </c>
      <c r="E113" s="155">
        <f>+Healthcare!K38</f>
        <v>246315.53000000003</v>
      </c>
      <c r="F113" s="23">
        <f t="shared" si="4"/>
        <v>347648.66000000003</v>
      </c>
    </row>
    <row r="114" spans="1:8" ht="27.6" x14ac:dyDescent="0.25">
      <c r="A114" s="312"/>
      <c r="B114" s="322"/>
      <c r="C114" s="138" t="s">
        <v>224</v>
      </c>
      <c r="D114" s="155">
        <f>+Healthcare!J39</f>
        <v>8449910.7299999986</v>
      </c>
      <c r="E114" s="155">
        <f>+Healthcare!K39</f>
        <v>67216249.940000013</v>
      </c>
      <c r="F114" s="23">
        <f t="shared" si="4"/>
        <v>75666160.670000017</v>
      </c>
    </row>
    <row r="115" spans="1:8" x14ac:dyDescent="0.25">
      <c r="A115" s="312"/>
      <c r="B115" s="322"/>
      <c r="C115" s="138" t="s">
        <v>226</v>
      </c>
      <c r="D115" s="155">
        <f>+Healthcare!J40</f>
        <v>0</v>
      </c>
      <c r="E115" s="155">
        <f>+Healthcare!K40</f>
        <v>15971.02</v>
      </c>
      <c r="F115" s="23">
        <f t="shared" si="4"/>
        <v>15971.02</v>
      </c>
    </row>
    <row r="116" spans="1:8" x14ac:dyDescent="0.25">
      <c r="A116" s="312"/>
      <c r="B116" s="322"/>
      <c r="C116" s="138" t="s">
        <v>228</v>
      </c>
      <c r="D116" s="155">
        <f>+Healthcare!J41</f>
        <v>0</v>
      </c>
      <c r="E116" s="155">
        <f>+Healthcare!K41</f>
        <v>305666.58</v>
      </c>
      <c r="F116" s="23">
        <f t="shared" si="4"/>
        <v>305666.58</v>
      </c>
    </row>
    <row r="117" spans="1:8" ht="27.6" x14ac:dyDescent="0.25">
      <c r="A117" s="312"/>
      <c r="B117" s="322"/>
      <c r="C117" s="138" t="s">
        <v>230</v>
      </c>
      <c r="D117" s="155">
        <f>+Healthcare!J42</f>
        <v>1306062.98</v>
      </c>
      <c r="E117" s="155">
        <f>+Healthcare!K42</f>
        <v>32708873.25</v>
      </c>
      <c r="F117" s="23">
        <f t="shared" si="4"/>
        <v>34014936.229999997</v>
      </c>
    </row>
    <row r="118" spans="1:8" ht="27.6" x14ac:dyDescent="0.25">
      <c r="A118" s="312"/>
      <c r="B118" s="322"/>
      <c r="C118" s="138" t="s">
        <v>232</v>
      </c>
      <c r="D118" s="155">
        <f>+Healthcare!J43</f>
        <v>4077535.69</v>
      </c>
      <c r="E118" s="155">
        <f>+Healthcare!K43</f>
        <v>4422103.8</v>
      </c>
      <c r="F118" s="23">
        <f t="shared" si="4"/>
        <v>8499639.4900000002</v>
      </c>
    </row>
    <row r="119" spans="1:8" x14ac:dyDescent="0.25">
      <c r="A119" s="312"/>
      <c r="B119" s="322"/>
      <c r="C119" s="138" t="s">
        <v>234</v>
      </c>
      <c r="D119" s="155">
        <f>+Healthcare!J44</f>
        <v>2582303</v>
      </c>
      <c r="E119" s="155">
        <f>+Healthcare!K44</f>
        <v>0</v>
      </c>
      <c r="F119" s="23">
        <f t="shared" si="4"/>
        <v>2582303</v>
      </c>
    </row>
    <row r="120" spans="1:8" ht="27.6" x14ac:dyDescent="0.25">
      <c r="A120" s="312"/>
      <c r="B120" s="322"/>
      <c r="C120" s="138" t="s">
        <v>236</v>
      </c>
      <c r="D120" s="155">
        <f>+Healthcare!J45</f>
        <v>0</v>
      </c>
      <c r="E120" s="155">
        <f>+Healthcare!K45</f>
        <v>66377957.060000002</v>
      </c>
      <c r="F120" s="23">
        <f t="shared" si="4"/>
        <v>66377957.060000002</v>
      </c>
    </row>
    <row r="121" spans="1:8" ht="27.6" x14ac:dyDescent="0.25">
      <c r="A121" s="312"/>
      <c r="B121" s="322"/>
      <c r="C121" s="138" t="s">
        <v>238</v>
      </c>
      <c r="D121" s="155">
        <f>+Healthcare!J46</f>
        <v>0</v>
      </c>
      <c r="E121" s="155">
        <f>+Healthcare!K46</f>
        <v>1045453.8800000001</v>
      </c>
      <c r="F121" s="23">
        <f t="shared" si="4"/>
        <v>1045453.8800000001</v>
      </c>
    </row>
    <row r="122" spans="1:8" ht="27.6" x14ac:dyDescent="0.25">
      <c r="A122" s="312"/>
      <c r="B122" s="322"/>
      <c r="C122" s="138" t="s">
        <v>240</v>
      </c>
      <c r="D122" s="155">
        <f>+Healthcare!J47</f>
        <v>0</v>
      </c>
      <c r="E122" s="155">
        <f>+Healthcare!K47</f>
        <v>55503.48</v>
      </c>
      <c r="F122" s="23">
        <f t="shared" si="4"/>
        <v>55503.48</v>
      </c>
      <c r="G122" s="234">
        <f>+D109+D110+D111+D112+D113+D114+D115+D116+D117+D118+D119+D120+D121+D122</f>
        <v>97281005.070000008</v>
      </c>
      <c r="H122" s="234">
        <f>+E109+E110+E111+E112+E113+E114+E115+E116+E117+E118+E119+E120+E121+E122</f>
        <v>173124408.13</v>
      </c>
    </row>
    <row r="123" spans="1:8" x14ac:dyDescent="0.25">
      <c r="C123" s="25" t="s">
        <v>430</v>
      </c>
      <c r="D123" s="26">
        <f>SUM(D73:D122)</f>
        <v>220573404.96000001</v>
      </c>
      <c r="E123" s="26">
        <f>SUM(E73:E122)</f>
        <v>303496468.54000002</v>
      </c>
      <c r="F123" s="26">
        <f>SUM(F73:F122)</f>
        <v>524069873.50000006</v>
      </c>
    </row>
    <row r="125" spans="1:8" ht="14.4" thickBot="1" x14ac:dyDescent="0.3"/>
    <row r="126" spans="1:8" x14ac:dyDescent="0.25">
      <c r="A126" s="305" t="s">
        <v>411</v>
      </c>
      <c r="B126" s="307" t="s">
        <v>413</v>
      </c>
      <c r="C126" s="309" t="s">
        <v>4</v>
      </c>
      <c r="D126" s="307" t="s">
        <v>414</v>
      </c>
      <c r="E126" s="307"/>
      <c r="F126" s="318" t="s">
        <v>418</v>
      </c>
    </row>
    <row r="127" spans="1:8" ht="14.4" thickBot="1" x14ac:dyDescent="0.3">
      <c r="A127" s="315"/>
      <c r="B127" s="316"/>
      <c r="C127" s="317"/>
      <c r="D127" s="226" t="s">
        <v>486</v>
      </c>
      <c r="E127" s="226" t="s">
        <v>417</v>
      </c>
      <c r="F127" s="319"/>
    </row>
    <row r="128" spans="1:8" ht="15" customHeight="1" thickBot="1" x14ac:dyDescent="0.3">
      <c r="A128" s="323" t="s">
        <v>611</v>
      </c>
      <c r="B128" s="321" t="s">
        <v>427</v>
      </c>
      <c r="C128" s="152" t="s">
        <v>39</v>
      </c>
      <c r="D128" s="21">
        <f>+'Employment generation'!J4</f>
        <v>2644319</v>
      </c>
      <c r="E128" s="21">
        <f>+'Employment generation'!K4</f>
        <v>4198993</v>
      </c>
      <c r="F128" s="22">
        <f>+D128+E128</f>
        <v>6843312</v>
      </c>
    </row>
    <row r="129" spans="1:6" ht="14.4" thickBot="1" x14ac:dyDescent="0.3">
      <c r="A129" s="324"/>
      <c r="B129" s="322"/>
      <c r="C129" s="138" t="s">
        <v>43</v>
      </c>
      <c r="D129" s="21">
        <f>+'Employment generation'!J5</f>
        <v>279827</v>
      </c>
      <c r="E129" s="21">
        <f>+'Employment generation'!K5</f>
        <v>233864</v>
      </c>
      <c r="F129" s="23">
        <f t="shared" ref="F129:F142" si="5">+D129+E129</f>
        <v>513691</v>
      </c>
    </row>
    <row r="130" spans="1:6" ht="14.4" thickBot="1" x14ac:dyDescent="0.3">
      <c r="A130" s="324"/>
      <c r="B130" s="322"/>
      <c r="C130" s="138" t="s">
        <v>45</v>
      </c>
      <c r="D130" s="21">
        <f>+'Employment generation'!J6</f>
        <v>150553</v>
      </c>
      <c r="E130" s="21">
        <f>+'Employment generation'!K6</f>
        <v>186287</v>
      </c>
      <c r="F130" s="23">
        <f t="shared" si="5"/>
        <v>336840</v>
      </c>
    </row>
    <row r="131" spans="1:6" ht="28.2" thickBot="1" x14ac:dyDescent="0.3">
      <c r="A131" s="324"/>
      <c r="B131" s="322"/>
      <c r="C131" s="138" t="s">
        <v>47</v>
      </c>
      <c r="D131" s="21">
        <f>+'Employment generation'!J7</f>
        <v>37978</v>
      </c>
      <c r="E131" s="21">
        <f>+'Employment generation'!K7</f>
        <v>17218</v>
      </c>
      <c r="F131" s="23">
        <f t="shared" si="5"/>
        <v>55196</v>
      </c>
    </row>
    <row r="132" spans="1:6" ht="42" thickBot="1" x14ac:dyDescent="0.3">
      <c r="A132" s="324"/>
      <c r="B132" s="322"/>
      <c r="C132" s="138" t="s">
        <v>49</v>
      </c>
      <c r="D132" s="21">
        <f>+'Employment generation'!J8</f>
        <v>31000</v>
      </c>
      <c r="E132" s="21">
        <f>+'Employment generation'!K8</f>
        <v>27583</v>
      </c>
      <c r="F132" s="23">
        <f t="shared" si="5"/>
        <v>58583</v>
      </c>
    </row>
    <row r="133" spans="1:6" ht="42" thickBot="1" x14ac:dyDescent="0.3">
      <c r="A133" s="324"/>
      <c r="B133" s="322"/>
      <c r="C133" s="138" t="s">
        <v>52</v>
      </c>
      <c r="D133" s="21">
        <f>+'Employment generation'!J9</f>
        <v>166812</v>
      </c>
      <c r="E133" s="21">
        <f>+'Employment generation'!K9</f>
        <v>205506</v>
      </c>
      <c r="F133" s="23">
        <f t="shared" si="5"/>
        <v>372318</v>
      </c>
    </row>
    <row r="134" spans="1:6" ht="28.2" thickBot="1" x14ac:dyDescent="0.3">
      <c r="A134" s="324"/>
      <c r="B134" s="322"/>
      <c r="C134" s="138" t="s">
        <v>54</v>
      </c>
      <c r="D134" s="21">
        <f>+'Employment generation'!J10</f>
        <v>669341</v>
      </c>
      <c r="E134" s="21">
        <f>+'Employment generation'!K10</f>
        <v>291704</v>
      </c>
      <c r="F134" s="23">
        <f t="shared" si="5"/>
        <v>961045</v>
      </c>
    </row>
    <row r="135" spans="1:6" ht="28.2" thickBot="1" x14ac:dyDescent="0.3">
      <c r="A135" s="324"/>
      <c r="B135" s="322"/>
      <c r="C135" s="138" t="s">
        <v>56</v>
      </c>
      <c r="D135" s="21">
        <f>+'Employment generation'!J11</f>
        <v>482797</v>
      </c>
      <c r="E135" s="21">
        <f>+'Employment generation'!K11</f>
        <v>444490</v>
      </c>
      <c r="F135" s="23">
        <f t="shared" si="5"/>
        <v>927287</v>
      </c>
    </row>
    <row r="136" spans="1:6" ht="28.2" thickBot="1" x14ac:dyDescent="0.3">
      <c r="A136" s="324"/>
      <c r="B136" s="322"/>
      <c r="C136" s="138" t="s">
        <v>59</v>
      </c>
      <c r="D136" s="21">
        <f>+'Employment generation'!J12</f>
        <v>128116</v>
      </c>
      <c r="E136" s="21">
        <f>+'Employment generation'!K12</f>
        <v>121206</v>
      </c>
      <c r="F136" s="23">
        <f t="shared" si="5"/>
        <v>249322</v>
      </c>
    </row>
    <row r="137" spans="1:6" ht="28.2" thickBot="1" x14ac:dyDescent="0.3">
      <c r="A137" s="324"/>
      <c r="B137" s="322"/>
      <c r="C137" s="138" t="s">
        <v>61</v>
      </c>
      <c r="D137" s="21">
        <f>+'Employment generation'!J13</f>
        <v>133043</v>
      </c>
      <c r="E137" s="21">
        <f>+'Employment generation'!K13</f>
        <v>119064</v>
      </c>
      <c r="F137" s="23">
        <f t="shared" si="5"/>
        <v>252107</v>
      </c>
    </row>
    <row r="138" spans="1:6" ht="14.4" thickBot="1" x14ac:dyDescent="0.3">
      <c r="A138" s="324"/>
      <c r="B138" s="322"/>
      <c r="C138" s="138" t="s">
        <v>63</v>
      </c>
      <c r="D138" s="21">
        <f>+'Employment generation'!J14</f>
        <v>475203</v>
      </c>
      <c r="E138" s="21">
        <f>+'Employment generation'!K14</f>
        <v>569554</v>
      </c>
      <c r="F138" s="23">
        <f t="shared" si="5"/>
        <v>1044757</v>
      </c>
    </row>
    <row r="139" spans="1:6" ht="14.4" thickBot="1" x14ac:dyDescent="0.3">
      <c r="A139" s="324"/>
      <c r="B139" s="322"/>
      <c r="C139" s="138" t="s">
        <v>65</v>
      </c>
      <c r="D139" s="21">
        <f>+'Employment generation'!J15</f>
        <v>998317</v>
      </c>
      <c r="E139" s="21">
        <f>+'Employment generation'!K15</f>
        <v>1035088</v>
      </c>
      <c r="F139" s="23">
        <f t="shared" si="5"/>
        <v>2033405</v>
      </c>
    </row>
    <row r="140" spans="1:6" ht="14.4" thickBot="1" x14ac:dyDescent="0.3">
      <c r="A140" s="324"/>
      <c r="B140" s="322"/>
      <c r="C140" s="138" t="s">
        <v>67</v>
      </c>
      <c r="D140" s="21">
        <f>+'Employment generation'!J16</f>
        <v>363519</v>
      </c>
      <c r="E140" s="21">
        <f>+'Employment generation'!K16</f>
        <v>367023</v>
      </c>
      <c r="F140" s="23">
        <f t="shared" si="5"/>
        <v>730542</v>
      </c>
    </row>
    <row r="141" spans="1:6" ht="28.2" thickBot="1" x14ac:dyDescent="0.3">
      <c r="A141" s="324"/>
      <c r="B141" s="322"/>
      <c r="C141" s="138" t="s">
        <v>102</v>
      </c>
      <c r="D141" s="21">
        <f>+'Employment generation'!J17</f>
        <v>70204.63</v>
      </c>
      <c r="E141" s="21">
        <f>+'Employment generation'!K17</f>
        <v>67976</v>
      </c>
      <c r="F141" s="23">
        <f t="shared" si="5"/>
        <v>138180.63</v>
      </c>
    </row>
    <row r="142" spans="1:6" ht="27.6" x14ac:dyDescent="0.25">
      <c r="A142" s="325"/>
      <c r="B142" s="322"/>
      <c r="C142" s="138" t="s">
        <v>110</v>
      </c>
      <c r="D142" s="21">
        <f>+'Employment generation'!J18</f>
        <v>65065.77</v>
      </c>
      <c r="E142" s="21">
        <f>+'Employment generation'!K18</f>
        <v>68635.899999999994</v>
      </c>
      <c r="F142" s="23">
        <f t="shared" si="5"/>
        <v>133701.66999999998</v>
      </c>
    </row>
    <row r="143" spans="1:6" x14ac:dyDescent="0.25">
      <c r="C143" s="25" t="s">
        <v>436</v>
      </c>
      <c r="D143" s="26">
        <f>SUM(D128:D142)</f>
        <v>6696095.3999999994</v>
      </c>
      <c r="E143" s="26">
        <f>SUM(E128:E142)</f>
        <v>7954191.9000000004</v>
      </c>
      <c r="F143" s="26">
        <f>SUM(F128:F142)</f>
        <v>14650287.300000001</v>
      </c>
    </row>
  </sheetData>
  <mergeCells count="39">
    <mergeCell ref="B128:B142"/>
    <mergeCell ref="A128:A142"/>
    <mergeCell ref="A35:A66"/>
    <mergeCell ref="A126:A127"/>
    <mergeCell ref="B126:B127"/>
    <mergeCell ref="A71:A72"/>
    <mergeCell ref="A73:A122"/>
    <mergeCell ref="C126:C127"/>
    <mergeCell ref="D126:E126"/>
    <mergeCell ref="F126:F127"/>
    <mergeCell ref="B35:B66"/>
    <mergeCell ref="F22:F23"/>
    <mergeCell ref="F33:F34"/>
    <mergeCell ref="B71:B72"/>
    <mergeCell ref="C71:C72"/>
    <mergeCell ref="D71:E71"/>
    <mergeCell ref="F71:F72"/>
    <mergeCell ref="B73:B97"/>
    <mergeCell ref="B98:B102"/>
    <mergeCell ref="B103:B107"/>
    <mergeCell ref="B109:B122"/>
    <mergeCell ref="A24:A28"/>
    <mergeCell ref="B27:B28"/>
    <mergeCell ref="D22:E22"/>
    <mergeCell ref="A33:A34"/>
    <mergeCell ref="B33:B34"/>
    <mergeCell ref="C33:C34"/>
    <mergeCell ref="D33:E33"/>
    <mergeCell ref="B13:B17"/>
    <mergeCell ref="A3:A18"/>
    <mergeCell ref="A22:A23"/>
    <mergeCell ref="B22:B23"/>
    <mergeCell ref="C22:C23"/>
    <mergeCell ref="B4:B12"/>
    <mergeCell ref="A1:A2"/>
    <mergeCell ref="B1:B2"/>
    <mergeCell ref="C1:C2"/>
    <mergeCell ref="F1:F2"/>
    <mergeCell ref="D1:E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23DB4-ED76-45D8-9AD6-765C01F134EF}">
  <dimension ref="A1:E38"/>
  <sheetViews>
    <sheetView showGridLines="0" workbookViewId="0">
      <selection sqref="A1:A2"/>
    </sheetView>
  </sheetViews>
  <sheetFormatPr defaultColWidth="9.109375" defaultRowHeight="13.8" x14ac:dyDescent="0.25"/>
  <cols>
    <col min="1" max="1" width="27.33203125" style="4" customWidth="1"/>
    <col min="2" max="2" width="24.77734375" style="4" customWidth="1"/>
    <col min="3" max="4" width="13.109375" style="4" customWidth="1"/>
    <col min="5" max="5" width="14.6640625" style="4" customWidth="1"/>
    <col min="6" max="7" width="9.109375" style="4"/>
    <col min="8" max="8" width="37.33203125" style="4" customWidth="1"/>
    <col min="9" max="9" width="9.109375" style="4"/>
    <col min="10" max="11" width="9.109375" style="4" customWidth="1"/>
    <col min="12" max="16384" width="9.109375" style="4"/>
  </cols>
  <sheetData>
    <row r="1" spans="1:5" s="211" customFormat="1" ht="15" customHeight="1" x14ac:dyDescent="0.3">
      <c r="A1" s="293" t="s">
        <v>411</v>
      </c>
      <c r="B1" s="295" t="s">
        <v>413</v>
      </c>
      <c r="C1" s="295" t="s">
        <v>414</v>
      </c>
      <c r="D1" s="295"/>
      <c r="E1" s="299" t="s">
        <v>418</v>
      </c>
    </row>
    <row r="2" spans="1:5" s="211" customFormat="1" ht="14.4" thickBot="1" x14ac:dyDescent="0.35">
      <c r="A2" s="294"/>
      <c r="B2" s="296"/>
      <c r="C2" s="228" t="s">
        <v>486</v>
      </c>
      <c r="D2" s="228" t="s">
        <v>417</v>
      </c>
      <c r="E2" s="300"/>
    </row>
    <row r="3" spans="1:5" s="211" customFormat="1" ht="21.75" customHeight="1" x14ac:dyDescent="0.3">
      <c r="A3" s="302" t="s">
        <v>412</v>
      </c>
      <c r="B3" s="203" t="s">
        <v>415</v>
      </c>
      <c r="C3" s="21">
        <f>+'Allocation report'!G3</f>
        <v>14001000</v>
      </c>
      <c r="D3" s="21">
        <f>+'Allocation report'!H3</f>
        <v>14001000</v>
      </c>
      <c r="E3" s="22">
        <f>+C3+D3</f>
        <v>28002000</v>
      </c>
    </row>
    <row r="4" spans="1:5" ht="19.5" customHeight="1" x14ac:dyDescent="0.25">
      <c r="A4" s="303"/>
      <c r="B4" s="224" t="s">
        <v>420</v>
      </c>
      <c r="C4" s="204">
        <f>+'Allocation report'!G12</f>
        <v>147262791</v>
      </c>
      <c r="D4" s="204">
        <f>+'Allocation report'!H12</f>
        <v>225687967.13</v>
      </c>
      <c r="E4" s="205">
        <f>+C4+D4</f>
        <v>372950758.13</v>
      </c>
    </row>
    <row r="5" spans="1:5" ht="20.25" customHeight="1" thickBot="1" x14ac:dyDescent="0.3">
      <c r="A5" s="303"/>
      <c r="B5" s="224" t="s">
        <v>416</v>
      </c>
      <c r="C5" s="204">
        <f>+'Allocation report'!G17</f>
        <v>1849981.83</v>
      </c>
      <c r="D5" s="204">
        <f>+'Allocation report'!H17</f>
        <v>2747045.46</v>
      </c>
      <c r="E5" s="205">
        <f t="shared" ref="E5:E6" si="0">+C5+D5</f>
        <v>4597027.29</v>
      </c>
    </row>
    <row r="6" spans="1:5" ht="28.2" customHeight="1" thickBot="1" x14ac:dyDescent="0.3">
      <c r="A6" s="304"/>
      <c r="B6" s="290" t="s">
        <v>644</v>
      </c>
      <c r="C6" s="17">
        <f>+'Allocation report'!G18</f>
        <v>64226.05</v>
      </c>
      <c r="D6" s="17">
        <f>+'Allocation report'!H18</f>
        <v>108617.75</v>
      </c>
      <c r="E6" s="208">
        <f t="shared" si="0"/>
        <v>172843.8</v>
      </c>
    </row>
    <row r="7" spans="1:5" ht="18" customHeight="1" x14ac:dyDescent="0.25">
      <c r="C7" s="210">
        <f>SUM(C3:C6)</f>
        <v>163177998.88000003</v>
      </c>
      <c r="D7" s="210">
        <f>SUM(D3:D6)</f>
        <v>242544630.34</v>
      </c>
      <c r="E7" s="210">
        <f>SUM(E3:E6)</f>
        <v>405722629.22000003</v>
      </c>
    </row>
    <row r="9" spans="1:5" ht="14.4" thickBot="1" x14ac:dyDescent="0.3"/>
    <row r="10" spans="1:5" x14ac:dyDescent="0.25">
      <c r="A10" s="305" t="s">
        <v>411</v>
      </c>
      <c r="B10" s="307" t="s">
        <v>413</v>
      </c>
      <c r="C10" s="307" t="s">
        <v>414</v>
      </c>
      <c r="D10" s="307"/>
      <c r="E10" s="318" t="s">
        <v>418</v>
      </c>
    </row>
    <row r="11" spans="1:5" ht="14.4" thickBot="1" x14ac:dyDescent="0.3">
      <c r="A11" s="306"/>
      <c r="B11" s="308"/>
      <c r="C11" s="227" t="s">
        <v>486</v>
      </c>
      <c r="D11" s="227" t="s">
        <v>417</v>
      </c>
      <c r="E11" s="320"/>
    </row>
    <row r="12" spans="1:5" ht="20.25" customHeight="1" x14ac:dyDescent="0.25">
      <c r="A12" s="311" t="s">
        <v>439</v>
      </c>
      <c r="B12" s="203" t="s">
        <v>423</v>
      </c>
      <c r="C12" s="21">
        <f>+Education!J4</f>
        <v>18828681.440000001</v>
      </c>
      <c r="D12" s="21">
        <f>+Education!K4</f>
        <v>24915767.859999999</v>
      </c>
      <c r="E12" s="22">
        <f>+C12+D12</f>
        <v>43744449.299999997</v>
      </c>
    </row>
    <row r="13" spans="1:5" ht="17.25" customHeight="1" x14ac:dyDescent="0.25">
      <c r="A13" s="312"/>
      <c r="B13" s="224" t="s">
        <v>424</v>
      </c>
      <c r="C13" s="155">
        <f>+Education!J5</f>
        <v>22043420.879999999</v>
      </c>
      <c r="D13" s="155">
        <f>+Education!K5</f>
        <v>24496372.16</v>
      </c>
      <c r="E13" s="23">
        <f t="shared" ref="E13:E15" si="1">+C13+D13</f>
        <v>46539793.039999999</v>
      </c>
    </row>
    <row r="14" spans="1:5" ht="18.75" customHeight="1" x14ac:dyDescent="0.25">
      <c r="A14" s="312"/>
      <c r="B14" s="224" t="s">
        <v>425</v>
      </c>
      <c r="C14" s="155">
        <f>+Education!J6</f>
        <v>4532848.9000000004</v>
      </c>
      <c r="D14" s="155">
        <f>+Education!K6</f>
        <v>4564222.2699999996</v>
      </c>
      <c r="E14" s="23">
        <f t="shared" si="1"/>
        <v>9097071.1699999999</v>
      </c>
    </row>
    <row r="15" spans="1:5" ht="14.4" thickBot="1" x14ac:dyDescent="0.3">
      <c r="A15" s="313"/>
      <c r="B15" s="225" t="s">
        <v>426</v>
      </c>
      <c r="C15" s="231">
        <f>+'Allocation report'!G28</f>
        <v>3416637</v>
      </c>
      <c r="D15" s="231">
        <f>+'Allocation report'!H28</f>
        <v>158721</v>
      </c>
      <c r="E15" s="24">
        <f t="shared" si="1"/>
        <v>3575358</v>
      </c>
    </row>
    <row r="16" spans="1:5" x14ac:dyDescent="0.25">
      <c r="C16" s="26">
        <f>SUM(C12:C15)</f>
        <v>48821588.219999999</v>
      </c>
      <c r="D16" s="26">
        <f>SUM(D12:D15)</f>
        <v>54135083.289999992</v>
      </c>
      <c r="E16" s="26">
        <f>SUM(E12:E15)</f>
        <v>102956671.51000001</v>
      </c>
    </row>
    <row r="18" spans="1:5" ht="14.4" thickBot="1" x14ac:dyDescent="0.3"/>
    <row r="19" spans="1:5" x14ac:dyDescent="0.25">
      <c r="A19" s="305" t="s">
        <v>411</v>
      </c>
      <c r="B19" s="307" t="s">
        <v>413</v>
      </c>
      <c r="C19" s="307" t="s">
        <v>414</v>
      </c>
      <c r="D19" s="307"/>
      <c r="E19" s="318" t="s">
        <v>418</v>
      </c>
    </row>
    <row r="20" spans="1:5" x14ac:dyDescent="0.25">
      <c r="A20" s="315"/>
      <c r="B20" s="316"/>
      <c r="C20" s="226" t="s">
        <v>486</v>
      </c>
      <c r="D20" s="226" t="s">
        <v>417</v>
      </c>
      <c r="E20" s="319"/>
    </row>
    <row r="21" spans="1:5" ht="31.5" customHeight="1" thickBot="1" x14ac:dyDescent="0.3">
      <c r="A21" s="221" t="s">
        <v>614</v>
      </c>
      <c r="B21" s="225" t="s">
        <v>428</v>
      </c>
      <c r="C21" s="156">
        <f>+'Allocation report'!D67</f>
        <v>1591257.0019999999</v>
      </c>
      <c r="D21" s="156">
        <f>+'Allocation report'!E67</f>
        <v>2033456.96</v>
      </c>
      <c r="E21" s="24">
        <f t="shared" ref="E21" si="2">+C21+D21</f>
        <v>3624713.9619999998</v>
      </c>
    </row>
    <row r="22" spans="1:5" x14ac:dyDescent="0.25">
      <c r="C22" s="26">
        <f>SUM(C21:C21)</f>
        <v>1591257.0019999999</v>
      </c>
      <c r="D22" s="26">
        <f>SUM(D21:D21)</f>
        <v>2033456.96</v>
      </c>
      <c r="E22" s="26">
        <f>SUM(E21:E21)</f>
        <v>3624713.9619999998</v>
      </c>
    </row>
    <row r="24" spans="1:5" ht="14.4" thickBot="1" x14ac:dyDescent="0.3"/>
    <row r="25" spans="1:5" x14ac:dyDescent="0.25">
      <c r="A25" s="305" t="s">
        <v>411</v>
      </c>
      <c r="B25" s="307" t="s">
        <v>413</v>
      </c>
      <c r="C25" s="307" t="s">
        <v>414</v>
      </c>
      <c r="D25" s="307"/>
      <c r="E25" s="318" t="s">
        <v>418</v>
      </c>
    </row>
    <row r="26" spans="1:5" ht="14.4" thickBot="1" x14ac:dyDescent="0.3">
      <c r="A26" s="315"/>
      <c r="B26" s="316"/>
      <c r="C26" s="226" t="s">
        <v>486</v>
      </c>
      <c r="D26" s="226" t="s">
        <v>417</v>
      </c>
      <c r="E26" s="319"/>
    </row>
    <row r="27" spans="1:5" ht="59.25" customHeight="1" x14ac:dyDescent="0.25">
      <c r="A27" s="323" t="s">
        <v>440</v>
      </c>
      <c r="B27" s="222" t="s">
        <v>431</v>
      </c>
      <c r="C27" s="21">
        <f>+'Allocation report'!G97</f>
        <v>10186531.199999999</v>
      </c>
      <c r="D27" s="21">
        <f>+'Allocation report'!H97</f>
        <v>35560994.309999995</v>
      </c>
      <c r="E27" s="22">
        <f>+C27+D27</f>
        <v>45747525.50999999</v>
      </c>
    </row>
    <row r="28" spans="1:5" ht="33" customHeight="1" x14ac:dyDescent="0.25">
      <c r="A28" s="324"/>
      <c r="B28" s="223" t="s">
        <v>432</v>
      </c>
      <c r="C28" s="155">
        <f>SUM('Allocation report'!D98:D102)</f>
        <v>9583956.3599999994</v>
      </c>
      <c r="D28" s="155">
        <f>SUM('Allocation report'!E98:E102)</f>
        <v>2549949.7800000003</v>
      </c>
      <c r="E28" s="23">
        <f t="shared" ref="E28:E31" si="3">+C28+D28</f>
        <v>12133906.140000001</v>
      </c>
    </row>
    <row r="29" spans="1:5" ht="20.25" customHeight="1" x14ac:dyDescent="0.25">
      <c r="A29" s="324"/>
      <c r="B29" s="223" t="s">
        <v>433</v>
      </c>
      <c r="C29" s="155">
        <f>+'Allocation report'!G107</f>
        <v>23521912.329999998</v>
      </c>
      <c r="D29" s="155">
        <f>+'Allocation report'!H107</f>
        <v>5092151.3</v>
      </c>
      <c r="E29" s="23">
        <f t="shared" si="3"/>
        <v>28614063.629999999</v>
      </c>
    </row>
    <row r="30" spans="1:5" ht="31.5" customHeight="1" x14ac:dyDescent="0.25">
      <c r="A30" s="324"/>
      <c r="B30" s="223" t="s">
        <v>434</v>
      </c>
      <c r="C30" s="155">
        <f>+'Allocation report'!G108</f>
        <v>80000000</v>
      </c>
      <c r="D30" s="155">
        <f>+'Allocation report'!H108</f>
        <v>87168965.019999996</v>
      </c>
      <c r="E30" s="23">
        <f t="shared" si="3"/>
        <v>167168965.01999998</v>
      </c>
    </row>
    <row r="31" spans="1:5" ht="27.6" customHeight="1" thickBot="1" x14ac:dyDescent="0.3">
      <c r="A31" s="327"/>
      <c r="B31" s="240" t="s">
        <v>622</v>
      </c>
      <c r="C31" s="156">
        <f>+'Allocation report'!G122</f>
        <v>97281005.070000008</v>
      </c>
      <c r="D31" s="156">
        <f>+'Allocation report'!H122</f>
        <v>173124408.13</v>
      </c>
      <c r="E31" s="24">
        <f t="shared" si="3"/>
        <v>270405413.19999999</v>
      </c>
    </row>
    <row r="32" spans="1:5" x14ac:dyDescent="0.25">
      <c r="C32" s="26">
        <f>SUM(C27:C31)</f>
        <v>220573404.96000001</v>
      </c>
      <c r="D32" s="26">
        <f>SUM(D27:D31)</f>
        <v>303496468.53999996</v>
      </c>
      <c r="E32" s="26">
        <f>SUM(E27:E31)</f>
        <v>524069873.49999994</v>
      </c>
    </row>
    <row r="34" spans="1:5" ht="14.4" thickBot="1" x14ac:dyDescent="0.3"/>
    <row r="35" spans="1:5" x14ac:dyDescent="0.25">
      <c r="A35" s="305" t="s">
        <v>411</v>
      </c>
      <c r="B35" s="307" t="s">
        <v>413</v>
      </c>
      <c r="C35" s="307" t="s">
        <v>414</v>
      </c>
      <c r="D35" s="307"/>
      <c r="E35" s="318" t="s">
        <v>418</v>
      </c>
    </row>
    <row r="36" spans="1:5" ht="14.4" thickBot="1" x14ac:dyDescent="0.3">
      <c r="A36" s="315"/>
      <c r="B36" s="316"/>
      <c r="C36" s="226" t="s">
        <v>486</v>
      </c>
      <c r="D36" s="226" t="s">
        <v>417</v>
      </c>
      <c r="E36" s="319"/>
    </row>
    <row r="37" spans="1:5" ht="63" customHeight="1" thickBot="1" x14ac:dyDescent="0.3">
      <c r="A37" s="235" t="s">
        <v>611</v>
      </c>
      <c r="B37" s="236" t="s">
        <v>427</v>
      </c>
      <c r="C37" s="237">
        <f>+'Allocation report'!D143</f>
        <v>6696095.3999999994</v>
      </c>
      <c r="D37" s="237">
        <f>+'Allocation report'!E143</f>
        <v>7954191.9000000004</v>
      </c>
      <c r="E37" s="238">
        <f>+C37+D37</f>
        <v>14650287.300000001</v>
      </c>
    </row>
    <row r="38" spans="1:5" x14ac:dyDescent="0.25">
      <c r="C38" s="26">
        <f>SUM(C37:C37)</f>
        <v>6696095.3999999994</v>
      </c>
      <c r="D38" s="26">
        <f>SUM(D37:D37)</f>
        <v>7954191.9000000004</v>
      </c>
      <c r="E38" s="26">
        <f>SUM(E37:E37)</f>
        <v>14650287.300000001</v>
      </c>
    </row>
  </sheetData>
  <mergeCells count="23">
    <mergeCell ref="A27:A31"/>
    <mergeCell ref="A35:A36"/>
    <mergeCell ref="B35:B36"/>
    <mergeCell ref="C35:D35"/>
    <mergeCell ref="E35:E36"/>
    <mergeCell ref="A25:A26"/>
    <mergeCell ref="B25:B26"/>
    <mergeCell ref="C25:D25"/>
    <mergeCell ref="E25:E26"/>
    <mergeCell ref="A19:A20"/>
    <mergeCell ref="B19:B20"/>
    <mergeCell ref="C19:D19"/>
    <mergeCell ref="E19:E20"/>
    <mergeCell ref="A10:A11"/>
    <mergeCell ref="B10:B11"/>
    <mergeCell ref="C10:D10"/>
    <mergeCell ref="E10:E11"/>
    <mergeCell ref="A12:A15"/>
    <mergeCell ref="A1:A2"/>
    <mergeCell ref="B1:B2"/>
    <mergeCell ref="C1:D1"/>
    <mergeCell ref="E1:E2"/>
    <mergeCell ref="A3:A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69031-C923-4121-8000-528C635977D4}">
  <dimension ref="A1:H24"/>
  <sheetViews>
    <sheetView showGridLines="0" tabSelected="1" topLeftCell="A4" workbookViewId="0">
      <selection activeCell="D2" sqref="D2"/>
    </sheetView>
  </sheetViews>
  <sheetFormatPr defaultColWidth="9.109375" defaultRowHeight="13.8" x14ac:dyDescent="0.25"/>
  <cols>
    <col min="1" max="1" width="27.33203125" style="4" customWidth="1"/>
    <col min="2" max="2" width="24.6640625" style="4" customWidth="1"/>
    <col min="3" max="3" width="21.33203125" style="4" customWidth="1"/>
    <col min="4" max="4" width="20.6640625" style="4" customWidth="1"/>
    <col min="5" max="5" width="14.6640625" style="4" customWidth="1"/>
    <col min="6" max="6" width="19" style="4" customWidth="1"/>
    <col min="7" max="7" width="21" style="4" customWidth="1"/>
    <col min="8" max="8" width="20.6640625" style="4" customWidth="1"/>
    <col min="9" max="16384" width="9.109375" style="4"/>
  </cols>
  <sheetData>
    <row r="1" spans="1:8" s="211" customFormat="1" ht="49.95" customHeight="1" x14ac:dyDescent="0.3">
      <c r="A1" s="331" t="s">
        <v>411</v>
      </c>
      <c r="B1" s="328" t="s">
        <v>639</v>
      </c>
      <c r="C1" s="328"/>
      <c r="D1" s="278" t="s">
        <v>3</v>
      </c>
      <c r="E1" s="279" t="s">
        <v>491</v>
      </c>
      <c r="F1" s="268" t="s">
        <v>489</v>
      </c>
    </row>
    <row r="2" spans="1:8" s="211" customFormat="1" ht="46.8" x14ac:dyDescent="0.3">
      <c r="A2" s="331"/>
      <c r="B2" s="280" t="s">
        <v>640</v>
      </c>
      <c r="C2" s="280" t="s">
        <v>641</v>
      </c>
      <c r="D2" s="281" t="s">
        <v>488</v>
      </c>
      <c r="E2" s="280" t="s">
        <v>602</v>
      </c>
      <c r="F2" s="269" t="s">
        <v>490</v>
      </c>
    </row>
    <row r="3" spans="1:8" s="211" customFormat="1" ht="46.2" customHeight="1" x14ac:dyDescent="0.3">
      <c r="A3" s="282" t="s">
        <v>412</v>
      </c>
      <c r="B3" s="283">
        <f>+'Low Carbon Transport'!K26</f>
        <v>20387075.359999999</v>
      </c>
      <c r="C3" s="274">
        <f>+'Low Carbon Transport'!L26</f>
        <v>471.03379999999999</v>
      </c>
      <c r="D3" s="274">
        <f>+'Low Carbon Transport'!M26</f>
        <v>16080.327383330003</v>
      </c>
      <c r="E3" s="284">
        <f>+'Low Carbon Transport'!N4</f>
        <v>23</v>
      </c>
      <c r="F3" s="270">
        <f>+'Low Carbon Transport'!N26</f>
        <v>362.1</v>
      </c>
    </row>
    <row r="6" spans="1:8" ht="64.95" customHeight="1" thickBot="1" x14ac:dyDescent="0.3">
      <c r="A6" s="266" t="s">
        <v>623</v>
      </c>
      <c r="B6" s="272" t="s">
        <v>20</v>
      </c>
      <c r="C6" s="272" t="s">
        <v>21</v>
      </c>
      <c r="D6" s="272" t="s">
        <v>22</v>
      </c>
      <c r="E6" s="272" t="s">
        <v>441</v>
      </c>
    </row>
    <row r="7" spans="1:8" ht="110.4" x14ac:dyDescent="0.25">
      <c r="A7" s="292" t="s">
        <v>439</v>
      </c>
      <c r="B7" s="263" t="s">
        <v>624</v>
      </c>
      <c r="C7" s="263" t="s">
        <v>645</v>
      </c>
      <c r="D7" s="274">
        <f>+Education!O9</f>
        <v>2</v>
      </c>
      <c r="E7" s="274">
        <f>+Education!P9</f>
        <v>13562.52</v>
      </c>
    </row>
    <row r="8" spans="1:8" ht="14.4" x14ac:dyDescent="0.3">
      <c r="C8"/>
      <c r="D8"/>
      <c r="E8"/>
    </row>
    <row r="9" spans="1:8" ht="14.4" x14ac:dyDescent="0.3">
      <c r="C9"/>
      <c r="D9"/>
    </row>
    <row r="11" spans="1:8" ht="59.4" customHeight="1" x14ac:dyDescent="0.3">
      <c r="A11" s="277" t="s">
        <v>411</v>
      </c>
      <c r="B11" s="275" t="s">
        <v>453</v>
      </c>
      <c r="C11" s="275" t="s">
        <v>454</v>
      </c>
      <c r="D11" s="275" t="s">
        <v>472</v>
      </c>
      <c r="E11"/>
    </row>
    <row r="12" spans="1:8" ht="14.4" customHeight="1" x14ac:dyDescent="0.3">
      <c r="A12" s="322" t="s">
        <v>614</v>
      </c>
      <c r="B12" s="265" t="s">
        <v>625</v>
      </c>
      <c r="C12" s="276" t="s">
        <v>630</v>
      </c>
      <c r="D12" s="276" t="s">
        <v>628</v>
      </c>
      <c r="E12"/>
    </row>
    <row r="13" spans="1:8" ht="14.4" x14ac:dyDescent="0.3">
      <c r="A13" s="322"/>
      <c r="B13" s="265" t="s">
        <v>643</v>
      </c>
      <c r="C13" s="276" t="s">
        <v>631</v>
      </c>
      <c r="D13" s="276" t="s">
        <v>629</v>
      </c>
      <c r="E13"/>
    </row>
    <row r="14" spans="1:8" ht="14.4" x14ac:dyDescent="0.3">
      <c r="C14"/>
      <c r="D14"/>
      <c r="E14"/>
    </row>
    <row r="16" spans="1:8" ht="85.95" customHeight="1" x14ac:dyDescent="0.25">
      <c r="A16" s="264" t="s">
        <v>411</v>
      </c>
      <c r="B16" s="285" t="s">
        <v>253</v>
      </c>
      <c r="C16" s="285" t="s">
        <v>254</v>
      </c>
      <c r="D16" s="285" t="s">
        <v>632</v>
      </c>
      <c r="E16" s="285" t="s">
        <v>256</v>
      </c>
      <c r="F16" s="285" t="s">
        <v>257</v>
      </c>
      <c r="G16" s="285" t="s">
        <v>638</v>
      </c>
      <c r="H16" s="285" t="s">
        <v>258</v>
      </c>
    </row>
    <row r="17" spans="1:8" ht="43.95" customHeight="1" x14ac:dyDescent="0.25">
      <c r="A17" s="291" t="s">
        <v>440</v>
      </c>
      <c r="B17" s="286">
        <f>+Healthcare!M54</f>
        <v>40</v>
      </c>
      <c r="C17" s="286">
        <f>+Healthcare!N54</f>
        <v>39</v>
      </c>
      <c r="D17" s="286">
        <f>+Healthcare!O54</f>
        <v>18</v>
      </c>
      <c r="E17" s="286">
        <f>+Healthcare!P54</f>
        <v>3037505</v>
      </c>
      <c r="F17" s="286">
        <f>+Healthcare!Q54</f>
        <v>6059</v>
      </c>
      <c r="G17" s="286">
        <f>+Healthcare!R54</f>
        <v>511823</v>
      </c>
      <c r="H17" s="286">
        <f>+Healthcare!S54</f>
        <v>10189657</v>
      </c>
    </row>
    <row r="18" spans="1:8" ht="33" customHeight="1" x14ac:dyDescent="0.3">
      <c r="A18"/>
      <c r="B18"/>
      <c r="C18"/>
      <c r="D18"/>
      <c r="E18"/>
    </row>
    <row r="21" spans="1:8" ht="31.2" x14ac:dyDescent="0.3">
      <c r="A21" s="277" t="s">
        <v>411</v>
      </c>
      <c r="B21" s="271" t="s">
        <v>453</v>
      </c>
      <c r="C21" s="271" t="s">
        <v>454</v>
      </c>
      <c r="D21" s="271" t="s">
        <v>472</v>
      </c>
      <c r="E21"/>
    </row>
    <row r="22" spans="1:8" ht="40.950000000000003" customHeight="1" x14ac:dyDescent="0.3">
      <c r="A22" s="329" t="s">
        <v>19</v>
      </c>
      <c r="B22" s="263" t="s">
        <v>634</v>
      </c>
      <c r="C22" s="263" t="s">
        <v>637</v>
      </c>
      <c r="D22" s="263" t="s">
        <v>630</v>
      </c>
      <c r="E22"/>
    </row>
    <row r="23" spans="1:8" ht="42.6" customHeight="1" x14ac:dyDescent="0.3">
      <c r="A23" s="330"/>
      <c r="B23" s="263" t="s">
        <v>635</v>
      </c>
      <c r="C23" s="263" t="s">
        <v>636</v>
      </c>
      <c r="D23" s="263" t="s">
        <v>631</v>
      </c>
      <c r="E23"/>
    </row>
    <row r="24" spans="1:8" ht="14.4" x14ac:dyDescent="0.3">
      <c r="B24"/>
      <c r="C24"/>
      <c r="D24"/>
    </row>
  </sheetData>
  <mergeCells count="4">
    <mergeCell ref="B1:C1"/>
    <mergeCell ref="A12:A13"/>
    <mergeCell ref="A22:A23"/>
    <mergeCell ref="A1:A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DCCED-09C5-40A8-B68E-6FC666EEA7E0}">
  <sheetPr>
    <tabColor theme="5" tint="0.59999389629810485"/>
  </sheetPr>
  <dimension ref="B1:Q9"/>
  <sheetViews>
    <sheetView showGridLines="0" zoomScale="85" zoomScaleNormal="85" workbookViewId="0">
      <selection activeCell="J2" sqref="J2:K2"/>
    </sheetView>
  </sheetViews>
  <sheetFormatPr defaultRowHeight="14.4" x14ac:dyDescent="0.3"/>
  <cols>
    <col min="1" max="1" width="3.109375" customWidth="1"/>
    <col min="2" max="2" width="12.109375" customWidth="1"/>
    <col min="3" max="3" width="30.6640625" customWidth="1"/>
    <col min="4" max="4" width="17.33203125" customWidth="1"/>
    <col min="5" max="5" width="20.109375" customWidth="1"/>
    <col min="6" max="6" width="14" customWidth="1"/>
    <col min="7" max="7" width="13.33203125" customWidth="1"/>
    <col min="8" max="8" width="13.33203125" style="10" customWidth="1"/>
    <col min="9" max="9" width="15.6640625" customWidth="1"/>
    <col min="10" max="10" width="14.6640625" customWidth="1"/>
    <col min="11" max="11" width="14" customWidth="1"/>
    <col min="12" max="12" width="13.109375" customWidth="1"/>
    <col min="13" max="13" width="22.44140625" customWidth="1"/>
    <col min="14" max="14" width="19.44140625" customWidth="1"/>
    <col min="15" max="15" width="20.33203125" customWidth="1"/>
    <col min="16" max="16" width="22.109375" customWidth="1"/>
    <col min="17" max="17" width="65.44140625" customWidth="1"/>
  </cols>
  <sheetData>
    <row r="1" spans="2:17" ht="10.5" customHeight="1" thickBot="1" x14ac:dyDescent="0.35"/>
    <row r="2" spans="2:17" ht="94.5" customHeight="1" x14ac:dyDescent="0.3">
      <c r="B2" s="332" t="s">
        <v>12</v>
      </c>
      <c r="C2" s="333"/>
      <c r="D2" s="188" t="s">
        <v>13</v>
      </c>
      <c r="E2" s="188" t="s">
        <v>14</v>
      </c>
      <c r="F2" s="188" t="s">
        <v>405</v>
      </c>
      <c r="G2" s="188" t="s">
        <v>406</v>
      </c>
      <c r="H2" s="188" t="s">
        <v>407</v>
      </c>
      <c r="I2" s="188" t="s">
        <v>408</v>
      </c>
      <c r="J2" s="336" t="s">
        <v>409</v>
      </c>
      <c r="K2" s="338"/>
      <c r="L2" s="188" t="s">
        <v>16</v>
      </c>
      <c r="M2" s="336" t="s">
        <v>442</v>
      </c>
      <c r="N2" s="337"/>
      <c r="O2" s="337"/>
      <c r="P2" s="338"/>
      <c r="Q2" s="334" t="s">
        <v>487</v>
      </c>
    </row>
    <row r="3" spans="2:17" s="2" customFormat="1" ht="63" thickBot="1" x14ac:dyDescent="0.35">
      <c r="B3" s="14" t="s">
        <v>11</v>
      </c>
      <c r="C3" s="15" t="s">
        <v>4</v>
      </c>
      <c r="D3" s="15" t="s">
        <v>15</v>
      </c>
      <c r="E3" s="15" t="s">
        <v>18</v>
      </c>
      <c r="F3" s="15" t="s">
        <v>5</v>
      </c>
      <c r="G3" s="15" t="s">
        <v>6</v>
      </c>
      <c r="H3" s="15" t="s">
        <v>5</v>
      </c>
      <c r="I3" s="15" t="s">
        <v>5</v>
      </c>
      <c r="J3" s="15" t="s">
        <v>9</v>
      </c>
      <c r="K3" s="15" t="s">
        <v>10</v>
      </c>
      <c r="L3" s="15" t="s">
        <v>7</v>
      </c>
      <c r="M3" s="15" t="s">
        <v>20</v>
      </c>
      <c r="N3" s="15" t="s">
        <v>21</v>
      </c>
      <c r="O3" s="15" t="s">
        <v>22</v>
      </c>
      <c r="P3" s="16" t="s">
        <v>441</v>
      </c>
      <c r="Q3" s="335"/>
    </row>
    <row r="4" spans="2:17" ht="220.8" x14ac:dyDescent="0.3">
      <c r="B4" s="146" t="s">
        <v>23</v>
      </c>
      <c r="C4" s="152" t="s">
        <v>24</v>
      </c>
      <c r="D4" s="147" t="s">
        <v>25</v>
      </c>
      <c r="E4" s="147" t="s">
        <v>26</v>
      </c>
      <c r="F4" s="148">
        <v>285024263</v>
      </c>
      <c r="G4" s="149">
        <v>100</v>
      </c>
      <c r="H4" s="149">
        <v>285024263</v>
      </c>
      <c r="I4" s="149">
        <v>285024263</v>
      </c>
      <c r="J4" s="150">
        <v>18828681.440000001</v>
      </c>
      <c r="K4" s="150">
        <v>24915767.859999999</v>
      </c>
      <c r="L4" s="151">
        <v>4</v>
      </c>
      <c r="M4" s="147"/>
      <c r="N4" s="152" t="s">
        <v>27</v>
      </c>
      <c r="O4" s="147"/>
      <c r="P4" s="153"/>
      <c r="Q4" s="169" t="s">
        <v>605</v>
      </c>
    </row>
    <row r="5" spans="2:17" ht="171" customHeight="1" x14ac:dyDescent="0.3">
      <c r="B5" s="143" t="s">
        <v>28</v>
      </c>
      <c r="C5" s="138" t="s">
        <v>606</v>
      </c>
      <c r="D5" s="140" t="s">
        <v>30</v>
      </c>
      <c r="E5" s="140" t="s">
        <v>31</v>
      </c>
      <c r="F5" s="139">
        <v>339424694</v>
      </c>
      <c r="G5" s="144">
        <v>100</v>
      </c>
      <c r="H5" s="144">
        <v>339424694</v>
      </c>
      <c r="I5" s="144">
        <v>339424694</v>
      </c>
      <c r="J5" s="139">
        <v>22043420.879999999</v>
      </c>
      <c r="K5" s="139">
        <v>24496372.16</v>
      </c>
      <c r="L5" s="142">
        <v>4</v>
      </c>
      <c r="M5" s="138" t="s">
        <v>32</v>
      </c>
      <c r="N5" s="140"/>
      <c r="O5" s="140"/>
      <c r="P5" s="145"/>
      <c r="Q5" s="127" t="s">
        <v>590</v>
      </c>
    </row>
    <row r="6" spans="2:17" ht="96.6" x14ac:dyDescent="0.3">
      <c r="B6" s="143" t="s">
        <v>33</v>
      </c>
      <c r="C6" s="138" t="s">
        <v>607</v>
      </c>
      <c r="D6" s="140" t="s">
        <v>30</v>
      </c>
      <c r="E6" s="140" t="s">
        <v>31</v>
      </c>
      <c r="F6" s="139">
        <v>147301591</v>
      </c>
      <c r="G6" s="144">
        <v>100</v>
      </c>
      <c r="H6" s="144">
        <v>147301591</v>
      </c>
      <c r="I6" s="144">
        <v>147301591</v>
      </c>
      <c r="J6" s="139">
        <v>4532848.9000000004</v>
      </c>
      <c r="K6" s="139">
        <v>4564222.2699999996</v>
      </c>
      <c r="L6" s="142">
        <v>4</v>
      </c>
      <c r="M6" s="138" t="s">
        <v>35</v>
      </c>
      <c r="N6" s="140"/>
      <c r="O6" s="140"/>
      <c r="P6" s="145"/>
      <c r="Q6" s="127" t="s">
        <v>592</v>
      </c>
    </row>
    <row r="7" spans="2:17" ht="53.25" customHeight="1" x14ac:dyDescent="0.3">
      <c r="B7" s="136" t="s">
        <v>36</v>
      </c>
      <c r="C7" s="138" t="s">
        <v>37</v>
      </c>
      <c r="D7" s="140" t="s">
        <v>25</v>
      </c>
      <c r="E7" s="140" t="s">
        <v>26</v>
      </c>
      <c r="F7" s="139">
        <v>31185278</v>
      </c>
      <c r="G7" s="139">
        <v>40</v>
      </c>
      <c r="H7" s="139">
        <v>12418103</v>
      </c>
      <c r="I7" s="139">
        <v>12418103</v>
      </c>
      <c r="J7" s="139">
        <v>2895637</v>
      </c>
      <c r="K7" s="139">
        <v>158721</v>
      </c>
      <c r="L7" s="141">
        <v>4</v>
      </c>
      <c r="M7" s="140"/>
      <c r="N7" s="140"/>
      <c r="O7" s="140">
        <v>1</v>
      </c>
      <c r="P7" s="135">
        <v>13000</v>
      </c>
      <c r="Q7" s="127" t="s">
        <v>394</v>
      </c>
    </row>
    <row r="8" spans="2:17" ht="55.8" thickBot="1" x14ac:dyDescent="0.35">
      <c r="B8" s="166" t="s">
        <v>144</v>
      </c>
      <c r="C8" s="132" t="s">
        <v>145</v>
      </c>
      <c r="D8" s="154" t="s">
        <v>25</v>
      </c>
      <c r="E8" s="154" t="s">
        <v>26</v>
      </c>
      <c r="F8" s="167">
        <v>1564614</v>
      </c>
      <c r="G8" s="167">
        <v>58.101934406824945</v>
      </c>
      <c r="H8" s="167">
        <v>909071</v>
      </c>
      <c r="I8" s="167">
        <v>909071</v>
      </c>
      <c r="J8" s="167">
        <v>521000</v>
      </c>
      <c r="K8" s="167">
        <v>0</v>
      </c>
      <c r="L8" s="157">
        <v>2</v>
      </c>
      <c r="M8" s="154"/>
      <c r="N8" s="154"/>
      <c r="O8" s="154">
        <v>1</v>
      </c>
      <c r="P8" s="168">
        <v>562.52</v>
      </c>
      <c r="Q8" s="128" t="s">
        <v>591</v>
      </c>
    </row>
    <row r="9" spans="2:17" x14ac:dyDescent="0.3">
      <c r="J9" s="84">
        <f>SUM(J4:J8)</f>
        <v>48821588.219999999</v>
      </c>
      <c r="K9" s="84">
        <f>SUM(K4:K8)</f>
        <v>54135083.289999992</v>
      </c>
      <c r="O9" s="273">
        <f>SUM(O4:O8)</f>
        <v>2</v>
      </c>
      <c r="P9" s="84">
        <f>SUM(P4:P8)</f>
        <v>13562.52</v>
      </c>
    </row>
  </sheetData>
  <mergeCells count="4">
    <mergeCell ref="B2:C2"/>
    <mergeCell ref="Q2:Q3"/>
    <mergeCell ref="M2:P2"/>
    <mergeCell ref="J2:K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71352-C1DF-48C8-8B09-64533362EDE8}">
  <sheetPr>
    <tabColor theme="5" tint="0.39997558519241921"/>
  </sheetPr>
  <dimension ref="B1:P27"/>
  <sheetViews>
    <sheetView showGridLines="0" zoomScaleNormal="100" workbookViewId="0">
      <pane ySplit="3" topLeftCell="A4" activePane="bottomLeft" state="frozen"/>
      <selection pane="bottomLeft" activeCell="B2" sqref="B2:C2"/>
    </sheetView>
  </sheetViews>
  <sheetFormatPr defaultColWidth="9.109375" defaultRowHeight="13.8" x14ac:dyDescent="0.25"/>
  <cols>
    <col min="1" max="1" width="3.109375" style="4" customWidth="1"/>
    <col min="2" max="2" width="13.44140625" style="4" customWidth="1"/>
    <col min="3" max="3" width="30.6640625" style="4" customWidth="1"/>
    <col min="4" max="4" width="17.33203125" style="4" customWidth="1"/>
    <col min="5" max="5" width="20.109375" style="4" customWidth="1"/>
    <col min="6" max="6" width="14" style="4" customWidth="1"/>
    <col min="7" max="7" width="13.33203125" style="4" customWidth="1"/>
    <col min="8" max="9" width="15.6640625" style="4" customWidth="1"/>
    <col min="10" max="10" width="14.6640625" style="4" customWidth="1"/>
    <col min="11" max="11" width="14" style="4" customWidth="1"/>
    <col min="12" max="12" width="13.109375" style="4" customWidth="1"/>
    <col min="13" max="13" width="24.33203125" style="4" customWidth="1"/>
    <col min="14" max="14" width="19.44140625" style="4" customWidth="1"/>
    <col min="15" max="15" width="20.33203125" style="4" customWidth="1"/>
    <col min="16" max="16" width="68.33203125" style="4" customWidth="1"/>
    <col min="17" max="17" width="23.5546875" style="4" customWidth="1"/>
    <col min="18" max="16384" width="9.109375" style="4"/>
  </cols>
  <sheetData>
    <row r="1" spans="2:16" ht="10.5" customHeight="1" thickBot="1" x14ac:dyDescent="0.3"/>
    <row r="2" spans="2:16" ht="94.5" customHeight="1" x14ac:dyDescent="0.25">
      <c r="B2" s="332" t="s">
        <v>19</v>
      </c>
      <c r="C2" s="333"/>
      <c r="D2" s="188" t="s">
        <v>13</v>
      </c>
      <c r="E2" s="188" t="s">
        <v>14</v>
      </c>
      <c r="F2" s="188" t="s">
        <v>405</v>
      </c>
      <c r="G2" s="188" t="s">
        <v>406</v>
      </c>
      <c r="H2" s="188" t="s">
        <v>407</v>
      </c>
      <c r="I2" s="188" t="s">
        <v>408</v>
      </c>
      <c r="J2" s="336" t="s">
        <v>409</v>
      </c>
      <c r="K2" s="338"/>
      <c r="L2" s="188" t="s">
        <v>16</v>
      </c>
      <c r="M2" s="336" t="s">
        <v>442</v>
      </c>
      <c r="N2" s="337"/>
      <c r="O2" s="338"/>
      <c r="P2" s="339" t="s">
        <v>487</v>
      </c>
    </row>
    <row r="3" spans="2:16" s="18" customFormat="1" ht="63" thickBot="1" x14ac:dyDescent="0.35">
      <c r="B3" s="14" t="s">
        <v>11</v>
      </c>
      <c r="C3" s="15" t="s">
        <v>4</v>
      </c>
      <c r="D3" s="15" t="s">
        <v>15</v>
      </c>
      <c r="E3" s="15" t="s">
        <v>18</v>
      </c>
      <c r="F3" s="15" t="s">
        <v>5</v>
      </c>
      <c r="G3" s="15" t="s">
        <v>6</v>
      </c>
      <c r="H3" s="15" t="s">
        <v>5</v>
      </c>
      <c r="I3" s="15" t="s">
        <v>5</v>
      </c>
      <c r="J3" s="15" t="s">
        <v>9</v>
      </c>
      <c r="K3" s="15" t="s">
        <v>10</v>
      </c>
      <c r="L3" s="15" t="s">
        <v>7</v>
      </c>
      <c r="M3" s="15" t="s">
        <v>453</v>
      </c>
      <c r="N3" s="15" t="s">
        <v>454</v>
      </c>
      <c r="O3" s="15" t="s">
        <v>472</v>
      </c>
      <c r="P3" s="340"/>
    </row>
    <row r="4" spans="2:16" ht="55.2" x14ac:dyDescent="0.25">
      <c r="B4" s="216" t="s">
        <v>38</v>
      </c>
      <c r="C4" s="152" t="s">
        <v>39</v>
      </c>
      <c r="D4" s="195" t="s">
        <v>40</v>
      </c>
      <c r="E4" s="152" t="s">
        <v>41</v>
      </c>
      <c r="F4" s="150">
        <v>111806080</v>
      </c>
      <c r="G4" s="151">
        <f t="shared" ref="G4:G7" si="0">H4*100/F4</f>
        <v>20</v>
      </c>
      <c r="H4" s="46">
        <v>22361216</v>
      </c>
      <c r="I4" s="46">
        <f>+H4</f>
        <v>22361216</v>
      </c>
      <c r="J4" s="150">
        <v>2644319</v>
      </c>
      <c r="K4" s="150">
        <v>4198993</v>
      </c>
      <c r="L4" s="151">
        <v>8</v>
      </c>
      <c r="M4" s="196" t="s">
        <v>443</v>
      </c>
      <c r="N4" s="47"/>
      <c r="O4" s="47"/>
      <c r="P4" s="126" t="s">
        <v>567</v>
      </c>
    </row>
    <row r="5" spans="2:16" ht="27.6" x14ac:dyDescent="0.25">
      <c r="B5" s="215" t="s">
        <v>42</v>
      </c>
      <c r="C5" s="138" t="s">
        <v>43</v>
      </c>
      <c r="D5" s="197" t="s">
        <v>40</v>
      </c>
      <c r="E5" s="138" t="s">
        <v>41</v>
      </c>
      <c r="F5" s="139">
        <v>10810532</v>
      </c>
      <c r="G5" s="141">
        <v>19.999996299904574</v>
      </c>
      <c r="H5" s="141">
        <v>2162106</v>
      </c>
      <c r="I5" s="141">
        <v>2162106</v>
      </c>
      <c r="J5" s="139">
        <v>279827</v>
      </c>
      <c r="K5" s="139">
        <v>233864</v>
      </c>
      <c r="L5" s="142">
        <v>7</v>
      </c>
      <c r="M5" s="198" t="s">
        <v>444</v>
      </c>
      <c r="N5" s="48"/>
      <c r="O5" s="48"/>
      <c r="P5" s="127" t="s">
        <v>568</v>
      </c>
    </row>
    <row r="6" spans="2:16" ht="41.4" x14ac:dyDescent="0.25">
      <c r="B6" s="215" t="s">
        <v>44</v>
      </c>
      <c r="C6" s="138" t="s">
        <v>45</v>
      </c>
      <c r="D6" s="197" t="s">
        <v>40</v>
      </c>
      <c r="E6" s="138" t="s">
        <v>41</v>
      </c>
      <c r="F6" s="139">
        <v>3200373</v>
      </c>
      <c r="G6" s="141">
        <v>37.484536958660755</v>
      </c>
      <c r="H6" s="141">
        <v>1199645</v>
      </c>
      <c r="I6" s="141">
        <v>1199645</v>
      </c>
      <c r="J6" s="139">
        <v>150553</v>
      </c>
      <c r="K6" s="139">
        <v>186287</v>
      </c>
      <c r="L6" s="142">
        <v>7</v>
      </c>
      <c r="M6" s="198" t="s">
        <v>445</v>
      </c>
      <c r="N6" s="48"/>
      <c r="O6" s="48"/>
      <c r="P6" s="127" t="s">
        <v>569</v>
      </c>
    </row>
    <row r="7" spans="2:16" ht="69" x14ac:dyDescent="0.25">
      <c r="B7" s="215" t="s">
        <v>46</v>
      </c>
      <c r="C7" s="138" t="s">
        <v>47</v>
      </c>
      <c r="D7" s="197" t="s">
        <v>40</v>
      </c>
      <c r="E7" s="138" t="s">
        <v>41</v>
      </c>
      <c r="F7" s="139">
        <v>715415</v>
      </c>
      <c r="G7" s="141">
        <f t="shared" si="0"/>
        <v>20</v>
      </c>
      <c r="H7" s="141">
        <v>143083</v>
      </c>
      <c r="I7" s="141">
        <f t="shared" ref="I7" si="1">+H7</f>
        <v>143083</v>
      </c>
      <c r="J7" s="139">
        <v>37978</v>
      </c>
      <c r="K7" s="139">
        <v>17218</v>
      </c>
      <c r="L7" s="142">
        <v>5</v>
      </c>
      <c r="M7" s="198" t="s">
        <v>446</v>
      </c>
      <c r="N7" s="48"/>
      <c r="O7" s="48"/>
      <c r="P7" s="127" t="s">
        <v>570</v>
      </c>
    </row>
    <row r="8" spans="2:16" ht="69" x14ac:dyDescent="0.25">
      <c r="B8" s="215" t="s">
        <v>48</v>
      </c>
      <c r="C8" s="138" t="s">
        <v>49</v>
      </c>
      <c r="D8" s="197" t="s">
        <v>40</v>
      </c>
      <c r="E8" s="138" t="s">
        <v>50</v>
      </c>
      <c r="F8" s="139">
        <v>959700</v>
      </c>
      <c r="G8" s="141">
        <v>20</v>
      </c>
      <c r="H8" s="141">
        <v>191940</v>
      </c>
      <c r="I8" s="141">
        <v>191940</v>
      </c>
      <c r="J8" s="139">
        <v>31000</v>
      </c>
      <c r="K8" s="139">
        <v>27583</v>
      </c>
      <c r="L8" s="142">
        <v>6</v>
      </c>
      <c r="M8" s="198" t="s">
        <v>447</v>
      </c>
      <c r="N8" s="48"/>
      <c r="O8" s="48"/>
      <c r="P8" s="127" t="s">
        <v>571</v>
      </c>
    </row>
    <row r="9" spans="2:16" ht="69" x14ac:dyDescent="0.25">
      <c r="B9" s="215" t="s">
        <v>51</v>
      </c>
      <c r="C9" s="138" t="s">
        <v>52</v>
      </c>
      <c r="D9" s="197" t="s">
        <v>40</v>
      </c>
      <c r="E9" s="138" t="s">
        <v>50</v>
      </c>
      <c r="F9" s="139">
        <v>3105281</v>
      </c>
      <c r="G9" s="141">
        <v>17.545111054361907</v>
      </c>
      <c r="H9" s="141">
        <v>544825</v>
      </c>
      <c r="I9" s="141">
        <v>544825</v>
      </c>
      <c r="J9" s="139">
        <v>166812</v>
      </c>
      <c r="K9" s="139">
        <v>205506</v>
      </c>
      <c r="L9" s="142">
        <v>5</v>
      </c>
      <c r="M9" s="198" t="s">
        <v>448</v>
      </c>
      <c r="N9" s="48"/>
      <c r="O9" s="48"/>
      <c r="P9" s="127" t="s">
        <v>572</v>
      </c>
    </row>
    <row r="10" spans="2:16" ht="55.2" x14ac:dyDescent="0.25">
      <c r="B10" s="215" t="s">
        <v>53</v>
      </c>
      <c r="C10" s="138" t="s">
        <v>54</v>
      </c>
      <c r="D10" s="197" t="s">
        <v>40</v>
      </c>
      <c r="E10" s="138" t="s">
        <v>41</v>
      </c>
      <c r="F10" s="139">
        <v>8308519</v>
      </c>
      <c r="G10" s="141">
        <v>20.000002407167873</v>
      </c>
      <c r="H10" s="141">
        <v>1661704</v>
      </c>
      <c r="I10" s="141">
        <v>1661704</v>
      </c>
      <c r="J10" s="139">
        <v>669341</v>
      </c>
      <c r="K10" s="139">
        <v>291704</v>
      </c>
      <c r="L10" s="142">
        <v>5</v>
      </c>
      <c r="M10" s="198" t="s">
        <v>449</v>
      </c>
      <c r="N10" s="48"/>
      <c r="O10" s="48"/>
      <c r="P10" s="127" t="s">
        <v>573</v>
      </c>
    </row>
    <row r="11" spans="2:16" ht="41.4" x14ac:dyDescent="0.25">
      <c r="B11" s="215" t="s">
        <v>55</v>
      </c>
      <c r="C11" s="138" t="s">
        <v>56</v>
      </c>
      <c r="D11" s="197" t="s">
        <v>40</v>
      </c>
      <c r="E11" s="138" t="s">
        <v>57</v>
      </c>
      <c r="F11" s="139">
        <v>15576416</v>
      </c>
      <c r="G11" s="141">
        <v>19.700160807210079</v>
      </c>
      <c r="H11" s="141">
        <v>3068579</v>
      </c>
      <c r="I11" s="141">
        <v>3068579</v>
      </c>
      <c r="J11" s="139">
        <v>482797</v>
      </c>
      <c r="K11" s="139">
        <v>444490</v>
      </c>
      <c r="L11" s="142">
        <v>7</v>
      </c>
      <c r="M11" s="198" t="s">
        <v>450</v>
      </c>
      <c r="N11" s="48"/>
      <c r="O11" s="48"/>
      <c r="P11" s="127" t="s">
        <v>574</v>
      </c>
    </row>
    <row r="12" spans="2:16" ht="69" x14ac:dyDescent="0.25">
      <c r="B12" s="215" t="s">
        <v>58</v>
      </c>
      <c r="C12" s="138" t="s">
        <v>59</v>
      </c>
      <c r="D12" s="197" t="s">
        <v>40</v>
      </c>
      <c r="E12" s="138" t="s">
        <v>57</v>
      </c>
      <c r="F12" s="139">
        <v>4196476</v>
      </c>
      <c r="G12" s="141">
        <v>19.999995234096417</v>
      </c>
      <c r="H12" s="141">
        <v>839295</v>
      </c>
      <c r="I12" s="141">
        <v>839295</v>
      </c>
      <c r="J12" s="139">
        <v>128116</v>
      </c>
      <c r="K12" s="139">
        <v>121206</v>
      </c>
      <c r="L12" s="142">
        <v>7</v>
      </c>
      <c r="M12" s="198"/>
      <c r="N12" s="49" t="s">
        <v>451</v>
      </c>
      <c r="O12" s="48"/>
      <c r="P12" s="127" t="s">
        <v>575</v>
      </c>
    </row>
    <row r="13" spans="2:16" ht="41.4" x14ac:dyDescent="0.25">
      <c r="B13" s="215" t="s">
        <v>60</v>
      </c>
      <c r="C13" s="138" t="s">
        <v>61</v>
      </c>
      <c r="D13" s="197" t="s">
        <v>40</v>
      </c>
      <c r="E13" s="138" t="s">
        <v>41</v>
      </c>
      <c r="F13" s="139">
        <v>4058954</v>
      </c>
      <c r="G13" s="141">
        <v>18.942195452325894</v>
      </c>
      <c r="H13" s="141">
        <v>768855</v>
      </c>
      <c r="I13" s="141">
        <v>768855</v>
      </c>
      <c r="J13" s="139">
        <v>133043</v>
      </c>
      <c r="K13" s="139">
        <v>119064</v>
      </c>
      <c r="L13" s="142">
        <v>7</v>
      </c>
      <c r="M13" s="198" t="s">
        <v>452</v>
      </c>
      <c r="N13" s="48"/>
      <c r="O13" s="48"/>
      <c r="P13" s="127" t="s">
        <v>576</v>
      </c>
    </row>
    <row r="14" spans="2:16" ht="41.4" x14ac:dyDescent="0.25">
      <c r="B14" s="215" t="s">
        <v>62</v>
      </c>
      <c r="C14" s="138" t="s">
        <v>63</v>
      </c>
      <c r="D14" s="197" t="s">
        <v>40</v>
      </c>
      <c r="E14" s="138" t="s">
        <v>41</v>
      </c>
      <c r="F14" s="139">
        <v>12940335</v>
      </c>
      <c r="G14" s="141">
        <v>20</v>
      </c>
      <c r="H14" s="141">
        <v>2588067</v>
      </c>
      <c r="I14" s="141">
        <v>2588067</v>
      </c>
      <c r="J14" s="139">
        <v>475203</v>
      </c>
      <c r="K14" s="139">
        <v>569554</v>
      </c>
      <c r="L14" s="142">
        <v>7</v>
      </c>
      <c r="M14" s="198" t="s">
        <v>455</v>
      </c>
      <c r="N14" s="48"/>
      <c r="O14" s="48"/>
      <c r="P14" s="127" t="s">
        <v>577</v>
      </c>
    </row>
    <row r="15" spans="2:16" ht="55.2" x14ac:dyDescent="0.25">
      <c r="B15" s="215" t="s">
        <v>64</v>
      </c>
      <c r="C15" s="138" t="s">
        <v>65</v>
      </c>
      <c r="D15" s="197" t="s">
        <v>40</v>
      </c>
      <c r="E15" s="138" t="s">
        <v>41</v>
      </c>
      <c r="F15" s="139">
        <v>26796485</v>
      </c>
      <c r="G15" s="141">
        <v>20</v>
      </c>
      <c r="H15" s="141">
        <v>5359297</v>
      </c>
      <c r="I15" s="141">
        <v>5359297</v>
      </c>
      <c r="J15" s="139">
        <v>998317</v>
      </c>
      <c r="K15" s="139">
        <v>1035088</v>
      </c>
      <c r="L15" s="142">
        <v>6</v>
      </c>
      <c r="M15" s="198" t="s">
        <v>456</v>
      </c>
      <c r="N15" s="48"/>
      <c r="O15" s="48"/>
      <c r="P15" s="127" t="s">
        <v>578</v>
      </c>
    </row>
    <row r="16" spans="2:16" ht="55.2" x14ac:dyDescent="0.25">
      <c r="B16" s="215" t="s">
        <v>66</v>
      </c>
      <c r="C16" s="138" t="s">
        <v>67</v>
      </c>
      <c r="D16" s="197" t="s">
        <v>40</v>
      </c>
      <c r="E16" s="138" t="s">
        <v>41</v>
      </c>
      <c r="F16" s="139">
        <v>11665442</v>
      </c>
      <c r="G16" s="141">
        <v>19.4565023768495</v>
      </c>
      <c r="H16" s="141">
        <v>2269687</v>
      </c>
      <c r="I16" s="141">
        <v>2269687</v>
      </c>
      <c r="J16" s="139">
        <v>363519</v>
      </c>
      <c r="K16" s="139">
        <v>367023</v>
      </c>
      <c r="L16" s="142">
        <v>7</v>
      </c>
      <c r="M16" s="198" t="s">
        <v>457</v>
      </c>
      <c r="N16" s="48"/>
      <c r="O16" s="48"/>
      <c r="P16" s="127" t="s">
        <v>579</v>
      </c>
    </row>
    <row r="17" spans="2:16" ht="69" x14ac:dyDescent="0.25">
      <c r="B17" s="215" t="s">
        <v>101</v>
      </c>
      <c r="C17" s="138" t="s">
        <v>102</v>
      </c>
      <c r="D17" s="197" t="s">
        <v>40</v>
      </c>
      <c r="E17" s="138" t="s">
        <v>70</v>
      </c>
      <c r="F17" s="139">
        <v>1030617.04</v>
      </c>
      <c r="G17" s="141">
        <v>19.395662233568348</v>
      </c>
      <c r="H17" s="141">
        <v>199895</v>
      </c>
      <c r="I17" s="141">
        <v>199895</v>
      </c>
      <c r="J17" s="139">
        <v>70204.63</v>
      </c>
      <c r="K17" s="139">
        <v>67976</v>
      </c>
      <c r="L17" s="142">
        <v>4</v>
      </c>
      <c r="M17" s="198" t="s">
        <v>468</v>
      </c>
      <c r="N17" s="48"/>
      <c r="O17" s="48"/>
      <c r="P17" s="127" t="s">
        <v>581</v>
      </c>
    </row>
    <row r="18" spans="2:16" ht="69" x14ac:dyDescent="0.25">
      <c r="B18" s="215" t="s">
        <v>109</v>
      </c>
      <c r="C18" s="138" t="s">
        <v>110</v>
      </c>
      <c r="D18" s="197" t="s">
        <v>40</v>
      </c>
      <c r="E18" s="138" t="s">
        <v>81</v>
      </c>
      <c r="F18" s="139">
        <v>1030617.0000000001</v>
      </c>
      <c r="G18" s="141">
        <v>19.999961188297881</v>
      </c>
      <c r="H18" s="141">
        <v>206123</v>
      </c>
      <c r="I18" s="141">
        <v>206123</v>
      </c>
      <c r="J18" s="139">
        <v>65065.77</v>
      </c>
      <c r="K18" s="139">
        <v>68635.899999999994</v>
      </c>
      <c r="L18" s="142">
        <v>4</v>
      </c>
      <c r="M18" s="198" t="s">
        <v>470</v>
      </c>
      <c r="N18" s="48"/>
      <c r="O18" s="48"/>
      <c r="P18" s="127" t="s">
        <v>581</v>
      </c>
    </row>
    <row r="19" spans="2:16" x14ac:dyDescent="0.25">
      <c r="J19" s="19">
        <f>SUM(J4:J18)</f>
        <v>6696095.3999999994</v>
      </c>
      <c r="K19" s="19">
        <f>SUM(K4:K18)</f>
        <v>7954191.9000000004</v>
      </c>
      <c r="L19" s="19">
        <f>SUM(J19:K19)</f>
        <v>14650287.300000001</v>
      </c>
    </row>
    <row r="21" spans="2:16" x14ac:dyDescent="0.25">
      <c r="B21" s="4" t="s">
        <v>414</v>
      </c>
      <c r="C21" s="4" t="s">
        <v>626</v>
      </c>
    </row>
    <row r="22" spans="2:16" x14ac:dyDescent="0.25">
      <c r="B22" s="20">
        <v>2020</v>
      </c>
      <c r="C22" s="4">
        <f>3292+522+1097+52+9+762+211+65+899+976+1279+373+45+42</f>
        <v>9624</v>
      </c>
    </row>
    <row r="23" spans="2:16" x14ac:dyDescent="0.25">
      <c r="B23" s="4">
        <v>2021</v>
      </c>
      <c r="C23" s="4">
        <f>3778+921+1932+2+35+1042+18487+65+1206+1515+455+308+90+84</f>
        <v>29920</v>
      </c>
    </row>
    <row r="25" spans="2:16" x14ac:dyDescent="0.25">
      <c r="B25" s="4" t="s">
        <v>414</v>
      </c>
      <c r="C25" s="4" t="s">
        <v>633</v>
      </c>
    </row>
    <row r="26" spans="2:16" x14ac:dyDescent="0.25">
      <c r="B26" s="4">
        <v>2020</v>
      </c>
      <c r="C26" s="4">
        <v>20</v>
      </c>
    </row>
    <row r="27" spans="2:16" x14ac:dyDescent="0.25">
      <c r="B27" s="4">
        <v>2021</v>
      </c>
      <c r="C27" s="4">
        <v>20</v>
      </c>
    </row>
  </sheetData>
  <mergeCells count="4">
    <mergeCell ref="B2:C2"/>
    <mergeCell ref="P2:P3"/>
    <mergeCell ref="M2:O2"/>
    <mergeCell ref="J2:K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AEF2E-08EA-4E24-8326-498120E52CEE}">
  <sheetPr>
    <tabColor theme="5" tint="0.39997558519241921"/>
  </sheetPr>
  <dimension ref="B1:P43"/>
  <sheetViews>
    <sheetView showGridLines="0" zoomScale="85" zoomScaleNormal="85" workbookViewId="0">
      <pane ySplit="3" topLeftCell="A4" activePane="bottomLeft" state="frozen"/>
      <selection pane="bottomLeft" activeCell="M2" sqref="M2:O2"/>
    </sheetView>
  </sheetViews>
  <sheetFormatPr defaultColWidth="9.109375" defaultRowHeight="13.8" x14ac:dyDescent="0.25"/>
  <cols>
    <col min="1" max="1" width="3.109375" style="4" customWidth="1"/>
    <col min="2" max="2" width="13.44140625" style="4" customWidth="1"/>
    <col min="3" max="3" width="30.6640625" style="4" customWidth="1"/>
    <col min="4" max="4" width="17.33203125" style="4" customWidth="1"/>
    <col min="5" max="5" width="20.109375" style="4" customWidth="1"/>
    <col min="6" max="6" width="14" style="4" customWidth="1"/>
    <col min="7" max="7" width="13.33203125" style="4" customWidth="1"/>
    <col min="8" max="9" width="15.6640625" style="4" customWidth="1"/>
    <col min="10" max="10" width="14.6640625" style="4" customWidth="1"/>
    <col min="11" max="11" width="14" style="4" customWidth="1"/>
    <col min="12" max="12" width="13.109375" style="4" customWidth="1"/>
    <col min="13" max="13" width="24.33203125" style="4" customWidth="1"/>
    <col min="14" max="14" width="19.44140625" style="4" customWidth="1"/>
    <col min="15" max="15" width="20.33203125" style="4" customWidth="1"/>
    <col min="16" max="16" width="68.33203125" style="4" customWidth="1"/>
    <col min="17" max="16384" width="9.109375" style="4"/>
  </cols>
  <sheetData>
    <row r="1" spans="2:16" ht="10.5" customHeight="1" thickBot="1" x14ac:dyDescent="0.3"/>
    <row r="2" spans="2:16" ht="94.5" customHeight="1" x14ac:dyDescent="0.25">
      <c r="B2" s="332" t="s">
        <v>610</v>
      </c>
      <c r="C2" s="333"/>
      <c r="D2" s="188" t="s">
        <v>13</v>
      </c>
      <c r="E2" s="188" t="s">
        <v>14</v>
      </c>
      <c r="F2" s="188" t="s">
        <v>405</v>
      </c>
      <c r="G2" s="188" t="s">
        <v>406</v>
      </c>
      <c r="H2" s="188" t="s">
        <v>407</v>
      </c>
      <c r="I2" s="188" t="s">
        <v>408</v>
      </c>
      <c r="J2" s="336" t="s">
        <v>409</v>
      </c>
      <c r="K2" s="338"/>
      <c r="L2" s="188" t="s">
        <v>16</v>
      </c>
      <c r="M2" s="336" t="s">
        <v>442</v>
      </c>
      <c r="N2" s="337"/>
      <c r="O2" s="338"/>
      <c r="P2" s="339" t="s">
        <v>487</v>
      </c>
    </row>
    <row r="3" spans="2:16" s="18" customFormat="1" ht="63" thickBot="1" x14ac:dyDescent="0.35">
      <c r="B3" s="14" t="s">
        <v>11</v>
      </c>
      <c r="C3" s="15" t="s">
        <v>4</v>
      </c>
      <c r="D3" s="15" t="s">
        <v>15</v>
      </c>
      <c r="E3" s="15" t="s">
        <v>18</v>
      </c>
      <c r="F3" s="15" t="s">
        <v>5</v>
      </c>
      <c r="G3" s="15" t="s">
        <v>6</v>
      </c>
      <c r="H3" s="15" t="s">
        <v>5</v>
      </c>
      <c r="I3" s="15" t="s">
        <v>5</v>
      </c>
      <c r="J3" s="15" t="s">
        <v>9</v>
      </c>
      <c r="K3" s="15" t="s">
        <v>10</v>
      </c>
      <c r="L3" s="15" t="s">
        <v>7</v>
      </c>
      <c r="M3" s="15" t="s">
        <v>453</v>
      </c>
      <c r="N3" s="15" t="s">
        <v>454</v>
      </c>
      <c r="O3" s="15" t="s">
        <v>472</v>
      </c>
      <c r="P3" s="340"/>
    </row>
    <row r="4" spans="2:16" ht="69" x14ac:dyDescent="0.25">
      <c r="B4" s="215" t="s">
        <v>68</v>
      </c>
      <c r="C4" s="138" t="s">
        <v>69</v>
      </c>
      <c r="D4" s="197" t="s">
        <v>40</v>
      </c>
      <c r="E4" s="138" t="s">
        <v>70</v>
      </c>
      <c r="F4" s="139">
        <v>687078</v>
      </c>
      <c r="G4" s="141">
        <v>20.000058217553175</v>
      </c>
      <c r="H4" s="141">
        <v>137416</v>
      </c>
      <c r="I4" s="141">
        <v>137416</v>
      </c>
      <c r="J4" s="139">
        <v>44660</v>
      </c>
      <c r="K4" s="139">
        <v>48060</v>
      </c>
      <c r="L4" s="142">
        <v>4</v>
      </c>
      <c r="M4" s="198" t="s">
        <v>458</v>
      </c>
      <c r="N4" s="48"/>
      <c r="O4" s="48"/>
      <c r="P4" s="127" t="s">
        <v>581</v>
      </c>
    </row>
    <row r="5" spans="2:16" ht="69" x14ac:dyDescent="0.25">
      <c r="B5" s="215" t="s">
        <v>71</v>
      </c>
      <c r="C5" s="138" t="s">
        <v>72</v>
      </c>
      <c r="D5" s="197" t="s">
        <v>40</v>
      </c>
      <c r="E5" s="138" t="s">
        <v>70</v>
      </c>
      <c r="F5" s="139">
        <v>687078</v>
      </c>
      <c r="G5" s="141">
        <v>20.000058217553175</v>
      </c>
      <c r="H5" s="141">
        <v>137416</v>
      </c>
      <c r="I5" s="141">
        <v>137416</v>
      </c>
      <c r="J5" s="139">
        <v>45805</v>
      </c>
      <c r="K5" s="139">
        <v>45805</v>
      </c>
      <c r="L5" s="142">
        <v>4</v>
      </c>
      <c r="M5" s="198" t="s">
        <v>459</v>
      </c>
      <c r="N5" s="48"/>
      <c r="O5" s="48"/>
      <c r="P5" s="127" t="s">
        <v>581</v>
      </c>
    </row>
    <row r="6" spans="2:16" ht="69" x14ac:dyDescent="0.25">
      <c r="B6" s="215" t="s">
        <v>73</v>
      </c>
      <c r="C6" s="138" t="s">
        <v>74</v>
      </c>
      <c r="D6" s="197" t="s">
        <v>40</v>
      </c>
      <c r="E6" s="138" t="s">
        <v>70</v>
      </c>
      <c r="F6" s="139">
        <v>687078</v>
      </c>
      <c r="G6" s="141">
        <v>20.000058217553175</v>
      </c>
      <c r="H6" s="141">
        <v>137416</v>
      </c>
      <c r="I6" s="141">
        <v>137416</v>
      </c>
      <c r="J6" s="139">
        <v>48328</v>
      </c>
      <c r="K6" s="139">
        <v>47487</v>
      </c>
      <c r="L6" s="142">
        <v>4</v>
      </c>
      <c r="M6" s="198" t="s">
        <v>458</v>
      </c>
      <c r="N6" s="48"/>
      <c r="O6" s="48"/>
      <c r="P6" s="127" t="s">
        <v>580</v>
      </c>
    </row>
    <row r="7" spans="2:16" ht="69" x14ac:dyDescent="0.25">
      <c r="B7" s="215" t="s">
        <v>75</v>
      </c>
      <c r="C7" s="138" t="s">
        <v>76</v>
      </c>
      <c r="D7" s="197" t="s">
        <v>40</v>
      </c>
      <c r="E7" s="138" t="s">
        <v>70</v>
      </c>
      <c r="F7" s="139">
        <v>687077.72</v>
      </c>
      <c r="G7" s="141">
        <v>20.000066368037665</v>
      </c>
      <c r="H7" s="141">
        <v>137416</v>
      </c>
      <c r="I7" s="141">
        <v>137416</v>
      </c>
      <c r="J7" s="139">
        <v>45805</v>
      </c>
      <c r="K7" s="139">
        <v>45805</v>
      </c>
      <c r="L7" s="142">
        <v>4</v>
      </c>
      <c r="M7" s="198" t="s">
        <v>458</v>
      </c>
      <c r="N7" s="48"/>
      <c r="O7" s="48"/>
      <c r="P7" s="127" t="s">
        <v>581</v>
      </c>
    </row>
    <row r="8" spans="2:16" ht="69" x14ac:dyDescent="0.25">
      <c r="B8" s="215" t="s">
        <v>77</v>
      </c>
      <c r="C8" s="138" t="s">
        <v>78</v>
      </c>
      <c r="D8" s="197" t="s">
        <v>40</v>
      </c>
      <c r="E8" s="138" t="s">
        <v>70</v>
      </c>
      <c r="F8" s="139">
        <v>687077.99999999988</v>
      </c>
      <c r="G8" s="141">
        <v>20.000058217553178</v>
      </c>
      <c r="H8" s="141">
        <v>137416</v>
      </c>
      <c r="I8" s="141">
        <v>137416</v>
      </c>
      <c r="J8" s="139">
        <v>48525</v>
      </c>
      <c r="K8" s="139">
        <v>45188</v>
      </c>
      <c r="L8" s="142">
        <v>4</v>
      </c>
      <c r="M8" s="198" t="s">
        <v>458</v>
      </c>
      <c r="N8" s="48"/>
      <c r="O8" s="48"/>
      <c r="P8" s="127" t="s">
        <v>581</v>
      </c>
    </row>
    <row r="9" spans="2:16" ht="69" x14ac:dyDescent="0.25">
      <c r="B9" s="215" t="s">
        <v>79</v>
      </c>
      <c r="C9" s="138" t="s">
        <v>80</v>
      </c>
      <c r="D9" s="197" t="s">
        <v>40</v>
      </c>
      <c r="E9" s="138" t="s">
        <v>81</v>
      </c>
      <c r="F9" s="139">
        <v>330262</v>
      </c>
      <c r="G9" s="141">
        <v>19.248354336859826</v>
      </c>
      <c r="H9" s="141">
        <v>63570</v>
      </c>
      <c r="I9" s="141">
        <v>63570</v>
      </c>
      <c r="J9" s="139">
        <v>19468</v>
      </c>
      <c r="K9" s="139">
        <v>19518</v>
      </c>
      <c r="L9" s="142">
        <v>4</v>
      </c>
      <c r="M9" s="198" t="s">
        <v>460</v>
      </c>
      <c r="N9" s="48"/>
      <c r="O9" s="48"/>
      <c r="P9" s="127" t="s">
        <v>581</v>
      </c>
    </row>
    <row r="10" spans="2:16" ht="69" x14ac:dyDescent="0.25">
      <c r="B10" s="215" t="s">
        <v>82</v>
      </c>
      <c r="C10" s="138" t="s">
        <v>83</v>
      </c>
      <c r="D10" s="197" t="s">
        <v>40</v>
      </c>
      <c r="E10" s="138" t="s">
        <v>70</v>
      </c>
      <c r="F10" s="139">
        <v>1030617.0000000001</v>
      </c>
      <c r="G10" s="141">
        <v>19.999961188297881</v>
      </c>
      <c r="H10" s="141">
        <v>206123</v>
      </c>
      <c r="I10" s="141">
        <v>206123</v>
      </c>
      <c r="J10" s="139">
        <v>69421</v>
      </c>
      <c r="K10" s="139">
        <v>67398</v>
      </c>
      <c r="L10" s="142">
        <v>4</v>
      </c>
      <c r="M10" s="198" t="s">
        <v>461</v>
      </c>
      <c r="N10" s="48"/>
      <c r="O10" s="48"/>
      <c r="P10" s="127" t="s">
        <v>581</v>
      </c>
    </row>
    <row r="11" spans="2:16" ht="69" x14ac:dyDescent="0.25">
      <c r="B11" s="215" t="s">
        <v>84</v>
      </c>
      <c r="C11" s="138" t="s">
        <v>85</v>
      </c>
      <c r="D11" s="197" t="s">
        <v>40</v>
      </c>
      <c r="E11" s="138" t="s">
        <v>81</v>
      </c>
      <c r="F11" s="139">
        <v>1030617.0000000001</v>
      </c>
      <c r="G11" s="141">
        <v>19.999961188297881</v>
      </c>
      <c r="H11" s="141">
        <v>206123</v>
      </c>
      <c r="I11" s="141">
        <v>206123</v>
      </c>
      <c r="J11" s="139">
        <v>68490</v>
      </c>
      <c r="K11" s="139">
        <v>69237</v>
      </c>
      <c r="L11" s="142">
        <v>4</v>
      </c>
      <c r="M11" s="198" t="s">
        <v>462</v>
      </c>
      <c r="N11" s="48"/>
      <c r="O11" s="48"/>
      <c r="P11" s="127" t="s">
        <v>581</v>
      </c>
    </row>
    <row r="12" spans="2:16" ht="69" x14ac:dyDescent="0.25">
      <c r="B12" s="215" t="s">
        <v>86</v>
      </c>
      <c r="C12" s="138" t="s">
        <v>87</v>
      </c>
      <c r="D12" s="197" t="s">
        <v>40</v>
      </c>
      <c r="E12" s="138" t="s">
        <v>70</v>
      </c>
      <c r="F12" s="139">
        <v>687078</v>
      </c>
      <c r="G12" s="141">
        <v>18.037398956159272</v>
      </c>
      <c r="H12" s="141">
        <v>123931</v>
      </c>
      <c r="I12" s="141">
        <v>123931</v>
      </c>
      <c r="J12" s="139">
        <v>42295.789999999994</v>
      </c>
      <c r="K12" s="139">
        <v>40329.740000000005</v>
      </c>
      <c r="L12" s="142">
        <v>4</v>
      </c>
      <c r="M12" s="198" t="s">
        <v>458</v>
      </c>
      <c r="N12" s="48"/>
      <c r="O12" s="48"/>
      <c r="P12" s="127" t="s">
        <v>581</v>
      </c>
    </row>
    <row r="13" spans="2:16" ht="69" x14ac:dyDescent="0.25">
      <c r="B13" s="215" t="s">
        <v>88</v>
      </c>
      <c r="C13" s="138" t="s">
        <v>89</v>
      </c>
      <c r="D13" s="197" t="s">
        <v>40</v>
      </c>
      <c r="E13" s="138" t="s">
        <v>90</v>
      </c>
      <c r="F13" s="139">
        <v>343364</v>
      </c>
      <c r="G13" s="141">
        <v>19.992194871914354</v>
      </c>
      <c r="H13" s="141">
        <v>68646</v>
      </c>
      <c r="I13" s="141">
        <v>68646</v>
      </c>
      <c r="J13" s="139">
        <v>22248.54</v>
      </c>
      <c r="K13" s="139">
        <v>22257</v>
      </c>
      <c r="L13" s="142">
        <v>4</v>
      </c>
      <c r="M13" s="198" t="s">
        <v>463</v>
      </c>
      <c r="N13" s="48"/>
      <c r="O13" s="48"/>
      <c r="P13" s="127" t="s">
        <v>581</v>
      </c>
    </row>
    <row r="14" spans="2:16" ht="69" x14ac:dyDescent="0.25">
      <c r="B14" s="215" t="s">
        <v>91</v>
      </c>
      <c r="C14" s="138" t="s">
        <v>92</v>
      </c>
      <c r="D14" s="197" t="s">
        <v>40</v>
      </c>
      <c r="E14" s="138" t="s">
        <v>70</v>
      </c>
      <c r="F14" s="139">
        <v>687078</v>
      </c>
      <c r="G14" s="141">
        <v>20.000058217553175</v>
      </c>
      <c r="H14" s="141">
        <v>137416</v>
      </c>
      <c r="I14" s="141">
        <v>137416</v>
      </c>
      <c r="J14" s="139">
        <v>48346.789999999994</v>
      </c>
      <c r="K14" s="139">
        <v>44587.19</v>
      </c>
      <c r="L14" s="142">
        <v>4</v>
      </c>
      <c r="M14" s="198" t="s">
        <v>464</v>
      </c>
      <c r="N14" s="48"/>
      <c r="O14" s="48"/>
      <c r="P14" s="127" t="s">
        <v>581</v>
      </c>
    </row>
    <row r="15" spans="2:16" ht="69" x14ac:dyDescent="0.25">
      <c r="B15" s="215" t="s">
        <v>93</v>
      </c>
      <c r="C15" s="138" t="s">
        <v>94</v>
      </c>
      <c r="D15" s="197" t="s">
        <v>40</v>
      </c>
      <c r="E15" s="138" t="s">
        <v>70</v>
      </c>
      <c r="F15" s="139">
        <v>687077.99999999988</v>
      </c>
      <c r="G15" s="141">
        <v>20.000058217553178</v>
      </c>
      <c r="H15" s="141">
        <v>137416</v>
      </c>
      <c r="I15" s="141">
        <v>137416</v>
      </c>
      <c r="J15" s="139">
        <v>46546</v>
      </c>
      <c r="K15" s="139">
        <v>44828.39</v>
      </c>
      <c r="L15" s="142">
        <v>4</v>
      </c>
      <c r="M15" s="198" t="s">
        <v>465</v>
      </c>
      <c r="N15" s="48"/>
      <c r="O15" s="48"/>
      <c r="P15" s="127" t="s">
        <v>581</v>
      </c>
    </row>
    <row r="16" spans="2:16" ht="69" x14ac:dyDescent="0.25">
      <c r="B16" s="215" t="s">
        <v>95</v>
      </c>
      <c r="C16" s="138" t="s">
        <v>96</v>
      </c>
      <c r="D16" s="197" t="s">
        <v>40</v>
      </c>
      <c r="E16" s="138" t="s">
        <v>70</v>
      </c>
      <c r="F16" s="139">
        <v>343497</v>
      </c>
      <c r="G16" s="141">
        <v>19.999883550656921</v>
      </c>
      <c r="H16" s="141">
        <v>68699</v>
      </c>
      <c r="I16" s="141">
        <v>68699</v>
      </c>
      <c r="J16" s="139">
        <v>24565.19</v>
      </c>
      <c r="K16" s="139">
        <v>22283.59</v>
      </c>
      <c r="L16" s="142">
        <v>4</v>
      </c>
      <c r="M16" s="198" t="s">
        <v>466</v>
      </c>
      <c r="N16" s="48"/>
      <c r="O16" s="48"/>
      <c r="P16" s="127" t="s">
        <v>581</v>
      </c>
    </row>
    <row r="17" spans="2:16" ht="69" x14ac:dyDescent="0.25">
      <c r="B17" s="215" t="s">
        <v>97</v>
      </c>
      <c r="C17" s="138" t="s">
        <v>98</v>
      </c>
      <c r="D17" s="197" t="s">
        <v>40</v>
      </c>
      <c r="E17" s="138" t="s">
        <v>90</v>
      </c>
      <c r="F17" s="139">
        <v>687078</v>
      </c>
      <c r="G17" s="141">
        <v>20.000058217553175</v>
      </c>
      <c r="H17" s="141">
        <v>137416</v>
      </c>
      <c r="I17" s="141">
        <v>137416</v>
      </c>
      <c r="J17" s="139">
        <v>37887.289999999994</v>
      </c>
      <c r="K17" s="139">
        <v>54868.229999999996</v>
      </c>
      <c r="L17" s="142">
        <v>4</v>
      </c>
      <c r="M17" s="198" t="s">
        <v>467</v>
      </c>
      <c r="N17" s="48"/>
      <c r="O17" s="48"/>
      <c r="P17" s="127" t="s">
        <v>581</v>
      </c>
    </row>
    <row r="18" spans="2:16" ht="69" x14ac:dyDescent="0.25">
      <c r="B18" s="215" t="s">
        <v>99</v>
      </c>
      <c r="C18" s="138" t="s">
        <v>100</v>
      </c>
      <c r="D18" s="197" t="s">
        <v>40</v>
      </c>
      <c r="E18" s="138" t="s">
        <v>70</v>
      </c>
      <c r="F18" s="139">
        <v>343539</v>
      </c>
      <c r="G18" s="141">
        <v>20.000058217553175</v>
      </c>
      <c r="H18" s="141">
        <v>68708</v>
      </c>
      <c r="I18" s="141">
        <v>68708</v>
      </c>
      <c r="J18" s="139">
        <v>20612.349999999999</v>
      </c>
      <c r="K18" s="139">
        <v>20612</v>
      </c>
      <c r="L18" s="142">
        <v>4</v>
      </c>
      <c r="M18" s="198" t="s">
        <v>466</v>
      </c>
      <c r="N18" s="48"/>
      <c r="O18" s="48"/>
      <c r="P18" s="127" t="s">
        <v>581</v>
      </c>
    </row>
    <row r="19" spans="2:16" ht="69" x14ac:dyDescent="0.25">
      <c r="B19" s="215" t="s">
        <v>103</v>
      </c>
      <c r="C19" s="138" t="s">
        <v>104</v>
      </c>
      <c r="D19" s="197" t="s">
        <v>40</v>
      </c>
      <c r="E19" s="138" t="s">
        <v>81</v>
      </c>
      <c r="F19" s="139">
        <v>257623</v>
      </c>
      <c r="G19" s="141">
        <v>20.000155265640103</v>
      </c>
      <c r="H19" s="141">
        <v>51525</v>
      </c>
      <c r="I19" s="141">
        <v>51525</v>
      </c>
      <c r="J19" s="139">
        <v>8960.8700000000008</v>
      </c>
      <c r="K19" s="139">
        <v>15674.79</v>
      </c>
      <c r="L19" s="142">
        <v>4</v>
      </c>
      <c r="M19" s="198" t="s">
        <v>469</v>
      </c>
      <c r="N19" s="48"/>
      <c r="O19" s="48"/>
      <c r="P19" s="127" t="s">
        <v>581</v>
      </c>
    </row>
    <row r="20" spans="2:16" ht="69" x14ac:dyDescent="0.25">
      <c r="B20" s="215" t="s">
        <v>105</v>
      </c>
      <c r="C20" s="138" t="s">
        <v>106</v>
      </c>
      <c r="D20" s="197" t="s">
        <v>40</v>
      </c>
      <c r="E20" s="138" t="s">
        <v>81</v>
      </c>
      <c r="F20" s="139">
        <v>687078.00000000023</v>
      </c>
      <c r="G20" s="141">
        <v>20.000058217553168</v>
      </c>
      <c r="H20" s="141">
        <v>137416</v>
      </c>
      <c r="I20" s="141">
        <v>137416</v>
      </c>
      <c r="J20" s="139">
        <v>44660.07</v>
      </c>
      <c r="K20" s="139">
        <v>48095</v>
      </c>
      <c r="L20" s="142">
        <v>4</v>
      </c>
      <c r="M20" s="198" t="s">
        <v>458</v>
      </c>
      <c r="N20" s="48"/>
      <c r="O20" s="48"/>
      <c r="P20" s="127" t="s">
        <v>581</v>
      </c>
    </row>
    <row r="21" spans="2:16" ht="69" x14ac:dyDescent="0.25">
      <c r="B21" s="215" t="s">
        <v>107</v>
      </c>
      <c r="C21" s="138" t="s">
        <v>108</v>
      </c>
      <c r="D21" s="197" t="s">
        <v>40</v>
      </c>
      <c r="E21" s="138" t="s">
        <v>70</v>
      </c>
      <c r="F21" s="139">
        <v>687078</v>
      </c>
      <c r="G21" s="141">
        <v>20.000058217553175</v>
      </c>
      <c r="H21" s="141">
        <v>137416</v>
      </c>
      <c r="I21" s="141">
        <v>137416</v>
      </c>
      <c r="J21" s="139">
        <v>49490.53</v>
      </c>
      <c r="K21" s="139">
        <v>52130.13</v>
      </c>
      <c r="L21" s="142">
        <v>4</v>
      </c>
      <c r="M21" s="198" t="s">
        <v>458</v>
      </c>
      <c r="N21" s="48"/>
      <c r="O21" s="48"/>
      <c r="P21" s="127" t="s">
        <v>581</v>
      </c>
    </row>
    <row r="22" spans="2:16" ht="55.2" x14ac:dyDescent="0.25">
      <c r="B22" s="215" t="s">
        <v>111</v>
      </c>
      <c r="C22" s="138" t="s">
        <v>112</v>
      </c>
      <c r="D22" s="197" t="s">
        <v>40</v>
      </c>
      <c r="E22" s="138" t="s">
        <v>113</v>
      </c>
      <c r="F22" s="139">
        <v>4181049</v>
      </c>
      <c r="G22" s="141">
        <v>19.519551193970699</v>
      </c>
      <c r="H22" s="141">
        <v>816122</v>
      </c>
      <c r="I22" s="141">
        <v>816122</v>
      </c>
      <c r="J22" s="139">
        <v>192798.96000000002</v>
      </c>
      <c r="K22" s="139">
        <v>159823.98000000001</v>
      </c>
      <c r="L22" s="142">
        <v>5</v>
      </c>
      <c r="M22" s="198" t="s">
        <v>471</v>
      </c>
      <c r="N22" s="48"/>
      <c r="O22" s="48"/>
      <c r="P22" s="127" t="s">
        <v>582</v>
      </c>
    </row>
    <row r="23" spans="2:16" ht="82.8" x14ac:dyDescent="0.25">
      <c r="B23" s="215" t="s">
        <v>114</v>
      </c>
      <c r="C23" s="138" t="s">
        <v>115</v>
      </c>
      <c r="D23" s="197" t="s">
        <v>40</v>
      </c>
      <c r="E23" s="138" t="s">
        <v>116</v>
      </c>
      <c r="F23" s="139">
        <v>130707.99</v>
      </c>
      <c r="G23" s="141">
        <v>19.970470053131411</v>
      </c>
      <c r="H23" s="141">
        <v>26103</v>
      </c>
      <c r="I23" s="141">
        <v>26103</v>
      </c>
      <c r="J23" s="139">
        <v>8622.380000000001</v>
      </c>
      <c r="K23" s="139">
        <v>6121</v>
      </c>
      <c r="L23" s="142">
        <v>4</v>
      </c>
      <c r="M23" s="198"/>
      <c r="N23" s="48"/>
      <c r="O23" s="49" t="s">
        <v>473</v>
      </c>
      <c r="P23" s="127" t="s">
        <v>583</v>
      </c>
    </row>
    <row r="24" spans="2:16" ht="82.8" x14ac:dyDescent="0.25">
      <c r="B24" s="215" t="s">
        <v>117</v>
      </c>
      <c r="C24" s="138" t="s">
        <v>118</v>
      </c>
      <c r="D24" s="197" t="s">
        <v>40</v>
      </c>
      <c r="E24" s="138" t="s">
        <v>116</v>
      </c>
      <c r="F24" s="139">
        <v>158720</v>
      </c>
      <c r="G24" s="141">
        <v>19.243951612903224</v>
      </c>
      <c r="H24" s="141">
        <v>30544</v>
      </c>
      <c r="I24" s="141">
        <v>30544</v>
      </c>
      <c r="J24" s="139">
        <v>9236.34</v>
      </c>
      <c r="K24" s="139">
        <v>7380</v>
      </c>
      <c r="L24" s="142">
        <v>4</v>
      </c>
      <c r="M24" s="198"/>
      <c r="N24" s="48"/>
      <c r="O24" s="49" t="s">
        <v>474</v>
      </c>
      <c r="P24" s="127" t="s">
        <v>583</v>
      </c>
    </row>
    <row r="25" spans="2:16" ht="82.8" x14ac:dyDescent="0.25">
      <c r="B25" s="215" t="s">
        <v>119</v>
      </c>
      <c r="C25" s="138" t="s">
        <v>120</v>
      </c>
      <c r="D25" s="197" t="s">
        <v>40</v>
      </c>
      <c r="E25" s="138" t="s">
        <v>116</v>
      </c>
      <c r="F25" s="139">
        <v>152688</v>
      </c>
      <c r="G25" s="141">
        <v>20.000261972126165</v>
      </c>
      <c r="H25" s="141">
        <v>30538</v>
      </c>
      <c r="I25" s="141">
        <v>30538</v>
      </c>
      <c r="J25" s="139">
        <v>8522.74</v>
      </c>
      <c r="K25" s="139">
        <v>6931.53</v>
      </c>
      <c r="L25" s="142">
        <v>4</v>
      </c>
      <c r="M25" s="198"/>
      <c r="N25" s="48"/>
      <c r="O25" s="49" t="s">
        <v>475</v>
      </c>
      <c r="P25" s="127" t="s">
        <v>583</v>
      </c>
    </row>
    <row r="26" spans="2:16" ht="99" customHeight="1" x14ac:dyDescent="0.25">
      <c r="B26" s="215" t="s">
        <v>121</v>
      </c>
      <c r="C26" s="138" t="s">
        <v>122</v>
      </c>
      <c r="D26" s="197" t="s">
        <v>40</v>
      </c>
      <c r="E26" s="138" t="s">
        <v>116</v>
      </c>
      <c r="F26" s="139">
        <v>140777</v>
      </c>
      <c r="G26" s="141">
        <v>19.670116567336994</v>
      </c>
      <c r="H26" s="141">
        <v>27691</v>
      </c>
      <c r="I26" s="141">
        <v>27691</v>
      </c>
      <c r="J26" s="139">
        <v>6536.98</v>
      </c>
      <c r="K26" s="139">
        <v>8019</v>
      </c>
      <c r="L26" s="142">
        <v>4</v>
      </c>
      <c r="M26" s="198"/>
      <c r="N26" s="48"/>
      <c r="O26" s="49" t="s">
        <v>476</v>
      </c>
      <c r="P26" s="127" t="s">
        <v>583</v>
      </c>
    </row>
    <row r="27" spans="2:16" ht="82.8" x14ac:dyDescent="0.25">
      <c r="B27" s="215" t="s">
        <v>123</v>
      </c>
      <c r="C27" s="138" t="s">
        <v>124</v>
      </c>
      <c r="D27" s="197" t="s">
        <v>40</v>
      </c>
      <c r="E27" s="138" t="s">
        <v>116</v>
      </c>
      <c r="F27" s="139">
        <v>152726.26999999999</v>
      </c>
      <c r="G27" s="141">
        <f>H27*100/F27</f>
        <v>19.999833689384282</v>
      </c>
      <c r="H27" s="141">
        <v>30545</v>
      </c>
      <c r="I27" s="141">
        <f t="shared" ref="I27" si="0">+H27</f>
        <v>30545</v>
      </c>
      <c r="J27" s="139">
        <v>9497.8200000000015</v>
      </c>
      <c r="K27" s="139">
        <v>7095.31</v>
      </c>
      <c r="L27" s="142">
        <v>4</v>
      </c>
      <c r="M27" s="198"/>
      <c r="N27" s="48"/>
      <c r="O27" s="49" t="s">
        <v>477</v>
      </c>
      <c r="P27" s="127" t="s">
        <v>583</v>
      </c>
    </row>
    <row r="28" spans="2:16" ht="82.8" x14ac:dyDescent="0.25">
      <c r="B28" s="215" t="s">
        <v>125</v>
      </c>
      <c r="C28" s="138" t="s">
        <v>126</v>
      </c>
      <c r="D28" s="197" t="s">
        <v>40</v>
      </c>
      <c r="E28" s="138" t="s">
        <v>116</v>
      </c>
      <c r="F28" s="139">
        <v>152676</v>
      </c>
      <c r="G28" s="141">
        <v>19.998559040058687</v>
      </c>
      <c r="H28" s="141">
        <v>30533</v>
      </c>
      <c r="I28" s="141">
        <v>30533</v>
      </c>
      <c r="J28" s="139">
        <v>8725.7800000000007</v>
      </c>
      <c r="K28" s="139">
        <v>6543</v>
      </c>
      <c r="L28" s="142">
        <v>4</v>
      </c>
      <c r="M28" s="198"/>
      <c r="N28" s="48"/>
      <c r="O28" s="49" t="s">
        <v>478</v>
      </c>
      <c r="P28" s="127" t="s">
        <v>583</v>
      </c>
    </row>
    <row r="29" spans="2:16" ht="82.8" x14ac:dyDescent="0.25">
      <c r="B29" s="215" t="s">
        <v>127</v>
      </c>
      <c r="C29" s="138" t="s">
        <v>128</v>
      </c>
      <c r="D29" s="197" t="s">
        <v>40</v>
      </c>
      <c r="E29" s="138" t="s">
        <v>116</v>
      </c>
      <c r="F29" s="139">
        <v>142410</v>
      </c>
      <c r="G29" s="141">
        <v>19.639070290007723</v>
      </c>
      <c r="H29" s="141">
        <v>27968</v>
      </c>
      <c r="I29" s="141">
        <v>27968</v>
      </c>
      <c r="J29" s="139">
        <v>7357.6900000000005</v>
      </c>
      <c r="K29" s="139">
        <v>6929</v>
      </c>
      <c r="L29" s="142">
        <v>4</v>
      </c>
      <c r="M29" s="198"/>
      <c r="N29" s="48"/>
      <c r="O29" s="49" t="s">
        <v>479</v>
      </c>
      <c r="P29" s="127" t="s">
        <v>583</v>
      </c>
    </row>
    <row r="30" spans="2:16" ht="55.2" x14ac:dyDescent="0.25">
      <c r="B30" s="215" t="s">
        <v>129</v>
      </c>
      <c r="C30" s="138" t="s">
        <v>130</v>
      </c>
      <c r="D30" s="197" t="s">
        <v>40</v>
      </c>
      <c r="E30" s="138" t="s">
        <v>131</v>
      </c>
      <c r="F30" s="139">
        <v>634350</v>
      </c>
      <c r="G30" s="141">
        <v>20</v>
      </c>
      <c r="H30" s="141">
        <v>126870</v>
      </c>
      <c r="I30" s="141">
        <v>126870</v>
      </c>
      <c r="J30" s="139">
        <v>5652</v>
      </c>
      <c r="K30" s="139">
        <v>63816</v>
      </c>
      <c r="L30" s="142">
        <v>3</v>
      </c>
      <c r="M30" s="198" t="s">
        <v>480</v>
      </c>
      <c r="N30" s="48"/>
      <c r="O30" s="48"/>
      <c r="P30" s="127" t="s">
        <v>584</v>
      </c>
    </row>
    <row r="31" spans="2:16" ht="55.2" x14ac:dyDescent="0.25">
      <c r="B31" s="215" t="s">
        <v>132</v>
      </c>
      <c r="C31" s="138" t="s">
        <v>133</v>
      </c>
      <c r="D31" s="197" t="s">
        <v>40</v>
      </c>
      <c r="E31" s="138" t="s">
        <v>131</v>
      </c>
      <c r="F31" s="139">
        <v>1060823</v>
      </c>
      <c r="G31" s="141">
        <v>20.000037706573103</v>
      </c>
      <c r="H31" s="141">
        <v>212165</v>
      </c>
      <c r="I31" s="141">
        <v>212165</v>
      </c>
      <c r="J31" s="139">
        <v>21399</v>
      </c>
      <c r="K31" s="139">
        <v>87845</v>
      </c>
      <c r="L31" s="142">
        <v>3</v>
      </c>
      <c r="M31" s="198" t="s">
        <v>481</v>
      </c>
      <c r="N31" s="48"/>
      <c r="O31" s="48"/>
      <c r="P31" s="127" t="s">
        <v>584</v>
      </c>
    </row>
    <row r="32" spans="2:16" ht="138" x14ac:dyDescent="0.25">
      <c r="B32" s="215" t="s">
        <v>134</v>
      </c>
      <c r="C32" s="138" t="s">
        <v>135</v>
      </c>
      <c r="D32" s="197" t="s">
        <v>40</v>
      </c>
      <c r="E32" s="138" t="s">
        <v>131</v>
      </c>
      <c r="F32" s="139">
        <v>2022077</v>
      </c>
      <c r="G32" s="141">
        <v>18.707299474747995</v>
      </c>
      <c r="H32" s="141">
        <v>378276</v>
      </c>
      <c r="I32" s="141">
        <v>378276</v>
      </c>
      <c r="J32" s="139">
        <v>82112.87</v>
      </c>
      <c r="K32" s="139">
        <v>101204.04</v>
      </c>
      <c r="L32" s="142">
        <v>4</v>
      </c>
      <c r="M32" s="198" t="s">
        <v>482</v>
      </c>
      <c r="N32" s="48"/>
      <c r="O32" s="48"/>
      <c r="P32" s="127" t="s">
        <v>588</v>
      </c>
    </row>
    <row r="33" spans="2:16" ht="138" x14ac:dyDescent="0.25">
      <c r="B33" s="215" t="s">
        <v>136</v>
      </c>
      <c r="C33" s="138" t="s">
        <v>137</v>
      </c>
      <c r="D33" s="197" t="s">
        <v>40</v>
      </c>
      <c r="E33" s="138" t="s">
        <v>131</v>
      </c>
      <c r="F33" s="139">
        <v>2229596</v>
      </c>
      <c r="G33" s="141">
        <v>19.63485761546038</v>
      </c>
      <c r="H33" s="141">
        <v>437778</v>
      </c>
      <c r="I33" s="141">
        <v>437778</v>
      </c>
      <c r="J33" s="139">
        <v>51494.119999999995</v>
      </c>
      <c r="K33" s="139">
        <v>136157.75</v>
      </c>
      <c r="L33" s="142">
        <v>4</v>
      </c>
      <c r="M33" s="198" t="s">
        <v>483</v>
      </c>
      <c r="N33" s="48"/>
      <c r="O33" s="48"/>
      <c r="P33" s="127" t="s">
        <v>589</v>
      </c>
    </row>
    <row r="34" spans="2:16" ht="55.2" x14ac:dyDescent="0.25">
      <c r="B34" s="215" t="s">
        <v>138</v>
      </c>
      <c r="C34" s="138" t="s">
        <v>139</v>
      </c>
      <c r="D34" s="197" t="s">
        <v>40</v>
      </c>
      <c r="E34" s="138" t="s">
        <v>140</v>
      </c>
      <c r="F34" s="139">
        <v>9127928</v>
      </c>
      <c r="G34" s="141">
        <v>20.000004382155513</v>
      </c>
      <c r="H34" s="141">
        <v>1825586</v>
      </c>
      <c r="I34" s="141">
        <v>1825586</v>
      </c>
      <c r="J34" s="139">
        <v>346798.39</v>
      </c>
      <c r="K34" s="139">
        <v>590865.6</v>
      </c>
      <c r="L34" s="142">
        <v>6</v>
      </c>
      <c r="M34" s="198" t="s">
        <v>484</v>
      </c>
      <c r="N34" s="48"/>
      <c r="O34" s="48"/>
      <c r="P34" s="127" t="s">
        <v>585</v>
      </c>
    </row>
    <row r="35" spans="2:16" ht="97.2" thickBot="1" x14ac:dyDescent="0.3">
      <c r="B35" s="217" t="s">
        <v>141</v>
      </c>
      <c r="C35" s="132" t="s">
        <v>142</v>
      </c>
      <c r="D35" s="199" t="s">
        <v>40</v>
      </c>
      <c r="E35" s="132" t="s">
        <v>143</v>
      </c>
      <c r="F35" s="167">
        <v>1599869.8</v>
      </c>
      <c r="G35" s="157">
        <v>20.000002500203454</v>
      </c>
      <c r="H35" s="157">
        <v>319974</v>
      </c>
      <c r="I35" s="157">
        <v>319974</v>
      </c>
      <c r="J35" s="167">
        <v>96386.512000000002</v>
      </c>
      <c r="K35" s="167">
        <v>90561.69</v>
      </c>
      <c r="L35" s="200">
        <v>5</v>
      </c>
      <c r="M35" s="201" t="s">
        <v>485</v>
      </c>
      <c r="N35" s="50"/>
      <c r="O35" s="50"/>
      <c r="P35" s="128" t="s">
        <v>586</v>
      </c>
    </row>
    <row r="36" spans="2:16" x14ac:dyDescent="0.25">
      <c r="J36" s="19">
        <f>SUM(J4:J35)</f>
        <v>1591257.0019999999</v>
      </c>
      <c r="K36" s="19">
        <f>SUM(K4:K35)</f>
        <v>2033456.96</v>
      </c>
    </row>
    <row r="38" spans="2:16" x14ac:dyDescent="0.25">
      <c r="B38" s="4" t="s">
        <v>414</v>
      </c>
      <c r="C38" s="4" t="s">
        <v>626</v>
      </c>
    </row>
    <row r="39" spans="2:16" x14ac:dyDescent="0.25">
      <c r="B39" s="20">
        <v>2020</v>
      </c>
      <c r="C39" s="4">
        <f>30+31+30+30+30+15+45+45+30+15+31+31+15+35+15+15+30+30+482+15+49+70+70+190+5</f>
        <v>1384</v>
      </c>
    </row>
    <row r="40" spans="2:16" x14ac:dyDescent="0.25">
      <c r="B40" s="4">
        <v>2021</v>
      </c>
      <c r="C40" s="4">
        <f>60+61+60+60+60+31+91+86+60+16+57+60+30+55+30+13+60+60+372+37+6+13+189+12</f>
        <v>1579</v>
      </c>
    </row>
    <row r="41" spans="2:16" x14ac:dyDescent="0.25">
      <c r="B41" s="4" t="s">
        <v>414</v>
      </c>
      <c r="C41" s="4" t="s">
        <v>627</v>
      </c>
    </row>
    <row r="42" spans="2:16" x14ac:dyDescent="0.25">
      <c r="B42" s="4">
        <v>2020</v>
      </c>
      <c r="C42" s="4">
        <f>18+25+67+39+17+45+33</f>
        <v>244</v>
      </c>
    </row>
    <row r="43" spans="2:16" x14ac:dyDescent="0.25">
      <c r="B43" s="4">
        <v>2021</v>
      </c>
      <c r="C43" s="4">
        <f>24+13+34+45+15+10+47</f>
        <v>188</v>
      </c>
    </row>
  </sheetData>
  <mergeCells count="4">
    <mergeCell ref="B2:C2"/>
    <mergeCell ref="P2:P3"/>
    <mergeCell ref="J2:K2"/>
    <mergeCell ref="M2:O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CE5F6-7C0F-4414-8560-8D7AF69C1A72}">
  <sheetPr>
    <tabColor theme="5" tint="0.79998168889431442"/>
  </sheetPr>
  <dimension ref="B1:W55"/>
  <sheetViews>
    <sheetView showGridLines="0" zoomScaleNormal="100" workbookViewId="0">
      <pane ySplit="3" topLeftCell="A4" activePane="bottomLeft" state="frozen"/>
      <selection pane="bottomLeft" activeCell="R3" sqref="R3"/>
    </sheetView>
  </sheetViews>
  <sheetFormatPr defaultRowHeight="14.4" x14ac:dyDescent="0.3"/>
  <cols>
    <col min="1" max="1" width="3.109375" customWidth="1"/>
    <col min="2" max="2" width="13" customWidth="1"/>
    <col min="3" max="3" width="30.6640625" style="6" customWidth="1"/>
    <col min="4" max="4" width="17.33203125" customWidth="1"/>
    <col min="5" max="5" width="20.109375" customWidth="1"/>
    <col min="6" max="6" width="14" customWidth="1"/>
    <col min="7" max="7" width="13.33203125" customWidth="1"/>
    <col min="8" max="8" width="13.33203125" style="10" customWidth="1"/>
    <col min="9" max="9" width="15.6640625" customWidth="1"/>
    <col min="10" max="10" width="14.6640625" customWidth="1"/>
    <col min="11" max="11" width="16.44140625" customWidth="1"/>
    <col min="12" max="12" width="13.109375" customWidth="1"/>
    <col min="13" max="13" width="12.6640625" style="3" customWidth="1"/>
    <col min="14" max="14" width="11.6640625" style="3" customWidth="1"/>
    <col min="15" max="15" width="12.6640625" style="3" customWidth="1"/>
    <col min="16" max="16" width="12.5546875" style="3" customWidth="1"/>
    <col min="17" max="17" width="13.6640625" style="3" customWidth="1"/>
    <col min="18" max="18" width="13.88671875" style="3" customWidth="1"/>
    <col min="19" max="19" width="16.44140625" style="3" customWidth="1"/>
    <col min="20" max="20" width="70.33203125" style="125" customWidth="1"/>
    <col min="23" max="23" width="12.6640625" bestFit="1" customWidth="1"/>
  </cols>
  <sheetData>
    <row r="1" spans="2:23" ht="10.5" customHeight="1" thickBot="1" x14ac:dyDescent="0.35"/>
    <row r="2" spans="2:23" ht="93" customHeight="1" x14ac:dyDescent="0.3">
      <c r="B2" s="332" t="s">
        <v>17</v>
      </c>
      <c r="C2" s="333"/>
      <c r="D2" s="188" t="s">
        <v>13</v>
      </c>
      <c r="E2" s="188" t="s">
        <v>14</v>
      </c>
      <c r="F2" s="188" t="s">
        <v>405</v>
      </c>
      <c r="G2" s="188" t="s">
        <v>406</v>
      </c>
      <c r="H2" s="188" t="s">
        <v>407</v>
      </c>
      <c r="I2" s="188" t="s">
        <v>408</v>
      </c>
      <c r="J2" s="336" t="s">
        <v>409</v>
      </c>
      <c r="K2" s="338"/>
      <c r="L2" s="188" t="s">
        <v>16</v>
      </c>
      <c r="M2" s="336" t="s">
        <v>442</v>
      </c>
      <c r="N2" s="337"/>
      <c r="O2" s="337"/>
      <c r="P2" s="337"/>
      <c r="Q2" s="337"/>
      <c r="R2" s="337"/>
      <c r="S2" s="338"/>
      <c r="T2" s="341" t="s">
        <v>487</v>
      </c>
    </row>
    <row r="3" spans="2:23" s="2" customFormat="1" ht="78.599999999999994" thickBot="1" x14ac:dyDescent="0.35">
      <c r="B3" s="51" t="s">
        <v>11</v>
      </c>
      <c r="C3" s="52" t="s">
        <v>4</v>
      </c>
      <c r="D3" s="52" t="s">
        <v>15</v>
      </c>
      <c r="E3" s="52" t="s">
        <v>18</v>
      </c>
      <c r="F3" s="53" t="s">
        <v>5</v>
      </c>
      <c r="G3" s="54" t="s">
        <v>6</v>
      </c>
      <c r="H3" s="54" t="s">
        <v>5</v>
      </c>
      <c r="I3" s="52" t="s">
        <v>5</v>
      </c>
      <c r="J3" s="53" t="s">
        <v>9</v>
      </c>
      <c r="K3" s="53" t="s">
        <v>10</v>
      </c>
      <c r="L3" s="52" t="s">
        <v>7</v>
      </c>
      <c r="M3" s="55" t="s">
        <v>253</v>
      </c>
      <c r="N3" s="55" t="s">
        <v>254</v>
      </c>
      <c r="O3" s="55" t="s">
        <v>255</v>
      </c>
      <c r="P3" s="55" t="s">
        <v>256</v>
      </c>
      <c r="Q3" s="55" t="s">
        <v>257</v>
      </c>
      <c r="R3" s="55" t="s">
        <v>638</v>
      </c>
      <c r="S3" s="55" t="s">
        <v>258</v>
      </c>
      <c r="T3" s="342"/>
    </row>
    <row r="4" spans="2:23" ht="55.2" x14ac:dyDescent="0.3">
      <c r="B4" s="134" t="s">
        <v>153</v>
      </c>
      <c r="C4" s="152" t="s">
        <v>154</v>
      </c>
      <c r="D4" s="147"/>
      <c r="E4" s="147"/>
      <c r="F4" s="150">
        <v>68804819</v>
      </c>
      <c r="G4" s="150">
        <v>68.580987038131738</v>
      </c>
      <c r="H4" s="150">
        <v>47187024</v>
      </c>
      <c r="I4" s="150">
        <v>47187024</v>
      </c>
      <c r="J4" s="150">
        <v>1268915.43</v>
      </c>
      <c r="K4" s="150">
        <v>552547.64</v>
      </c>
      <c r="L4" s="147">
        <v>15</v>
      </c>
      <c r="M4" s="150">
        <v>16</v>
      </c>
      <c r="N4" s="150"/>
      <c r="O4" s="150"/>
      <c r="P4" s="137"/>
      <c r="Q4" s="137"/>
      <c r="R4" s="137"/>
      <c r="S4" s="137"/>
      <c r="T4" s="129" t="s">
        <v>518</v>
      </c>
    </row>
    <row r="5" spans="2:23" ht="124.2" x14ac:dyDescent="0.3">
      <c r="B5" s="136" t="s">
        <v>155</v>
      </c>
      <c r="C5" s="138" t="s">
        <v>156</v>
      </c>
      <c r="D5" s="140"/>
      <c r="E5" s="140"/>
      <c r="F5" s="139">
        <v>4530926.4000000004</v>
      </c>
      <c r="G5" s="139">
        <v>85.380420216051178</v>
      </c>
      <c r="H5" s="139">
        <v>3868524</v>
      </c>
      <c r="I5" s="139">
        <v>3868524</v>
      </c>
      <c r="J5" s="139">
        <v>47667</v>
      </c>
      <c r="K5" s="139">
        <v>158661.04999999999</v>
      </c>
      <c r="L5" s="140">
        <v>11</v>
      </c>
      <c r="M5" s="139">
        <v>1</v>
      </c>
      <c r="N5" s="139"/>
      <c r="O5" s="139"/>
      <c r="P5" s="135"/>
      <c r="Q5" s="135"/>
      <c r="R5" s="135"/>
      <c r="S5" s="135"/>
      <c r="T5" s="130" t="s">
        <v>519</v>
      </c>
    </row>
    <row r="6" spans="2:23" ht="55.2" x14ac:dyDescent="0.3">
      <c r="B6" s="136" t="s">
        <v>157</v>
      </c>
      <c r="C6" s="138" t="s">
        <v>158</v>
      </c>
      <c r="D6" s="140"/>
      <c r="E6" s="140"/>
      <c r="F6" s="139">
        <v>6583953</v>
      </c>
      <c r="G6" s="139">
        <v>67.01748934112986</v>
      </c>
      <c r="H6" s="139">
        <v>4412400</v>
      </c>
      <c r="I6" s="139">
        <v>4412400</v>
      </c>
      <c r="J6" s="139">
        <v>222597</v>
      </c>
      <c r="K6" s="139">
        <v>27437.26</v>
      </c>
      <c r="L6" s="140">
        <v>5</v>
      </c>
      <c r="M6" s="139">
        <v>1</v>
      </c>
      <c r="N6" s="139">
        <v>12</v>
      </c>
      <c r="O6" s="139"/>
      <c r="P6" s="135"/>
      <c r="Q6" s="135"/>
      <c r="R6" s="135"/>
      <c r="S6" s="135"/>
      <c r="T6" s="130" t="s">
        <v>520</v>
      </c>
    </row>
    <row r="7" spans="2:23" ht="41.4" x14ac:dyDescent="0.3">
      <c r="B7" s="136" t="s">
        <v>159</v>
      </c>
      <c r="C7" s="138" t="s">
        <v>160</v>
      </c>
      <c r="D7" s="140"/>
      <c r="E7" s="140"/>
      <c r="F7" s="139">
        <v>2681792.13</v>
      </c>
      <c r="G7" s="139">
        <v>99.999995152495288</v>
      </c>
      <c r="H7" s="139">
        <v>2681792</v>
      </c>
      <c r="I7" s="139">
        <v>2681792</v>
      </c>
      <c r="J7" s="139">
        <v>418316.33999999997</v>
      </c>
      <c r="K7" s="139">
        <v>344153.70999999996</v>
      </c>
      <c r="L7" s="140">
        <v>4</v>
      </c>
      <c r="M7" s="139"/>
      <c r="N7" s="139"/>
      <c r="O7" s="139"/>
      <c r="P7" s="135"/>
      <c r="Q7" s="135"/>
      <c r="R7" s="135">
        <v>138</v>
      </c>
      <c r="S7" s="135"/>
      <c r="T7" s="130" t="s">
        <v>521</v>
      </c>
    </row>
    <row r="8" spans="2:23" ht="69" x14ac:dyDescent="0.3">
      <c r="B8" s="136" t="s">
        <v>161</v>
      </c>
      <c r="C8" s="138" t="s">
        <v>162</v>
      </c>
      <c r="D8" s="140"/>
      <c r="E8" s="140"/>
      <c r="F8" s="139">
        <v>86955918.849999994</v>
      </c>
      <c r="G8" s="139">
        <v>76.16853444358722</v>
      </c>
      <c r="H8" s="139">
        <v>66233049</v>
      </c>
      <c r="I8" s="139">
        <v>66233049</v>
      </c>
      <c r="J8" s="139">
        <v>7790936</v>
      </c>
      <c r="K8" s="139">
        <v>814218</v>
      </c>
      <c r="L8" s="140">
        <v>4</v>
      </c>
      <c r="M8" s="139"/>
      <c r="N8" s="139"/>
      <c r="O8" s="139"/>
      <c r="P8" s="135"/>
      <c r="Q8" s="135"/>
      <c r="R8" s="135">
        <v>1</v>
      </c>
      <c r="S8" s="135">
        <v>91</v>
      </c>
      <c r="T8" s="130" t="s">
        <v>522</v>
      </c>
    </row>
    <row r="9" spans="2:23" ht="82.8" x14ac:dyDescent="0.3">
      <c r="B9" s="136" t="s">
        <v>163</v>
      </c>
      <c r="C9" s="138" t="s">
        <v>164</v>
      </c>
      <c r="D9" s="140"/>
      <c r="E9" s="140"/>
      <c r="F9" s="139">
        <v>7385714.6200000001</v>
      </c>
      <c r="G9" s="139">
        <v>100</v>
      </c>
      <c r="H9" s="139">
        <v>7385714.6200000001</v>
      </c>
      <c r="I9" s="139">
        <v>7385714.6200000001</v>
      </c>
      <c r="J9" s="139">
        <v>895389.28</v>
      </c>
      <c r="K9" s="139">
        <v>892340.66</v>
      </c>
      <c r="L9" s="140">
        <v>4</v>
      </c>
      <c r="M9" s="139"/>
      <c r="N9" s="139"/>
      <c r="O9" s="139"/>
      <c r="P9" s="135"/>
      <c r="Q9" s="135"/>
      <c r="R9" s="135">
        <v>1</v>
      </c>
      <c r="S9" s="135">
        <v>17746</v>
      </c>
      <c r="T9" s="130" t="s">
        <v>523</v>
      </c>
    </row>
    <row r="10" spans="2:23" ht="138" x14ac:dyDescent="0.3">
      <c r="B10" s="136" t="s">
        <v>165</v>
      </c>
      <c r="C10" s="138" t="s">
        <v>166</v>
      </c>
      <c r="D10" s="140"/>
      <c r="E10" s="140"/>
      <c r="F10" s="139">
        <v>17590356.280000001</v>
      </c>
      <c r="G10" s="139">
        <v>100</v>
      </c>
      <c r="H10" s="139">
        <v>17590356.280000001</v>
      </c>
      <c r="I10" s="139">
        <v>17590356.280000001</v>
      </c>
      <c r="J10" s="139">
        <v>2274042.1100000003</v>
      </c>
      <c r="K10" s="139">
        <v>2178806.62</v>
      </c>
      <c r="L10" s="140">
        <v>4</v>
      </c>
      <c r="M10" s="139"/>
      <c r="N10" s="139"/>
      <c r="O10" s="139"/>
      <c r="P10" s="135"/>
      <c r="Q10" s="135"/>
      <c r="R10" s="135">
        <v>1</v>
      </c>
      <c r="S10" s="135">
        <v>97000</v>
      </c>
      <c r="T10" s="130" t="s">
        <v>524</v>
      </c>
    </row>
    <row r="11" spans="2:23" ht="55.2" x14ac:dyDescent="0.3">
      <c r="B11" s="136" t="s">
        <v>167</v>
      </c>
      <c r="C11" s="138" t="s">
        <v>168</v>
      </c>
      <c r="D11" s="140"/>
      <c r="E11" s="140"/>
      <c r="F11" s="139">
        <v>1149712.68</v>
      </c>
      <c r="G11" s="139">
        <v>100</v>
      </c>
      <c r="H11" s="139">
        <v>1149712.68</v>
      </c>
      <c r="I11" s="139">
        <v>1149712.68</v>
      </c>
      <c r="J11" s="139">
        <v>105598.39</v>
      </c>
      <c r="K11" s="139">
        <v>46919.11</v>
      </c>
      <c r="L11" s="140">
        <v>4</v>
      </c>
      <c r="M11" s="139"/>
      <c r="N11" s="139"/>
      <c r="O11" s="139"/>
      <c r="P11" s="135"/>
      <c r="Q11" s="135">
        <v>850</v>
      </c>
      <c r="R11" s="135"/>
      <c r="S11" s="135"/>
      <c r="T11" s="130" t="s">
        <v>525</v>
      </c>
    </row>
    <row r="12" spans="2:23" ht="41.4" x14ac:dyDescent="0.3">
      <c r="B12" s="136" t="s">
        <v>169</v>
      </c>
      <c r="C12" s="138" t="s">
        <v>170</v>
      </c>
      <c r="D12" s="140"/>
      <c r="E12" s="140"/>
      <c r="F12" s="139">
        <v>251314640.16999999</v>
      </c>
      <c r="G12" s="139">
        <v>100</v>
      </c>
      <c r="H12" s="139">
        <v>251314640.16999999</v>
      </c>
      <c r="I12" s="139">
        <v>251314640.16999999</v>
      </c>
      <c r="J12" s="139">
        <v>18264309.800000001</v>
      </c>
      <c r="K12" s="288">
        <v>0</v>
      </c>
      <c r="L12" s="140">
        <v>4</v>
      </c>
      <c r="M12" s="139"/>
      <c r="N12" s="139"/>
      <c r="O12" s="139"/>
      <c r="P12" s="135"/>
      <c r="Q12" s="135"/>
      <c r="R12" s="289">
        <v>1338</v>
      </c>
      <c r="S12" s="135"/>
      <c r="T12" s="130" t="s">
        <v>526</v>
      </c>
      <c r="W12" s="3"/>
    </row>
    <row r="13" spans="2:23" ht="41.4" x14ac:dyDescent="0.3">
      <c r="B13" s="136" t="s">
        <v>171</v>
      </c>
      <c r="C13" s="138" t="s">
        <v>172</v>
      </c>
      <c r="D13" s="140"/>
      <c r="E13" s="140"/>
      <c r="F13" s="139">
        <v>786804</v>
      </c>
      <c r="G13" s="139">
        <v>71.04183506947092</v>
      </c>
      <c r="H13" s="139">
        <v>558960</v>
      </c>
      <c r="I13" s="139">
        <v>558960</v>
      </c>
      <c r="J13" s="139">
        <v>250965.47</v>
      </c>
      <c r="K13" s="139">
        <v>62421.3</v>
      </c>
      <c r="L13" s="140">
        <v>4</v>
      </c>
      <c r="M13" s="139">
        <v>1</v>
      </c>
      <c r="N13" s="139"/>
      <c r="O13" s="139"/>
      <c r="P13" s="135"/>
      <c r="Q13" s="135"/>
      <c r="R13" s="135"/>
      <c r="S13" s="135"/>
      <c r="T13" s="130" t="s">
        <v>527</v>
      </c>
    </row>
    <row r="14" spans="2:23" ht="27.6" x14ac:dyDescent="0.3">
      <c r="B14" s="136" t="s">
        <v>173</v>
      </c>
      <c r="C14" s="138" t="s">
        <v>174</v>
      </c>
      <c r="D14" s="140"/>
      <c r="E14" s="140"/>
      <c r="F14" s="139">
        <v>644218837.39999998</v>
      </c>
      <c r="G14" s="139">
        <v>100</v>
      </c>
      <c r="H14" s="139">
        <v>644218837.39999998</v>
      </c>
      <c r="I14" s="139">
        <v>644218837.39999998</v>
      </c>
      <c r="J14" s="139">
        <v>80000000</v>
      </c>
      <c r="K14" s="139">
        <v>87168965.019999996</v>
      </c>
      <c r="L14" s="140">
        <v>4</v>
      </c>
      <c r="M14" s="139"/>
      <c r="N14" s="139"/>
      <c r="O14" s="139"/>
      <c r="P14" s="135"/>
      <c r="Q14" s="135">
        <v>5209</v>
      </c>
      <c r="R14" s="135"/>
      <c r="S14" s="135"/>
      <c r="T14" s="130" t="s">
        <v>528</v>
      </c>
      <c r="W14" s="3"/>
    </row>
    <row r="15" spans="2:23" ht="27.6" x14ac:dyDescent="0.3">
      <c r="B15" s="136" t="s">
        <v>175</v>
      </c>
      <c r="C15" s="138" t="s">
        <v>176</v>
      </c>
      <c r="D15" s="140"/>
      <c r="E15" s="140"/>
      <c r="F15" s="139">
        <v>992937.26</v>
      </c>
      <c r="G15" s="139">
        <v>100</v>
      </c>
      <c r="H15" s="139">
        <v>992937.26</v>
      </c>
      <c r="I15" s="139">
        <v>992937.26</v>
      </c>
      <c r="J15" s="139">
        <v>21418.32</v>
      </c>
      <c r="K15" s="139">
        <v>965816.61</v>
      </c>
      <c r="L15" s="140">
        <v>4</v>
      </c>
      <c r="M15" s="139"/>
      <c r="N15" s="139"/>
      <c r="O15" s="139">
        <v>1</v>
      </c>
      <c r="P15" s="135"/>
      <c r="Q15" s="135"/>
      <c r="R15" s="135"/>
      <c r="S15" s="135"/>
      <c r="T15" s="130" t="s">
        <v>529</v>
      </c>
    </row>
    <row r="16" spans="2:23" ht="110.4" x14ac:dyDescent="0.3">
      <c r="B16" s="136" t="s">
        <v>177</v>
      </c>
      <c r="C16" s="138" t="s">
        <v>178</v>
      </c>
      <c r="D16" s="140"/>
      <c r="E16" s="140"/>
      <c r="F16" s="139">
        <v>19739291.09</v>
      </c>
      <c r="G16" s="139">
        <v>100</v>
      </c>
      <c r="H16" s="139">
        <v>19739291.09</v>
      </c>
      <c r="I16" s="139">
        <v>19739291.09</v>
      </c>
      <c r="J16" s="139">
        <v>2392060.9900000002</v>
      </c>
      <c r="K16" s="139">
        <v>2397455.4099999997</v>
      </c>
      <c r="L16" s="140">
        <v>4</v>
      </c>
      <c r="M16" s="139"/>
      <c r="N16" s="139"/>
      <c r="O16" s="139"/>
      <c r="P16" s="135"/>
      <c r="Q16" s="135"/>
      <c r="R16" s="135">
        <v>74</v>
      </c>
      <c r="S16" s="135">
        <v>5</v>
      </c>
      <c r="T16" s="130" t="s">
        <v>564</v>
      </c>
    </row>
    <row r="17" spans="2:20" ht="90" customHeight="1" x14ac:dyDescent="0.3">
      <c r="B17" s="136" t="s">
        <v>179</v>
      </c>
      <c r="C17" s="138" t="s">
        <v>180</v>
      </c>
      <c r="D17" s="140"/>
      <c r="E17" s="140"/>
      <c r="F17" s="139">
        <v>3981486.39</v>
      </c>
      <c r="G17" s="139">
        <v>100</v>
      </c>
      <c r="H17" s="139">
        <v>3981486.39</v>
      </c>
      <c r="I17" s="139">
        <v>3981486.39</v>
      </c>
      <c r="J17" s="139">
        <v>479314.74</v>
      </c>
      <c r="K17" s="139">
        <v>477814.41</v>
      </c>
      <c r="L17" s="140">
        <v>4</v>
      </c>
      <c r="M17" s="139"/>
      <c r="N17" s="139"/>
      <c r="O17" s="139"/>
      <c r="P17" s="135"/>
      <c r="Q17" s="135"/>
      <c r="R17" s="135">
        <v>56</v>
      </c>
      <c r="S17" s="135">
        <v>5</v>
      </c>
      <c r="T17" s="130" t="s">
        <v>530</v>
      </c>
    </row>
    <row r="18" spans="2:20" ht="80.25" customHeight="1" x14ac:dyDescent="0.3">
      <c r="B18" s="136" t="s">
        <v>181</v>
      </c>
      <c r="C18" s="138" t="s">
        <v>182</v>
      </c>
      <c r="D18" s="140"/>
      <c r="E18" s="140"/>
      <c r="F18" s="139">
        <v>2303372</v>
      </c>
      <c r="G18" s="139">
        <v>65.535093766877424</v>
      </c>
      <c r="H18" s="139">
        <v>1509517</v>
      </c>
      <c r="I18" s="139">
        <v>1509517</v>
      </c>
      <c r="J18" s="139">
        <v>851563</v>
      </c>
      <c r="K18" s="139">
        <v>647888.46</v>
      </c>
      <c r="L18" s="140">
        <v>4</v>
      </c>
      <c r="M18" s="139">
        <v>1</v>
      </c>
      <c r="N18" s="139">
        <v>10</v>
      </c>
      <c r="O18" s="139"/>
      <c r="P18" s="135"/>
      <c r="Q18" s="135"/>
      <c r="R18" s="135"/>
      <c r="S18" s="135"/>
      <c r="T18" s="130" t="s">
        <v>531</v>
      </c>
    </row>
    <row r="19" spans="2:20" ht="55.2" x14ac:dyDescent="0.3">
      <c r="B19" s="136" t="s">
        <v>183</v>
      </c>
      <c r="C19" s="138" t="s">
        <v>184</v>
      </c>
      <c r="D19" s="140"/>
      <c r="E19" s="140"/>
      <c r="F19" s="139">
        <v>801465</v>
      </c>
      <c r="G19" s="139">
        <v>91.962343957627596</v>
      </c>
      <c r="H19" s="139">
        <v>737046</v>
      </c>
      <c r="I19" s="139">
        <v>737046</v>
      </c>
      <c r="J19" s="139">
        <v>0</v>
      </c>
      <c r="K19" s="139">
        <v>734311.9</v>
      </c>
      <c r="L19" s="140">
        <v>4</v>
      </c>
      <c r="M19" s="139">
        <v>1</v>
      </c>
      <c r="N19" s="139"/>
      <c r="O19" s="139"/>
      <c r="P19" s="135"/>
      <c r="Q19" s="135"/>
      <c r="R19" s="135"/>
      <c r="S19" s="135"/>
      <c r="T19" s="130" t="s">
        <v>532</v>
      </c>
    </row>
    <row r="20" spans="2:20" ht="27.6" x14ac:dyDescent="0.3">
      <c r="B20" s="136" t="s">
        <v>185</v>
      </c>
      <c r="C20" s="138" t="s">
        <v>186</v>
      </c>
      <c r="D20" s="140"/>
      <c r="E20" s="140"/>
      <c r="F20" s="139">
        <v>994758</v>
      </c>
      <c r="G20" s="139">
        <v>95.216927132026086</v>
      </c>
      <c r="H20" s="139">
        <v>947178</v>
      </c>
      <c r="I20" s="139">
        <v>947178</v>
      </c>
      <c r="J20" s="139">
        <v>0</v>
      </c>
      <c r="K20" s="139">
        <v>280981.71999999997</v>
      </c>
      <c r="L20" s="140">
        <v>4</v>
      </c>
      <c r="M20" s="139">
        <v>1</v>
      </c>
      <c r="N20" s="139"/>
      <c r="O20" s="139"/>
      <c r="P20" s="135"/>
      <c r="Q20" s="135"/>
      <c r="R20" s="135"/>
      <c r="S20" s="135"/>
      <c r="T20" s="130" t="s">
        <v>533</v>
      </c>
    </row>
    <row r="21" spans="2:20" ht="69" x14ac:dyDescent="0.3">
      <c r="B21" s="136" t="s">
        <v>187</v>
      </c>
      <c r="C21" s="138" t="s">
        <v>188</v>
      </c>
      <c r="D21" s="140"/>
      <c r="E21" s="140"/>
      <c r="F21" s="139">
        <v>1066645</v>
      </c>
      <c r="G21" s="139">
        <v>84.091989368534044</v>
      </c>
      <c r="H21" s="139">
        <v>896963</v>
      </c>
      <c r="I21" s="139">
        <v>896963</v>
      </c>
      <c r="J21" s="139">
        <v>0</v>
      </c>
      <c r="K21" s="139">
        <v>896963.06</v>
      </c>
      <c r="L21" s="140">
        <v>4</v>
      </c>
      <c r="M21" s="139">
        <v>1</v>
      </c>
      <c r="N21" s="139"/>
      <c r="O21" s="139"/>
      <c r="P21" s="135"/>
      <c r="Q21" s="135"/>
      <c r="R21" s="135"/>
      <c r="S21" s="135"/>
      <c r="T21" s="130" t="s">
        <v>534</v>
      </c>
    </row>
    <row r="22" spans="2:20" ht="55.2" x14ac:dyDescent="0.3">
      <c r="B22" s="136" t="s">
        <v>189</v>
      </c>
      <c r="C22" s="138" t="s">
        <v>190</v>
      </c>
      <c r="D22" s="140"/>
      <c r="E22" s="140"/>
      <c r="F22" s="139">
        <v>897899</v>
      </c>
      <c r="G22" s="139">
        <v>95.844632859597795</v>
      </c>
      <c r="H22" s="139">
        <v>860588</v>
      </c>
      <c r="I22" s="139">
        <v>860588</v>
      </c>
      <c r="J22" s="139">
        <v>0</v>
      </c>
      <c r="K22" s="139">
        <v>162594.47</v>
      </c>
      <c r="L22" s="140">
        <v>4</v>
      </c>
      <c r="M22" s="139">
        <v>1</v>
      </c>
      <c r="N22" s="139"/>
      <c r="O22" s="139"/>
      <c r="P22" s="135"/>
      <c r="Q22" s="135"/>
      <c r="R22" s="135"/>
      <c r="S22" s="135"/>
      <c r="T22" s="130" t="s">
        <v>565</v>
      </c>
    </row>
    <row r="23" spans="2:20" ht="82.8" x14ac:dyDescent="0.3">
      <c r="B23" s="136" t="s">
        <v>191</v>
      </c>
      <c r="C23" s="138" t="s">
        <v>192</v>
      </c>
      <c r="D23" s="140"/>
      <c r="E23" s="140"/>
      <c r="F23" s="139">
        <v>1513575</v>
      </c>
      <c r="G23" s="139">
        <v>81.174966552698081</v>
      </c>
      <c r="H23" s="139">
        <v>1228644</v>
      </c>
      <c r="I23" s="139">
        <v>1228644</v>
      </c>
      <c r="J23" s="139">
        <v>0</v>
      </c>
      <c r="K23" s="139">
        <v>1228644.27</v>
      </c>
      <c r="L23" s="140">
        <v>4</v>
      </c>
      <c r="M23" s="139">
        <v>1</v>
      </c>
      <c r="N23" s="139"/>
      <c r="O23" s="139"/>
      <c r="P23" s="135"/>
      <c r="Q23" s="135"/>
      <c r="R23" s="135"/>
      <c r="S23" s="135"/>
      <c r="T23" s="130" t="s">
        <v>566</v>
      </c>
    </row>
    <row r="24" spans="2:20" ht="27.6" x14ac:dyDescent="0.3">
      <c r="B24" s="136" t="s">
        <v>193</v>
      </c>
      <c r="C24" s="138" t="s">
        <v>194</v>
      </c>
      <c r="D24" s="140"/>
      <c r="E24" s="140"/>
      <c r="F24" s="139">
        <v>1274979</v>
      </c>
      <c r="G24" s="139">
        <v>77.124172241268283</v>
      </c>
      <c r="H24" s="139">
        <v>983317</v>
      </c>
      <c r="I24" s="139">
        <v>983317</v>
      </c>
      <c r="J24" s="139">
        <v>0</v>
      </c>
      <c r="K24" s="139">
        <v>983317.35</v>
      </c>
      <c r="L24" s="140">
        <v>4</v>
      </c>
      <c r="M24" s="139">
        <v>1</v>
      </c>
      <c r="N24" s="139"/>
      <c r="O24" s="139"/>
      <c r="P24" s="135"/>
      <c r="Q24" s="135"/>
      <c r="R24" s="135"/>
      <c r="S24" s="135"/>
      <c r="T24" s="130" t="s">
        <v>535</v>
      </c>
    </row>
    <row r="25" spans="2:20" ht="82.8" x14ac:dyDescent="0.3">
      <c r="B25" s="136" t="s">
        <v>195</v>
      </c>
      <c r="C25" s="138" t="s">
        <v>196</v>
      </c>
      <c r="D25" s="140"/>
      <c r="E25" s="140"/>
      <c r="F25" s="139">
        <v>280923</v>
      </c>
      <c r="G25" s="139">
        <v>5.3438130733332621</v>
      </c>
      <c r="H25" s="139">
        <v>15012</v>
      </c>
      <c r="I25" s="139">
        <v>15012</v>
      </c>
      <c r="J25" s="139">
        <v>0</v>
      </c>
      <c r="K25" s="139">
        <v>15012.4</v>
      </c>
      <c r="L25" s="140">
        <v>4</v>
      </c>
      <c r="M25" s="139"/>
      <c r="N25" s="139"/>
      <c r="O25" s="139">
        <v>2</v>
      </c>
      <c r="P25" s="135"/>
      <c r="Q25" s="135"/>
      <c r="R25" s="135"/>
      <c r="S25" s="135"/>
      <c r="T25" s="130" t="s">
        <v>536</v>
      </c>
    </row>
    <row r="26" spans="2:20" ht="55.2" x14ac:dyDescent="0.3">
      <c r="B26" s="136" t="s">
        <v>197</v>
      </c>
      <c r="C26" s="138" t="s">
        <v>198</v>
      </c>
      <c r="D26" s="140"/>
      <c r="E26" s="140"/>
      <c r="F26" s="139">
        <v>539240</v>
      </c>
      <c r="G26" s="139">
        <v>31.589273792745345</v>
      </c>
      <c r="H26" s="139">
        <v>170342</v>
      </c>
      <c r="I26" s="139">
        <v>170342</v>
      </c>
      <c r="J26" s="139">
        <v>0</v>
      </c>
      <c r="K26" s="139">
        <v>170341.71</v>
      </c>
      <c r="L26" s="140">
        <v>3</v>
      </c>
      <c r="M26" s="139">
        <v>1</v>
      </c>
      <c r="N26" s="139"/>
      <c r="O26" s="139"/>
      <c r="P26" s="135"/>
      <c r="Q26" s="135"/>
      <c r="R26" s="135"/>
      <c r="S26" s="135"/>
      <c r="T26" s="130" t="s">
        <v>537</v>
      </c>
    </row>
    <row r="27" spans="2:20" ht="41.4" x14ac:dyDescent="0.3">
      <c r="B27" s="136" t="s">
        <v>199</v>
      </c>
      <c r="C27" s="138" t="s">
        <v>200</v>
      </c>
      <c r="D27" s="140"/>
      <c r="E27" s="140"/>
      <c r="F27" s="139">
        <v>2988317</v>
      </c>
      <c r="G27" s="139">
        <v>92.344788052940842</v>
      </c>
      <c r="H27" s="139">
        <v>2759555</v>
      </c>
      <c r="I27" s="139">
        <v>2759555</v>
      </c>
      <c r="J27" s="139">
        <v>0</v>
      </c>
      <c r="K27" s="139">
        <v>27225.279999999999</v>
      </c>
      <c r="L27" s="140">
        <v>3</v>
      </c>
      <c r="M27" s="139">
        <v>1</v>
      </c>
      <c r="N27" s="139"/>
      <c r="O27" s="139"/>
      <c r="P27" s="135"/>
      <c r="Q27" s="135"/>
      <c r="R27" s="135"/>
      <c r="S27" s="135"/>
      <c r="T27" s="130" t="s">
        <v>538</v>
      </c>
    </row>
    <row r="28" spans="2:20" ht="55.2" x14ac:dyDescent="0.3">
      <c r="B28" s="136" t="s">
        <v>201</v>
      </c>
      <c r="C28" s="138" t="s">
        <v>202</v>
      </c>
      <c r="D28" s="140"/>
      <c r="E28" s="140"/>
      <c r="F28" s="139">
        <v>1130183</v>
      </c>
      <c r="G28" s="139">
        <v>62.062780983256694</v>
      </c>
      <c r="H28" s="139">
        <v>701423</v>
      </c>
      <c r="I28" s="139">
        <v>701423</v>
      </c>
      <c r="J28" s="139">
        <v>0</v>
      </c>
      <c r="K28" s="139">
        <v>21423</v>
      </c>
      <c r="L28" s="140">
        <v>3</v>
      </c>
      <c r="M28" s="139"/>
      <c r="N28" s="139"/>
      <c r="O28" s="139"/>
      <c r="P28" s="135"/>
      <c r="Q28" s="135"/>
      <c r="R28" s="135">
        <v>57</v>
      </c>
      <c r="S28" s="135">
        <v>1</v>
      </c>
      <c r="T28" s="130" t="s">
        <v>539</v>
      </c>
    </row>
    <row r="29" spans="2:20" ht="69" x14ac:dyDescent="0.3">
      <c r="B29" s="136" t="s">
        <v>203</v>
      </c>
      <c r="C29" s="138" t="s">
        <v>204</v>
      </c>
      <c r="D29" s="140"/>
      <c r="E29" s="140"/>
      <c r="F29" s="139">
        <v>5986734</v>
      </c>
      <c r="G29" s="139">
        <v>28.248991854323243</v>
      </c>
      <c r="H29" s="139">
        <v>1691192</v>
      </c>
      <c r="I29" s="139">
        <v>1691192</v>
      </c>
      <c r="J29" s="139">
        <v>109539</v>
      </c>
      <c r="K29" s="139">
        <v>1581657.43</v>
      </c>
      <c r="L29" s="140">
        <v>3</v>
      </c>
      <c r="M29" s="139">
        <v>1</v>
      </c>
      <c r="N29" s="139"/>
      <c r="O29" s="139"/>
      <c r="P29" s="135">
        <v>1202882</v>
      </c>
      <c r="Q29" s="135"/>
      <c r="R29" s="135"/>
      <c r="S29" s="135"/>
      <c r="T29" s="130" t="s">
        <v>540</v>
      </c>
    </row>
    <row r="30" spans="2:20" ht="55.2" x14ac:dyDescent="0.3">
      <c r="B30" s="136" t="s">
        <v>205</v>
      </c>
      <c r="C30" s="138" t="s">
        <v>206</v>
      </c>
      <c r="D30" s="140"/>
      <c r="E30" s="140"/>
      <c r="F30" s="139">
        <v>7100828</v>
      </c>
      <c r="G30" s="139">
        <v>45.111288430025347</v>
      </c>
      <c r="H30" s="139">
        <v>3203275</v>
      </c>
      <c r="I30" s="139">
        <v>3203275</v>
      </c>
      <c r="J30" s="139">
        <v>259313</v>
      </c>
      <c r="K30" s="139">
        <v>2612043.9500000002</v>
      </c>
      <c r="L30" s="140">
        <v>3</v>
      </c>
      <c r="M30" s="139">
        <v>1</v>
      </c>
      <c r="N30" s="139"/>
      <c r="O30" s="139"/>
      <c r="P30" s="135">
        <v>1834623</v>
      </c>
      <c r="Q30" s="135"/>
      <c r="R30" s="135"/>
      <c r="S30" s="135"/>
      <c r="T30" s="130" t="s">
        <v>541</v>
      </c>
    </row>
    <row r="31" spans="2:20" ht="55.2" x14ac:dyDescent="0.3">
      <c r="B31" s="136" t="s">
        <v>207</v>
      </c>
      <c r="C31" s="138" t="s">
        <v>208</v>
      </c>
      <c r="D31" s="140"/>
      <c r="E31" s="140"/>
      <c r="F31" s="139">
        <v>2826290</v>
      </c>
      <c r="G31" s="139">
        <v>90.069030425044843</v>
      </c>
      <c r="H31" s="139">
        <v>2545612</v>
      </c>
      <c r="I31" s="139">
        <v>2545612</v>
      </c>
      <c r="J31" s="139">
        <v>0</v>
      </c>
      <c r="K31" s="139">
        <v>1607885.45</v>
      </c>
      <c r="L31" s="140">
        <v>3</v>
      </c>
      <c r="M31" s="139">
        <v>1</v>
      </c>
      <c r="N31" s="139"/>
      <c r="O31" s="139"/>
      <c r="P31" s="135"/>
      <c r="Q31" s="135"/>
      <c r="R31" s="135"/>
      <c r="S31" s="135"/>
      <c r="T31" s="130" t="s">
        <v>542</v>
      </c>
    </row>
    <row r="32" spans="2:20" ht="82.8" x14ac:dyDescent="0.3">
      <c r="B32" s="136" t="s">
        <v>209</v>
      </c>
      <c r="C32" s="138" t="s">
        <v>210</v>
      </c>
      <c r="D32" s="140"/>
      <c r="E32" s="140"/>
      <c r="F32" s="139">
        <v>489754.57</v>
      </c>
      <c r="G32" s="139">
        <v>64.008386894684818</v>
      </c>
      <c r="H32" s="139">
        <v>313484</v>
      </c>
      <c r="I32" s="139">
        <v>313484</v>
      </c>
      <c r="J32" s="139">
        <v>8592.98</v>
      </c>
      <c r="K32" s="139">
        <v>99847</v>
      </c>
      <c r="L32" s="140">
        <v>2</v>
      </c>
      <c r="M32" s="139"/>
      <c r="N32" s="139"/>
      <c r="O32" s="139"/>
      <c r="P32" s="135"/>
      <c r="Q32" s="135"/>
      <c r="R32" s="135">
        <v>11</v>
      </c>
      <c r="S32" s="135"/>
      <c r="T32" s="130" t="s">
        <v>543</v>
      </c>
    </row>
    <row r="33" spans="2:20" ht="96.6" x14ac:dyDescent="0.3">
      <c r="B33" s="136" t="s">
        <v>211</v>
      </c>
      <c r="C33" s="138" t="s">
        <v>212</v>
      </c>
      <c r="D33" s="140"/>
      <c r="E33" s="140"/>
      <c r="F33" s="139">
        <v>2625108</v>
      </c>
      <c r="G33" s="139">
        <v>100</v>
      </c>
      <c r="H33" s="139">
        <v>2625108</v>
      </c>
      <c r="I33" s="139">
        <v>2625108</v>
      </c>
      <c r="J33" s="139">
        <v>485901.04000000004</v>
      </c>
      <c r="K33" s="139">
        <v>468970.16000000003</v>
      </c>
      <c r="L33" s="140">
        <v>2</v>
      </c>
      <c r="M33" s="139"/>
      <c r="N33" s="139"/>
      <c r="O33" s="139"/>
      <c r="P33" s="135"/>
      <c r="Q33" s="135"/>
      <c r="R33" s="135">
        <v>268000</v>
      </c>
      <c r="S33" s="135"/>
      <c r="T33" s="130" t="s">
        <v>544</v>
      </c>
    </row>
    <row r="34" spans="2:20" ht="151.80000000000001" x14ac:dyDescent="0.3">
      <c r="B34" s="136" t="s">
        <v>213</v>
      </c>
      <c r="C34" s="138" t="s">
        <v>214</v>
      </c>
      <c r="D34" s="140"/>
      <c r="E34" s="140"/>
      <c r="F34" s="139">
        <v>61946867.270000003</v>
      </c>
      <c r="G34" s="139">
        <v>100</v>
      </c>
      <c r="H34" s="139">
        <v>61946867.270000003</v>
      </c>
      <c r="I34" s="139">
        <v>61946867.270000003</v>
      </c>
      <c r="J34" s="139">
        <v>61943117.030000001</v>
      </c>
      <c r="K34" s="139">
        <v>2753.99</v>
      </c>
      <c r="L34" s="140">
        <v>2</v>
      </c>
      <c r="M34" s="139"/>
      <c r="N34" s="139"/>
      <c r="O34" s="139"/>
      <c r="P34" s="135"/>
      <c r="Q34" s="135"/>
      <c r="R34" s="135">
        <v>174675</v>
      </c>
      <c r="S34" s="135"/>
      <c r="T34" s="130" t="s">
        <v>545</v>
      </c>
    </row>
    <row r="35" spans="2:20" ht="151.80000000000001" x14ac:dyDescent="0.3">
      <c r="B35" s="136" t="s">
        <v>215</v>
      </c>
      <c r="C35" s="138" t="s">
        <v>216</v>
      </c>
      <c r="D35" s="140"/>
      <c r="E35" s="140"/>
      <c r="F35" s="139">
        <v>18666187.140000001</v>
      </c>
      <c r="G35" s="139">
        <v>100</v>
      </c>
      <c r="H35" s="139">
        <v>18666187.140000001</v>
      </c>
      <c r="I35" s="139">
        <v>18666187.140000001</v>
      </c>
      <c r="J35" s="139">
        <v>18615405.84</v>
      </c>
      <c r="K35" s="139">
        <v>50781.3</v>
      </c>
      <c r="L35" s="140">
        <v>2</v>
      </c>
      <c r="M35" s="139"/>
      <c r="N35" s="139"/>
      <c r="O35" s="139"/>
      <c r="P35" s="135"/>
      <c r="Q35" s="135"/>
      <c r="R35" s="135">
        <v>48</v>
      </c>
      <c r="S35" s="135"/>
      <c r="T35" s="130" t="s">
        <v>546</v>
      </c>
    </row>
    <row r="36" spans="2:20" ht="124.2" x14ac:dyDescent="0.3">
      <c r="B36" s="136" t="s">
        <v>217</v>
      </c>
      <c r="C36" s="138" t="s">
        <v>218</v>
      </c>
      <c r="D36" s="140"/>
      <c r="E36" s="140"/>
      <c r="F36" s="139">
        <v>608003.6</v>
      </c>
      <c r="G36" s="139">
        <v>100</v>
      </c>
      <c r="H36" s="139">
        <v>608003.6</v>
      </c>
      <c r="I36" s="139">
        <v>608003.6</v>
      </c>
      <c r="J36" s="139">
        <v>134853.4</v>
      </c>
      <c r="K36" s="139">
        <v>373150.19999999995</v>
      </c>
      <c r="L36" s="140">
        <v>2</v>
      </c>
      <c r="M36" s="139"/>
      <c r="N36" s="139"/>
      <c r="O36" s="139"/>
      <c r="P36" s="135"/>
      <c r="Q36" s="135"/>
      <c r="R36" s="135">
        <v>16</v>
      </c>
      <c r="S36" s="135"/>
      <c r="T36" s="130" t="s">
        <v>547</v>
      </c>
    </row>
    <row r="37" spans="2:20" ht="55.2" x14ac:dyDescent="0.3">
      <c r="B37" s="136" t="s">
        <v>219</v>
      </c>
      <c r="C37" s="138" t="s">
        <v>220</v>
      </c>
      <c r="D37" s="140"/>
      <c r="E37" s="140"/>
      <c r="F37" s="139">
        <v>454111.37</v>
      </c>
      <c r="G37" s="139">
        <v>100</v>
      </c>
      <c r="H37" s="139">
        <v>454111.37</v>
      </c>
      <c r="I37" s="139">
        <v>454111.37</v>
      </c>
      <c r="J37" s="139">
        <v>70483.27</v>
      </c>
      <c r="K37" s="139">
        <v>303628.09999999998</v>
      </c>
      <c r="L37" s="140">
        <v>2</v>
      </c>
      <c r="M37" s="139"/>
      <c r="N37" s="139"/>
      <c r="O37" s="139"/>
      <c r="P37" s="135"/>
      <c r="Q37" s="135"/>
      <c r="R37" s="135"/>
      <c r="S37" s="135">
        <v>15</v>
      </c>
      <c r="T37" s="130" t="s">
        <v>548</v>
      </c>
    </row>
    <row r="38" spans="2:20" ht="55.2" x14ac:dyDescent="0.3">
      <c r="B38" s="136" t="s">
        <v>221</v>
      </c>
      <c r="C38" s="138" t="s">
        <v>222</v>
      </c>
      <c r="D38" s="140"/>
      <c r="E38" s="140"/>
      <c r="F38" s="139">
        <v>833648.66</v>
      </c>
      <c r="G38" s="139">
        <v>100</v>
      </c>
      <c r="H38" s="139">
        <v>833648.66</v>
      </c>
      <c r="I38" s="139">
        <v>833648.66</v>
      </c>
      <c r="J38" s="139">
        <v>101333.13</v>
      </c>
      <c r="K38" s="139">
        <v>246315.53000000003</v>
      </c>
      <c r="L38" s="140">
        <v>2</v>
      </c>
      <c r="M38" s="139"/>
      <c r="N38" s="139"/>
      <c r="O38" s="139"/>
      <c r="P38" s="135"/>
      <c r="Q38" s="135"/>
      <c r="R38" s="135">
        <v>68</v>
      </c>
      <c r="S38" s="135">
        <v>2718</v>
      </c>
      <c r="T38" s="130" t="s">
        <v>549</v>
      </c>
    </row>
    <row r="39" spans="2:20" ht="82.8" x14ac:dyDescent="0.3">
      <c r="B39" s="136" t="s">
        <v>223</v>
      </c>
      <c r="C39" s="138" t="s">
        <v>224</v>
      </c>
      <c r="D39" s="140"/>
      <c r="E39" s="140"/>
      <c r="F39" s="139">
        <v>93666160.670000002</v>
      </c>
      <c r="G39" s="139">
        <v>100</v>
      </c>
      <c r="H39" s="139">
        <v>93666160.670000002</v>
      </c>
      <c r="I39" s="139">
        <v>93666160.670000002</v>
      </c>
      <c r="J39" s="139">
        <v>8449910.7299999986</v>
      </c>
      <c r="K39" s="287">
        <v>67216249.940000013</v>
      </c>
      <c r="L39" s="140">
        <v>2</v>
      </c>
      <c r="M39" s="139"/>
      <c r="N39" s="139"/>
      <c r="O39" s="139"/>
      <c r="P39" s="135"/>
      <c r="Q39" s="135"/>
      <c r="R39" s="135">
        <v>16</v>
      </c>
      <c r="S39" s="135">
        <v>7511499</v>
      </c>
      <c r="T39" s="130" t="s">
        <v>550</v>
      </c>
    </row>
    <row r="40" spans="2:20" ht="69" x14ac:dyDescent="0.3">
      <c r="B40" s="136" t="s">
        <v>225</v>
      </c>
      <c r="C40" s="138" t="s">
        <v>226</v>
      </c>
      <c r="D40" s="140"/>
      <c r="E40" s="140"/>
      <c r="F40" s="139">
        <v>79300</v>
      </c>
      <c r="G40" s="139">
        <v>100</v>
      </c>
      <c r="H40" s="139">
        <v>79300</v>
      </c>
      <c r="I40" s="139">
        <v>79300</v>
      </c>
      <c r="J40" s="139">
        <v>0</v>
      </c>
      <c r="K40" s="139">
        <v>15971.02</v>
      </c>
      <c r="L40" s="140">
        <v>2</v>
      </c>
      <c r="M40" s="139">
        <v>1</v>
      </c>
      <c r="N40" s="139">
        <v>17</v>
      </c>
      <c r="O40" s="139"/>
      <c r="P40" s="135"/>
      <c r="Q40" s="135"/>
      <c r="R40" s="135"/>
      <c r="S40" s="135"/>
      <c r="T40" s="130" t="s">
        <v>551</v>
      </c>
    </row>
    <row r="41" spans="2:20" ht="82.8" x14ac:dyDescent="0.3">
      <c r="B41" s="136" t="s">
        <v>227</v>
      </c>
      <c r="C41" s="138" t="s">
        <v>228</v>
      </c>
      <c r="D41" s="140"/>
      <c r="E41" s="140"/>
      <c r="F41" s="139">
        <v>305666.58</v>
      </c>
      <c r="G41" s="139">
        <v>100</v>
      </c>
      <c r="H41" s="139">
        <v>305666.58</v>
      </c>
      <c r="I41" s="139">
        <v>305666.58</v>
      </c>
      <c r="J41" s="139">
        <v>0</v>
      </c>
      <c r="K41" s="139">
        <v>305666.58</v>
      </c>
      <c r="L41" s="140">
        <v>2</v>
      </c>
      <c r="M41" s="139">
        <v>1</v>
      </c>
      <c r="N41" s="139"/>
      <c r="O41" s="139"/>
      <c r="P41" s="135"/>
      <c r="Q41" s="135"/>
      <c r="R41" s="135"/>
      <c r="S41" s="135"/>
      <c r="T41" s="130" t="s">
        <v>552</v>
      </c>
    </row>
    <row r="42" spans="2:20" ht="55.2" x14ac:dyDescent="0.3">
      <c r="B42" s="136" t="s">
        <v>229</v>
      </c>
      <c r="C42" s="138" t="s">
        <v>230</v>
      </c>
      <c r="D42" s="140"/>
      <c r="E42" s="140"/>
      <c r="F42" s="139">
        <v>44080765.93</v>
      </c>
      <c r="G42" s="139">
        <v>100</v>
      </c>
      <c r="H42" s="139">
        <v>44080765.93</v>
      </c>
      <c r="I42" s="139">
        <v>44080765.93</v>
      </c>
      <c r="J42" s="139">
        <v>1306062.98</v>
      </c>
      <c r="K42" s="139">
        <v>32708873.25</v>
      </c>
      <c r="L42" s="140">
        <v>2</v>
      </c>
      <c r="M42" s="139"/>
      <c r="N42" s="139"/>
      <c r="O42" s="139"/>
      <c r="P42" s="135"/>
      <c r="Q42" s="135"/>
      <c r="R42" s="135">
        <v>50125</v>
      </c>
      <c r="S42" s="135"/>
      <c r="T42" s="130" t="s">
        <v>553</v>
      </c>
    </row>
    <row r="43" spans="2:20" ht="27.6" x14ac:dyDescent="0.3">
      <c r="B43" s="136" t="s">
        <v>231</v>
      </c>
      <c r="C43" s="138" t="s">
        <v>232</v>
      </c>
      <c r="D43" s="140"/>
      <c r="E43" s="140"/>
      <c r="F43" s="139">
        <v>9590055.4900000002</v>
      </c>
      <c r="G43" s="139">
        <v>100</v>
      </c>
      <c r="H43" s="139">
        <v>9590055.4900000002</v>
      </c>
      <c r="I43" s="139">
        <v>9590055.4900000002</v>
      </c>
      <c r="J43" s="139">
        <v>4077535.69</v>
      </c>
      <c r="K43" s="139">
        <v>4422103.8</v>
      </c>
      <c r="L43" s="140">
        <v>3</v>
      </c>
      <c r="M43" s="139"/>
      <c r="N43" s="139"/>
      <c r="O43" s="139"/>
      <c r="P43" s="135"/>
      <c r="Q43" s="135"/>
      <c r="R43" s="135">
        <v>469</v>
      </c>
      <c r="S43" s="135"/>
      <c r="T43" s="130" t="s">
        <v>554</v>
      </c>
    </row>
    <row r="44" spans="2:20" ht="82.8" x14ac:dyDescent="0.3">
      <c r="B44" s="136" t="s">
        <v>233</v>
      </c>
      <c r="C44" s="138" t="s">
        <v>234</v>
      </c>
      <c r="D44" s="140"/>
      <c r="E44" s="140"/>
      <c r="F44" s="139">
        <v>146447079.28999999</v>
      </c>
      <c r="G44" s="139">
        <v>100</v>
      </c>
      <c r="H44" s="139">
        <v>146447079.28999999</v>
      </c>
      <c r="I44" s="139">
        <v>146447079.28999999</v>
      </c>
      <c r="J44" s="139">
        <v>2582303</v>
      </c>
      <c r="K44" s="288">
        <v>0</v>
      </c>
      <c r="L44" s="140">
        <v>3</v>
      </c>
      <c r="M44" s="139"/>
      <c r="N44" s="139"/>
      <c r="O44" s="139"/>
      <c r="P44" s="135"/>
      <c r="Q44" s="135"/>
      <c r="R44" s="289">
        <v>16575</v>
      </c>
      <c r="S44" s="135"/>
      <c r="T44" s="130" t="s">
        <v>587</v>
      </c>
    </row>
    <row r="45" spans="2:20" ht="55.2" x14ac:dyDescent="0.3">
      <c r="B45" s="136" t="s">
        <v>235</v>
      </c>
      <c r="C45" s="138" t="s">
        <v>236</v>
      </c>
      <c r="D45" s="140"/>
      <c r="E45" s="140"/>
      <c r="F45" s="139">
        <v>87802312.280000001</v>
      </c>
      <c r="G45" s="139">
        <v>100</v>
      </c>
      <c r="H45" s="139">
        <v>87802312.280000001</v>
      </c>
      <c r="I45" s="139">
        <v>87802312.280000001</v>
      </c>
      <c r="J45" s="139">
        <v>0</v>
      </c>
      <c r="K45" s="139">
        <v>66377957.060000002</v>
      </c>
      <c r="L45" s="140">
        <v>4</v>
      </c>
      <c r="M45" s="139"/>
      <c r="N45" s="139"/>
      <c r="O45" s="139"/>
      <c r="P45" s="135"/>
      <c r="Q45" s="135"/>
      <c r="R45" s="135"/>
      <c r="S45" s="135">
        <v>2560577</v>
      </c>
      <c r="T45" s="130" t="s">
        <v>555</v>
      </c>
    </row>
    <row r="46" spans="2:20" ht="55.2" x14ac:dyDescent="0.3">
      <c r="B46" s="136" t="s">
        <v>237</v>
      </c>
      <c r="C46" s="138" t="s">
        <v>238</v>
      </c>
      <c r="D46" s="140"/>
      <c r="E46" s="140"/>
      <c r="F46" s="139">
        <v>1045453.88</v>
      </c>
      <c r="G46" s="139">
        <v>100</v>
      </c>
      <c r="H46" s="139">
        <v>1045453.88</v>
      </c>
      <c r="I46" s="139">
        <v>1045453.88</v>
      </c>
      <c r="J46" s="139">
        <v>0</v>
      </c>
      <c r="K46" s="139">
        <v>1045453.8800000001</v>
      </c>
      <c r="L46" s="140">
        <v>4</v>
      </c>
      <c r="M46" s="139"/>
      <c r="N46" s="139"/>
      <c r="O46" s="139"/>
      <c r="P46" s="135"/>
      <c r="Q46" s="135"/>
      <c r="R46" s="135">
        <v>154</v>
      </c>
      <c r="S46" s="135"/>
      <c r="T46" s="130" t="s">
        <v>556</v>
      </c>
    </row>
    <row r="47" spans="2:20" ht="96.6" x14ac:dyDescent="0.3">
      <c r="B47" s="136" t="s">
        <v>239</v>
      </c>
      <c r="C47" s="138" t="s">
        <v>240</v>
      </c>
      <c r="D47" s="140"/>
      <c r="E47" s="140"/>
      <c r="F47" s="139">
        <v>55773.8</v>
      </c>
      <c r="G47" s="139">
        <v>100</v>
      </c>
      <c r="H47" s="139">
        <v>55773.8</v>
      </c>
      <c r="I47" s="139">
        <v>55773.8</v>
      </c>
      <c r="J47" s="139">
        <v>0</v>
      </c>
      <c r="K47" s="139">
        <v>55503.48</v>
      </c>
      <c r="L47" s="140">
        <v>4</v>
      </c>
      <c r="M47" s="139"/>
      <c r="N47" s="139"/>
      <c r="O47" s="139">
        <v>15</v>
      </c>
      <c r="P47" s="135"/>
      <c r="Q47" s="135"/>
      <c r="R47" s="135"/>
      <c r="S47" s="135"/>
      <c r="T47" s="130" t="s">
        <v>557</v>
      </c>
    </row>
    <row r="48" spans="2:20" ht="110.4" x14ac:dyDescent="0.3">
      <c r="B48" s="136" t="s">
        <v>241</v>
      </c>
      <c r="C48" s="138" t="s">
        <v>242</v>
      </c>
      <c r="D48" s="140"/>
      <c r="E48" s="140"/>
      <c r="F48" s="139">
        <v>1145992</v>
      </c>
      <c r="G48" s="139">
        <v>52.515986149990574</v>
      </c>
      <c r="H48" s="139">
        <v>601829</v>
      </c>
      <c r="I48" s="139">
        <v>601829</v>
      </c>
      <c r="J48" s="139">
        <v>0</v>
      </c>
      <c r="K48" s="139">
        <v>31222.260000000002</v>
      </c>
      <c r="L48" s="140">
        <v>4</v>
      </c>
      <c r="M48" s="139">
        <v>1</v>
      </c>
      <c r="N48" s="139"/>
      <c r="O48" s="139"/>
      <c r="P48" s="135"/>
      <c r="Q48" s="135"/>
      <c r="R48" s="135"/>
      <c r="S48" s="135"/>
      <c r="T48" s="130" t="s">
        <v>558</v>
      </c>
    </row>
    <row r="49" spans="2:20" ht="55.2" x14ac:dyDescent="0.3">
      <c r="B49" s="136" t="s">
        <v>243</v>
      </c>
      <c r="C49" s="138" t="s">
        <v>244</v>
      </c>
      <c r="D49" s="140"/>
      <c r="E49" s="140"/>
      <c r="F49" s="139">
        <v>112716755</v>
      </c>
      <c r="G49" s="139">
        <v>75.059101905479807</v>
      </c>
      <c r="H49" s="139">
        <v>84604184</v>
      </c>
      <c r="I49" s="139">
        <v>84604184</v>
      </c>
      <c r="J49" s="139">
        <v>3774605</v>
      </c>
      <c r="K49" s="139">
        <v>9530394.2300000004</v>
      </c>
      <c r="L49" s="140">
        <v>31</v>
      </c>
      <c r="M49" s="139">
        <v>1</v>
      </c>
      <c r="N49" s="139"/>
      <c r="O49" s="139"/>
      <c r="P49" s="135"/>
      <c r="Q49" s="135"/>
      <c r="R49" s="135"/>
      <c r="S49" s="135"/>
      <c r="T49" s="130" t="s">
        <v>559</v>
      </c>
    </row>
    <row r="50" spans="2:20" ht="69" x14ac:dyDescent="0.3">
      <c r="B50" s="136" t="s">
        <v>245</v>
      </c>
      <c r="C50" s="138" t="s">
        <v>246</v>
      </c>
      <c r="D50" s="140"/>
      <c r="E50" s="140"/>
      <c r="F50" s="139">
        <v>98425959</v>
      </c>
      <c r="G50" s="139">
        <v>50.672078287802101</v>
      </c>
      <c r="H50" s="139">
        <v>49874479</v>
      </c>
      <c r="I50" s="139">
        <v>49874479</v>
      </c>
      <c r="J50" s="139">
        <v>0</v>
      </c>
      <c r="K50" s="139">
        <v>48190</v>
      </c>
      <c r="L50" s="140">
        <v>31</v>
      </c>
      <c r="M50" s="139">
        <v>1</v>
      </c>
      <c r="N50" s="139"/>
      <c r="O50" s="139"/>
      <c r="P50" s="135"/>
      <c r="Q50" s="135"/>
      <c r="R50" s="135"/>
      <c r="S50" s="135"/>
      <c r="T50" s="130" t="s">
        <v>560</v>
      </c>
    </row>
    <row r="51" spans="2:20" ht="69" x14ac:dyDescent="0.3">
      <c r="B51" s="136" t="s">
        <v>247</v>
      </c>
      <c r="C51" s="138" t="s">
        <v>248</v>
      </c>
      <c r="D51" s="140"/>
      <c r="E51" s="140"/>
      <c r="F51" s="139">
        <v>117942191</v>
      </c>
      <c r="G51" s="139">
        <v>91.036879245358435</v>
      </c>
      <c r="H51" s="139">
        <v>107370890</v>
      </c>
      <c r="I51" s="139">
        <v>107370890</v>
      </c>
      <c r="J51" s="139">
        <v>3316759</v>
      </c>
      <c r="K51" s="139">
        <v>9928816.4299999997</v>
      </c>
      <c r="L51" s="140">
        <v>31</v>
      </c>
      <c r="M51" s="139">
        <v>1</v>
      </c>
      <c r="N51" s="139"/>
      <c r="O51" s="139"/>
      <c r="P51" s="135"/>
      <c r="Q51" s="135"/>
      <c r="R51" s="135"/>
      <c r="S51" s="135"/>
      <c r="T51" s="130" t="s">
        <v>561</v>
      </c>
    </row>
    <row r="52" spans="2:20" ht="55.2" x14ac:dyDescent="0.3">
      <c r="B52" s="136" t="s">
        <v>249</v>
      </c>
      <c r="C52" s="138" t="s">
        <v>250</v>
      </c>
      <c r="D52" s="140"/>
      <c r="E52" s="140"/>
      <c r="F52" s="139">
        <v>1392887</v>
      </c>
      <c r="G52" s="139">
        <v>71.033328618904477</v>
      </c>
      <c r="H52" s="139">
        <v>989414</v>
      </c>
      <c r="I52" s="139">
        <v>989414</v>
      </c>
      <c r="J52" s="139">
        <v>0</v>
      </c>
      <c r="K52" s="139">
        <v>147892.20000000001</v>
      </c>
      <c r="L52" s="140">
        <v>31</v>
      </c>
      <c r="M52" s="139">
        <v>1</v>
      </c>
      <c r="N52" s="139"/>
      <c r="O52" s="139"/>
      <c r="P52" s="135"/>
      <c r="Q52" s="135"/>
      <c r="R52" s="135"/>
      <c r="S52" s="135"/>
      <c r="T52" s="130" t="s">
        <v>562</v>
      </c>
    </row>
    <row r="53" spans="2:20" ht="55.8" thickBot="1" x14ac:dyDescent="0.35">
      <c r="B53" s="166" t="s">
        <v>251</v>
      </c>
      <c r="C53" s="132" t="s">
        <v>252</v>
      </c>
      <c r="D53" s="154"/>
      <c r="E53" s="154"/>
      <c r="F53" s="167">
        <v>10203275</v>
      </c>
      <c r="G53" s="167">
        <v>91.735408484040661</v>
      </c>
      <c r="H53" s="167">
        <v>9360016</v>
      </c>
      <c r="I53" s="167">
        <v>9360016</v>
      </c>
      <c r="J53" s="167">
        <v>54596</v>
      </c>
      <c r="K53" s="167">
        <v>3058880.88</v>
      </c>
      <c r="L53" s="154">
        <v>26</v>
      </c>
      <c r="M53" s="167">
        <v>2</v>
      </c>
      <c r="N53" s="167"/>
      <c r="O53" s="167"/>
      <c r="P53" s="168"/>
      <c r="Q53" s="168"/>
      <c r="R53" s="168"/>
      <c r="S53" s="168"/>
      <c r="T53" s="131" t="s">
        <v>563</v>
      </c>
    </row>
    <row r="54" spans="2:20" x14ac:dyDescent="0.3">
      <c r="J54" s="85">
        <f>SUM(J4:J53)</f>
        <v>220573404.95999998</v>
      </c>
      <c r="K54" s="85">
        <f>SUM(K4:K53)</f>
        <v>303496468.54000002</v>
      </c>
      <c r="M54" s="84">
        <f>SUM(M4:M53)</f>
        <v>40</v>
      </c>
      <c r="N54" s="84">
        <f t="shared" ref="N54:S54" si="0">SUM(N4:N53)</f>
        <v>39</v>
      </c>
      <c r="O54" s="84">
        <f t="shared" si="0"/>
        <v>18</v>
      </c>
      <c r="P54" s="84">
        <f t="shared" si="0"/>
        <v>3037505</v>
      </c>
      <c r="Q54" s="84">
        <f t="shared" si="0"/>
        <v>6059</v>
      </c>
      <c r="R54" s="84">
        <f t="shared" si="0"/>
        <v>511823</v>
      </c>
      <c r="S54" s="84">
        <f t="shared" si="0"/>
        <v>10189657</v>
      </c>
    </row>
    <row r="55" spans="2:20" x14ac:dyDescent="0.3">
      <c r="J55" s="7"/>
      <c r="K55" s="7"/>
    </row>
  </sheetData>
  <mergeCells count="4">
    <mergeCell ref="B2:C2"/>
    <mergeCell ref="T2:T3"/>
    <mergeCell ref="J2:K2"/>
    <mergeCell ref="M2:S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40FAE-3D5F-4B58-8DDA-C43823170C2E}">
  <sheetPr>
    <tabColor theme="9" tint="0.59999389629810485"/>
  </sheetPr>
  <dimension ref="B1:R90"/>
  <sheetViews>
    <sheetView showGridLines="0" zoomScaleNormal="100" workbookViewId="0">
      <selection activeCell="K29" sqref="K29"/>
    </sheetView>
  </sheetViews>
  <sheetFormatPr defaultColWidth="9.109375" defaultRowHeight="13.8" x14ac:dyDescent="0.25"/>
  <cols>
    <col min="1" max="1" width="5.109375" style="56" customWidth="1"/>
    <col min="2" max="2" width="12.5546875" style="56" customWidth="1"/>
    <col min="3" max="3" width="27.44140625" style="56" customWidth="1"/>
    <col min="4" max="4" width="17.33203125" style="69" customWidth="1"/>
    <col min="5" max="5" width="13.5546875" style="69" customWidth="1"/>
    <col min="6" max="6" width="12.33203125" style="69" bestFit="1" customWidth="1"/>
    <col min="7" max="7" width="15.5546875" style="69" customWidth="1"/>
    <col min="8" max="8" width="15" style="69" customWidth="1"/>
    <col min="9" max="9" width="15.33203125" style="69" customWidth="1"/>
    <col min="10" max="10" width="11.44140625" style="56" customWidth="1"/>
    <col min="11" max="11" width="14.5546875" style="56" customWidth="1"/>
    <col min="12" max="12" width="14.88671875" style="56" customWidth="1"/>
    <col min="13" max="13" width="14.44140625" style="69" customWidth="1"/>
    <col min="14" max="14" width="14.44140625" style="56" customWidth="1"/>
    <col min="15" max="15" width="74.88671875" style="56" customWidth="1"/>
    <col min="16" max="16" width="9.109375" style="56"/>
    <col min="17" max="17" width="16.88671875" style="56" customWidth="1"/>
    <col min="18" max="18" width="43.5546875" style="57" customWidth="1"/>
    <col min="19" max="19" width="10.6640625" style="56" customWidth="1"/>
    <col min="20" max="20" width="12" style="56" customWidth="1"/>
    <col min="21" max="16384" width="9.109375" style="56"/>
  </cols>
  <sheetData>
    <row r="1" spans="2:18" ht="21" customHeight="1" thickBot="1" x14ac:dyDescent="0.3"/>
    <row r="2" spans="2:18" s="58" customFormat="1" ht="106.5" customHeight="1" x14ac:dyDescent="0.3">
      <c r="B2" s="347" t="s">
        <v>0</v>
      </c>
      <c r="C2" s="348"/>
      <c r="D2" s="189" t="s">
        <v>405</v>
      </c>
      <c r="E2" s="189" t="s">
        <v>406</v>
      </c>
      <c r="F2" s="189" t="s">
        <v>407</v>
      </c>
      <c r="G2" s="189" t="s">
        <v>408</v>
      </c>
      <c r="H2" s="360" t="s">
        <v>409</v>
      </c>
      <c r="I2" s="361"/>
      <c r="J2" s="190" t="s">
        <v>1</v>
      </c>
      <c r="K2" s="358" t="s">
        <v>2</v>
      </c>
      <c r="L2" s="358"/>
      <c r="M2" s="189" t="s">
        <v>3</v>
      </c>
      <c r="N2" s="191" t="s">
        <v>491</v>
      </c>
      <c r="O2" s="343" t="s">
        <v>487</v>
      </c>
    </row>
    <row r="3" spans="2:18" s="61" customFormat="1" ht="63" thickBot="1" x14ac:dyDescent="0.35">
      <c r="B3" s="72" t="s">
        <v>11</v>
      </c>
      <c r="C3" s="73" t="s">
        <v>4</v>
      </c>
      <c r="D3" s="86" t="s">
        <v>5</v>
      </c>
      <c r="E3" s="83" t="s">
        <v>6</v>
      </c>
      <c r="F3" s="83" t="s">
        <v>5</v>
      </c>
      <c r="G3" s="83" t="s">
        <v>5</v>
      </c>
      <c r="H3" s="86" t="s">
        <v>9</v>
      </c>
      <c r="I3" s="86" t="s">
        <v>10</v>
      </c>
      <c r="J3" s="73" t="s">
        <v>492</v>
      </c>
      <c r="K3" s="73" t="s">
        <v>640</v>
      </c>
      <c r="L3" s="73" t="s">
        <v>642</v>
      </c>
      <c r="M3" s="83" t="s">
        <v>488</v>
      </c>
      <c r="N3" s="79" t="s">
        <v>602</v>
      </c>
      <c r="O3" s="344"/>
    </row>
    <row r="4" spans="2:18" s="77" customFormat="1" ht="54.75" customHeight="1" thickBot="1" x14ac:dyDescent="0.3">
      <c r="B4" s="202" t="s">
        <v>388</v>
      </c>
      <c r="C4" s="165" t="s">
        <v>389</v>
      </c>
      <c r="D4" s="165">
        <v>195667000</v>
      </c>
      <c r="E4" s="165">
        <v>90.540561259691216</v>
      </c>
      <c r="F4" s="165">
        <v>177158000</v>
      </c>
      <c r="G4" s="165">
        <v>177158000</v>
      </c>
      <c r="H4" s="165">
        <v>14001000</v>
      </c>
      <c r="I4" s="165">
        <v>14001000</v>
      </c>
      <c r="J4" s="170">
        <v>25</v>
      </c>
      <c r="K4" s="170"/>
      <c r="L4" s="170"/>
      <c r="M4" s="170"/>
      <c r="N4" s="171">
        <v>23</v>
      </c>
      <c r="O4" s="172" t="s">
        <v>601</v>
      </c>
      <c r="R4" s="78"/>
    </row>
    <row r="5" spans="2:18" ht="14.4" x14ac:dyDescent="0.3">
      <c r="B5" s="66"/>
      <c r="C5" s="66"/>
      <c r="D5" s="70"/>
      <c r="E5" s="70"/>
      <c r="F5" s="70"/>
      <c r="G5" s="70"/>
      <c r="H5" s="70"/>
      <c r="I5" s="70"/>
      <c r="J5" s="66"/>
      <c r="K5" s="66"/>
      <c r="L5" s="13"/>
      <c r="M5" s="70"/>
      <c r="N5" s="66"/>
      <c r="O5" s="66"/>
    </row>
    <row r="6" spans="2:18" x14ac:dyDescent="0.25">
      <c r="B6" s="66"/>
      <c r="C6" s="66"/>
      <c r="D6" s="70"/>
      <c r="E6" s="70"/>
      <c r="F6" s="70"/>
      <c r="G6" s="70"/>
      <c r="H6" s="70"/>
      <c r="I6" s="70"/>
      <c r="J6" s="66"/>
      <c r="K6" s="66"/>
      <c r="L6" s="66"/>
      <c r="M6" s="70"/>
      <c r="N6" s="66"/>
      <c r="O6" s="66"/>
    </row>
    <row r="7" spans="2:18" x14ac:dyDescent="0.25">
      <c r="B7" s="66"/>
      <c r="C7" s="66"/>
      <c r="D7" s="70"/>
      <c r="E7" s="70"/>
      <c r="F7" s="70"/>
      <c r="G7" s="70"/>
      <c r="H7" s="70"/>
      <c r="I7" s="70"/>
      <c r="J7" s="66"/>
      <c r="K7" s="66"/>
      <c r="L7" s="66"/>
      <c r="M7" s="70"/>
      <c r="N7" s="66"/>
      <c r="O7" s="66"/>
    </row>
    <row r="8" spans="2:18" ht="7.5" customHeight="1" thickBot="1" x14ac:dyDescent="0.3">
      <c r="C8" s="66"/>
      <c r="D8" s="70"/>
      <c r="E8" s="70"/>
      <c r="F8" s="70"/>
      <c r="G8" s="70"/>
      <c r="H8" s="70"/>
      <c r="I8" s="70"/>
      <c r="J8" s="66"/>
      <c r="K8" s="66"/>
      <c r="L8" s="66"/>
      <c r="M8" s="70"/>
      <c r="N8" s="66"/>
      <c r="O8" s="66"/>
    </row>
    <row r="9" spans="2:18" ht="96.75" customHeight="1" x14ac:dyDescent="0.25">
      <c r="B9" s="347" t="s">
        <v>8</v>
      </c>
      <c r="C9" s="348"/>
      <c r="D9" s="192" t="s">
        <v>405</v>
      </c>
      <c r="E9" s="192" t="s">
        <v>404</v>
      </c>
      <c r="F9" s="192" t="s">
        <v>407</v>
      </c>
      <c r="G9" s="192" t="s">
        <v>408</v>
      </c>
      <c r="H9" s="362" t="s">
        <v>410</v>
      </c>
      <c r="I9" s="363"/>
      <c r="J9" s="193" t="s">
        <v>1</v>
      </c>
      <c r="K9" s="359" t="s">
        <v>2</v>
      </c>
      <c r="L9" s="359"/>
      <c r="M9" s="192" t="s">
        <v>3</v>
      </c>
      <c r="N9" s="194" t="s">
        <v>489</v>
      </c>
      <c r="O9" s="345" t="s">
        <v>487</v>
      </c>
    </row>
    <row r="10" spans="2:18" ht="42" thickBot="1" x14ac:dyDescent="0.3">
      <c r="B10" s="103" t="s">
        <v>11</v>
      </c>
      <c r="C10" s="104" t="s">
        <v>4</v>
      </c>
      <c r="D10" s="105" t="s">
        <v>5</v>
      </c>
      <c r="E10" s="105" t="s">
        <v>6</v>
      </c>
      <c r="F10" s="105" t="s">
        <v>5</v>
      </c>
      <c r="G10" s="105" t="s">
        <v>5</v>
      </c>
      <c r="H10" s="105" t="s">
        <v>9</v>
      </c>
      <c r="I10" s="105" t="s">
        <v>10</v>
      </c>
      <c r="J10" s="104" t="s">
        <v>492</v>
      </c>
      <c r="K10" s="104" t="s">
        <v>640</v>
      </c>
      <c r="L10" s="104" t="s">
        <v>641</v>
      </c>
      <c r="M10" s="105" t="s">
        <v>509</v>
      </c>
      <c r="N10" s="106" t="s">
        <v>490</v>
      </c>
      <c r="O10" s="346"/>
    </row>
    <row r="11" spans="2:18" ht="27.6" x14ac:dyDescent="0.25">
      <c r="B11" s="98" t="s">
        <v>403</v>
      </c>
      <c r="C11" s="99" t="s">
        <v>395</v>
      </c>
      <c r="D11" s="100">
        <v>997000000</v>
      </c>
      <c r="E11" s="100">
        <v>40</v>
      </c>
      <c r="F11" s="100">
        <v>398800000</v>
      </c>
      <c r="G11" s="100">
        <v>86140800</v>
      </c>
      <c r="H11" s="101">
        <v>99176000</v>
      </c>
      <c r="I11" s="101">
        <v>169000000</v>
      </c>
      <c r="J11" s="99" t="s">
        <v>604</v>
      </c>
      <c r="K11" s="100">
        <f>+'Railway calculations'!O3</f>
        <v>907386</v>
      </c>
      <c r="L11" s="102">
        <f>+'Railway calculations'!N3</f>
        <v>6.4400000000000546</v>
      </c>
      <c r="M11" s="100">
        <f>+'Railway calculations'!R3</f>
        <v>546.92046250000431</v>
      </c>
      <c r="N11" s="100">
        <f>+'Railway calculations'!D3</f>
        <v>27.1</v>
      </c>
      <c r="O11" s="173" t="s">
        <v>603</v>
      </c>
    </row>
    <row r="12" spans="2:18" ht="55.2" x14ac:dyDescent="0.25">
      <c r="B12" s="164" t="s">
        <v>259</v>
      </c>
      <c r="C12" s="158" t="s">
        <v>396</v>
      </c>
      <c r="D12" s="159">
        <v>221556358</v>
      </c>
      <c r="E12" s="159">
        <v>52.601393637279415</v>
      </c>
      <c r="F12" s="159">
        <v>116541732</v>
      </c>
      <c r="G12" s="159">
        <v>116541732</v>
      </c>
      <c r="H12" s="162">
        <v>33137649</v>
      </c>
      <c r="I12" s="162">
        <v>12542415.869999999</v>
      </c>
      <c r="J12" s="158">
        <v>30</v>
      </c>
      <c r="K12" s="159">
        <f>+'Railway calculations'!O4</f>
        <v>0</v>
      </c>
      <c r="L12" s="97">
        <f>+'Railway calculations'!N4</f>
        <v>93.999999999999972</v>
      </c>
      <c r="M12" s="159">
        <f>+'Railway calculations'!R4</f>
        <v>3618.9999999999991</v>
      </c>
      <c r="N12" s="158"/>
      <c r="O12" s="133" t="s">
        <v>600</v>
      </c>
    </row>
    <row r="13" spans="2:18" ht="82.8" x14ac:dyDescent="0.25">
      <c r="B13" s="174" t="s">
        <v>260</v>
      </c>
      <c r="C13" s="175" t="s">
        <v>397</v>
      </c>
      <c r="D13" s="176">
        <v>74546082</v>
      </c>
      <c r="E13" s="159">
        <v>31.278063681468865</v>
      </c>
      <c r="F13" s="159">
        <v>23316571</v>
      </c>
      <c r="G13" s="159">
        <v>23316571</v>
      </c>
      <c r="H13" s="162">
        <v>3760684</v>
      </c>
      <c r="I13" s="162">
        <v>9247467</v>
      </c>
      <c r="J13" s="160">
        <v>30</v>
      </c>
      <c r="K13" s="159">
        <f>+'Railway calculations'!O5</f>
        <v>160799</v>
      </c>
      <c r="L13" s="97">
        <f>+'Railway calculations'!N5</f>
        <v>25.11</v>
      </c>
      <c r="M13" s="159">
        <f>+'Railway calculations'!R5</f>
        <v>975.77994375000003</v>
      </c>
      <c r="N13" s="177"/>
      <c r="O13" s="133" t="s">
        <v>593</v>
      </c>
    </row>
    <row r="14" spans="2:18" ht="69" x14ac:dyDescent="0.25">
      <c r="B14" s="174" t="s">
        <v>261</v>
      </c>
      <c r="C14" s="175" t="s">
        <v>398</v>
      </c>
      <c r="D14" s="176">
        <v>102841438</v>
      </c>
      <c r="E14" s="159">
        <v>11.91977401171695</v>
      </c>
      <c r="F14" s="159">
        <v>12258467</v>
      </c>
      <c r="G14" s="159">
        <v>12258467</v>
      </c>
      <c r="H14" s="162">
        <v>0</v>
      </c>
      <c r="I14" s="162">
        <v>11471839</v>
      </c>
      <c r="J14" s="160">
        <v>30</v>
      </c>
      <c r="K14" s="159">
        <f>+'Railway calculations'!O6</f>
        <v>0</v>
      </c>
      <c r="L14" s="97">
        <f>+'Railway calculations'!N6</f>
        <v>44.744</v>
      </c>
      <c r="M14" s="159">
        <f>+'Railway calculations'!R6</f>
        <v>1722.644</v>
      </c>
      <c r="N14" s="177"/>
      <c r="O14" s="133" t="s">
        <v>594</v>
      </c>
    </row>
    <row r="15" spans="2:18" ht="69" x14ac:dyDescent="0.25">
      <c r="B15" s="174" t="s">
        <v>262</v>
      </c>
      <c r="C15" s="175" t="s">
        <v>399</v>
      </c>
      <c r="D15" s="176">
        <v>73444746.659999996</v>
      </c>
      <c r="E15" s="159">
        <v>7.4600434328736238</v>
      </c>
      <c r="F15" s="159">
        <v>5479010</v>
      </c>
      <c r="G15" s="159">
        <v>5479010</v>
      </c>
      <c r="H15" s="162">
        <v>0</v>
      </c>
      <c r="I15" s="162">
        <v>3300000</v>
      </c>
      <c r="J15" s="160">
        <v>30</v>
      </c>
      <c r="K15" s="159">
        <f>+'Railway calculations'!O7</f>
        <v>0</v>
      </c>
      <c r="L15" s="97">
        <f>+'Railway calculations'!N7</f>
        <v>48.399799999999999</v>
      </c>
      <c r="M15" s="159">
        <f>+'Railway calculations'!R7</f>
        <v>1863.3923</v>
      </c>
      <c r="N15" s="177"/>
      <c r="O15" s="133" t="s">
        <v>595</v>
      </c>
    </row>
    <row r="16" spans="2:18" ht="96.6" x14ac:dyDescent="0.25">
      <c r="B16" s="178" t="s">
        <v>263</v>
      </c>
      <c r="C16" s="179" t="s">
        <v>400</v>
      </c>
      <c r="D16" s="155">
        <v>273464402</v>
      </c>
      <c r="E16" s="159">
        <v>41.480601193569612</v>
      </c>
      <c r="F16" s="159">
        <v>113434678</v>
      </c>
      <c r="G16" s="159">
        <v>113434678</v>
      </c>
      <c r="H16" s="162">
        <v>6083255</v>
      </c>
      <c r="I16" s="162">
        <v>14342293</v>
      </c>
      <c r="J16" s="160">
        <v>30</v>
      </c>
      <c r="K16" s="159">
        <f>+'Railway calculations'!O8</f>
        <v>342860</v>
      </c>
      <c r="L16" s="97">
        <f>+'Railway calculations'!N8</f>
        <v>49.239999999999995</v>
      </c>
      <c r="M16" s="159">
        <f>+'Railway calculations'!R8</f>
        <v>1915.0258749999998</v>
      </c>
      <c r="N16" s="177"/>
      <c r="O16" s="133" t="s">
        <v>596</v>
      </c>
    </row>
    <row r="17" spans="2:15" ht="27.6" x14ac:dyDescent="0.25">
      <c r="B17" s="178" t="s">
        <v>264</v>
      </c>
      <c r="C17" s="179" t="s">
        <v>401</v>
      </c>
      <c r="D17" s="155">
        <v>93237912</v>
      </c>
      <c r="E17" s="159">
        <v>47.926096843524341</v>
      </c>
      <c r="F17" s="159">
        <v>44685292</v>
      </c>
      <c r="G17" s="159">
        <v>44685292</v>
      </c>
      <c r="H17" s="162">
        <v>425803</v>
      </c>
      <c r="I17" s="162">
        <v>3649652</v>
      </c>
      <c r="J17" s="160">
        <v>30</v>
      </c>
      <c r="K17" s="159">
        <f>+'Railway calculations'!O9</f>
        <v>0</v>
      </c>
      <c r="L17" s="97">
        <f>+'Railway calculations'!N9</f>
        <v>13.600000000000001</v>
      </c>
      <c r="M17" s="159">
        <f>+'Railway calculations'!R9</f>
        <v>523.60000000000014</v>
      </c>
      <c r="N17" s="177"/>
      <c r="O17" s="133" t="s">
        <v>597</v>
      </c>
    </row>
    <row r="18" spans="2:15" ht="41.4" x14ac:dyDescent="0.25">
      <c r="B18" s="178" t="s">
        <v>390</v>
      </c>
      <c r="C18" s="179" t="s">
        <v>391</v>
      </c>
      <c r="D18" s="155">
        <v>21048369</v>
      </c>
      <c r="E18" s="159">
        <v>47.082645690979668</v>
      </c>
      <c r="F18" s="159">
        <v>9910129</v>
      </c>
      <c r="G18" s="159">
        <v>9910129</v>
      </c>
      <c r="H18" s="162">
        <v>1327205</v>
      </c>
      <c r="I18" s="162">
        <v>466122.26</v>
      </c>
      <c r="J18" s="160">
        <v>30</v>
      </c>
      <c r="K18" s="159">
        <f>+'Railway calculations'!O10</f>
        <v>17145728</v>
      </c>
      <c r="L18" s="97">
        <f>+'Railway calculations'!N10</f>
        <v>160.94999999999993</v>
      </c>
      <c r="M18" s="159">
        <f>+'Railway calculations'!R10</f>
        <v>3580.5110999999988</v>
      </c>
      <c r="N18" s="177"/>
      <c r="O18" s="133" t="s">
        <v>598</v>
      </c>
    </row>
    <row r="19" spans="2:15" ht="27.6" x14ac:dyDescent="0.25">
      <c r="B19" s="178" t="s">
        <v>392</v>
      </c>
      <c r="C19" s="179" t="s">
        <v>402</v>
      </c>
      <c r="D19" s="155">
        <v>64629455</v>
      </c>
      <c r="E19" s="159">
        <v>30.515974488721898</v>
      </c>
      <c r="F19" s="159">
        <v>19722308</v>
      </c>
      <c r="G19" s="159">
        <v>19722308</v>
      </c>
      <c r="H19" s="162">
        <v>3352195</v>
      </c>
      <c r="I19" s="162">
        <v>1668178</v>
      </c>
      <c r="J19" s="160">
        <v>30</v>
      </c>
      <c r="K19" s="159">
        <f>+'Railway calculations'!O11</f>
        <v>0</v>
      </c>
      <c r="L19" s="97">
        <f>+'Railway calculations'!N11</f>
        <v>28.549999999999997</v>
      </c>
      <c r="M19" s="159">
        <f>+'Railway calculations'!R11</f>
        <v>1099.175</v>
      </c>
      <c r="N19" s="177"/>
      <c r="O19" s="133" t="s">
        <v>599</v>
      </c>
    </row>
    <row r="20" spans="2:15" ht="138" x14ac:dyDescent="0.25">
      <c r="B20" s="178" t="s">
        <v>151</v>
      </c>
      <c r="C20" s="179" t="s">
        <v>152</v>
      </c>
      <c r="D20" s="155">
        <v>2888735</v>
      </c>
      <c r="E20" s="159">
        <v>12.403733814282029</v>
      </c>
      <c r="F20" s="159">
        <v>358311</v>
      </c>
      <c r="G20" s="159">
        <v>358311</v>
      </c>
      <c r="H20" s="162">
        <v>64226.05</v>
      </c>
      <c r="I20" s="162">
        <v>108617.75</v>
      </c>
      <c r="J20" s="160">
        <v>8</v>
      </c>
      <c r="K20" s="349">
        <f>183030236*0.01</f>
        <v>1830302.36</v>
      </c>
      <c r="L20" s="366"/>
      <c r="M20" s="349">
        <f>+K20*0.128/1000</f>
        <v>234.27870208000002</v>
      </c>
      <c r="N20" s="177"/>
      <c r="O20" s="133" t="s">
        <v>512</v>
      </c>
    </row>
    <row r="21" spans="2:15" ht="138" x14ac:dyDescent="0.25">
      <c r="B21" s="180" t="s">
        <v>265</v>
      </c>
      <c r="C21" s="179" t="s">
        <v>146</v>
      </c>
      <c r="D21" s="155">
        <v>10708251</v>
      </c>
      <c r="E21" s="159">
        <v>14.429135066034593</v>
      </c>
      <c r="F21" s="159">
        <v>1545108</v>
      </c>
      <c r="G21" s="159">
        <v>1545108</v>
      </c>
      <c r="H21" s="162">
        <v>890136</v>
      </c>
      <c r="I21" s="162">
        <v>100955.32</v>
      </c>
      <c r="J21" s="160">
        <v>30</v>
      </c>
      <c r="K21" s="350"/>
      <c r="L21" s="367"/>
      <c r="M21" s="350"/>
      <c r="N21" s="177">
        <v>65</v>
      </c>
      <c r="O21" s="181" t="s">
        <v>513</v>
      </c>
    </row>
    <row r="22" spans="2:15" ht="138" x14ac:dyDescent="0.25">
      <c r="B22" s="180" t="s">
        <v>266</v>
      </c>
      <c r="C22" s="179" t="s">
        <v>147</v>
      </c>
      <c r="D22" s="155">
        <v>16358478</v>
      </c>
      <c r="E22" s="159">
        <v>5.8708151210644415</v>
      </c>
      <c r="F22" s="159">
        <v>960376</v>
      </c>
      <c r="G22" s="159">
        <v>960376</v>
      </c>
      <c r="H22" s="162">
        <f>+D41</f>
        <v>225914.02</v>
      </c>
      <c r="I22" s="162">
        <f>+E41</f>
        <v>194098.48</v>
      </c>
      <c r="J22" s="160">
        <v>30</v>
      </c>
      <c r="K22" s="350"/>
      <c r="L22" s="367"/>
      <c r="M22" s="350"/>
      <c r="N22" s="177">
        <v>23</v>
      </c>
      <c r="O22" s="181" t="s">
        <v>514</v>
      </c>
    </row>
    <row r="23" spans="2:15" ht="138" x14ac:dyDescent="0.25">
      <c r="B23" s="180" t="s">
        <v>267</v>
      </c>
      <c r="C23" s="179" t="s">
        <v>148</v>
      </c>
      <c r="D23" s="155">
        <v>11554478</v>
      </c>
      <c r="E23" s="159">
        <v>8.245573707440526</v>
      </c>
      <c r="F23" s="159">
        <v>952733</v>
      </c>
      <c r="G23" s="159">
        <v>952733</v>
      </c>
      <c r="H23" s="162">
        <v>634393</v>
      </c>
      <c r="I23" s="162">
        <f>+E50</f>
        <v>140577.43</v>
      </c>
      <c r="J23" s="160">
        <v>30</v>
      </c>
      <c r="K23" s="350"/>
      <c r="L23" s="367"/>
      <c r="M23" s="350"/>
      <c r="N23" s="177">
        <v>11</v>
      </c>
      <c r="O23" s="181" t="s">
        <v>515</v>
      </c>
    </row>
    <row r="24" spans="2:15" ht="124.2" x14ac:dyDescent="0.25">
      <c r="B24" s="180" t="s">
        <v>268</v>
      </c>
      <c r="C24" s="179" t="s">
        <v>149</v>
      </c>
      <c r="D24" s="155">
        <v>105368157</v>
      </c>
      <c r="E24" s="159">
        <v>33.724017778919681</v>
      </c>
      <c r="F24" s="159">
        <v>35534376</v>
      </c>
      <c r="G24" s="159">
        <v>35534376</v>
      </c>
      <c r="H24" s="162">
        <v>0</v>
      </c>
      <c r="I24" s="162">
        <v>1345222</v>
      </c>
      <c r="J24" s="160">
        <v>30</v>
      </c>
      <c r="K24" s="350"/>
      <c r="L24" s="367"/>
      <c r="M24" s="350"/>
      <c r="N24" s="177">
        <v>173</v>
      </c>
      <c r="O24" s="181" t="s">
        <v>516</v>
      </c>
    </row>
    <row r="25" spans="2:15" ht="124.8" thickBot="1" x14ac:dyDescent="0.3">
      <c r="B25" s="182" t="s">
        <v>269</v>
      </c>
      <c r="C25" s="183" t="s">
        <v>150</v>
      </c>
      <c r="D25" s="156">
        <v>82616501</v>
      </c>
      <c r="E25" s="161">
        <v>10.502777163123865</v>
      </c>
      <c r="F25" s="161">
        <v>8677027</v>
      </c>
      <c r="G25" s="161">
        <v>8677027</v>
      </c>
      <c r="H25" s="163">
        <f>+D90</f>
        <v>99538.81</v>
      </c>
      <c r="I25" s="163">
        <f>+E90</f>
        <v>966192.22999999986</v>
      </c>
      <c r="J25" s="160">
        <v>30</v>
      </c>
      <c r="K25" s="351"/>
      <c r="L25" s="368"/>
      <c r="M25" s="351"/>
      <c r="N25" s="184">
        <v>63</v>
      </c>
      <c r="O25" s="181" t="s">
        <v>517</v>
      </c>
    </row>
    <row r="26" spans="2:15" x14ac:dyDescent="0.25">
      <c r="B26" s="66"/>
      <c r="C26" s="66"/>
      <c r="D26" s="70"/>
      <c r="E26" s="70"/>
      <c r="F26" s="70"/>
      <c r="G26" s="70"/>
      <c r="H26" s="70">
        <f>SUM(H11:H25)</f>
        <v>149176998.88000003</v>
      </c>
      <c r="I26" s="70">
        <f>SUM(I11:I25)</f>
        <v>228543630.33999997</v>
      </c>
      <c r="J26" s="66"/>
      <c r="K26" s="71" cm="1">
        <f t="array" ref="K26">SUM(K11:K25+K4)</f>
        <v>20387075.359999999</v>
      </c>
      <c r="L26" s="267">
        <f>SUM(L11:L25)</f>
        <v>471.03379999999999</v>
      </c>
      <c r="M26" s="71">
        <f>SUM(M11:M25)</f>
        <v>16080.327383330003</v>
      </c>
      <c r="N26" s="71">
        <f>SUM(N11:N25)</f>
        <v>362.1</v>
      </c>
      <c r="O26" s="66"/>
    </row>
    <row r="27" spans="2:15" x14ac:dyDescent="0.25">
      <c r="B27" s="66"/>
      <c r="C27" s="66"/>
      <c r="D27" s="70"/>
      <c r="E27" s="70"/>
      <c r="F27" s="70"/>
      <c r="G27" s="70"/>
      <c r="H27" s="71">
        <f>+H26+H4</f>
        <v>163177998.88000003</v>
      </c>
      <c r="I27" s="71">
        <f>+I26+I4</f>
        <v>242544630.33999997</v>
      </c>
      <c r="J27" s="66"/>
      <c r="K27" s="66"/>
      <c r="L27" s="66"/>
      <c r="M27" s="70"/>
      <c r="N27" s="66"/>
      <c r="O27" s="66"/>
    </row>
    <row r="28" spans="2:15" x14ac:dyDescent="0.25">
      <c r="B28" s="66"/>
      <c r="C28" s="66"/>
      <c r="D28" s="70"/>
      <c r="E28" s="70"/>
      <c r="F28" s="70"/>
      <c r="G28" s="70"/>
      <c r="H28" s="70"/>
      <c r="I28" s="70"/>
      <c r="J28" s="66"/>
      <c r="K28" s="66"/>
      <c r="L28" s="66"/>
      <c r="M28" s="70"/>
      <c r="N28" s="66"/>
      <c r="O28" s="66"/>
    </row>
    <row r="30" spans="2:15" ht="14.4" x14ac:dyDescent="0.25">
      <c r="B30" s="59" t="s">
        <v>270</v>
      </c>
      <c r="C30" s="60" t="s">
        <v>387</v>
      </c>
      <c r="D30" s="87" t="s">
        <v>271</v>
      </c>
      <c r="E30" s="87" t="s">
        <v>272</v>
      </c>
      <c r="F30" s="364" t="s">
        <v>386</v>
      </c>
      <c r="G30" s="365"/>
    </row>
    <row r="31" spans="2:15" ht="28.8" x14ac:dyDescent="0.25">
      <c r="B31" s="62" t="s">
        <v>273</v>
      </c>
      <c r="C31" s="63" t="s">
        <v>274</v>
      </c>
      <c r="D31" s="88">
        <v>480366</v>
      </c>
      <c r="E31" s="88">
        <v>50836.65</v>
      </c>
      <c r="F31" s="352" t="s">
        <v>275</v>
      </c>
      <c r="G31" s="353"/>
    </row>
    <row r="32" spans="2:15" ht="43.2" x14ac:dyDescent="0.25">
      <c r="B32" s="62" t="s">
        <v>276</v>
      </c>
      <c r="C32" s="63" t="s">
        <v>277</v>
      </c>
      <c r="D32" s="88">
        <v>115312.65</v>
      </c>
      <c r="E32" s="88">
        <v>0</v>
      </c>
      <c r="F32" s="354"/>
      <c r="G32" s="355"/>
    </row>
    <row r="33" spans="2:7" ht="28.8" x14ac:dyDescent="0.25">
      <c r="B33" s="62" t="s">
        <v>278</v>
      </c>
      <c r="C33" s="63" t="s">
        <v>279</v>
      </c>
      <c r="D33" s="88">
        <v>294458</v>
      </c>
      <c r="E33" s="88">
        <v>0</v>
      </c>
      <c r="F33" s="354"/>
      <c r="G33" s="355"/>
    </row>
    <row r="34" spans="2:7" ht="14.4" x14ac:dyDescent="0.25">
      <c r="B34" s="62" t="s">
        <v>280</v>
      </c>
      <c r="C34" s="63" t="s">
        <v>281</v>
      </c>
      <c r="D34" s="88">
        <v>0</v>
      </c>
      <c r="E34" s="88">
        <v>13349.79</v>
      </c>
      <c r="F34" s="354"/>
      <c r="G34" s="355"/>
    </row>
    <row r="35" spans="2:7" ht="28.8" x14ac:dyDescent="0.25">
      <c r="B35" s="62" t="s">
        <v>282</v>
      </c>
      <c r="C35" s="63" t="s">
        <v>283</v>
      </c>
      <c r="D35" s="88">
        <v>0</v>
      </c>
      <c r="E35" s="88">
        <v>36768.879999999997</v>
      </c>
      <c r="F35" s="354"/>
      <c r="G35" s="355"/>
    </row>
    <row r="36" spans="2:7" ht="14.4" x14ac:dyDescent="0.25">
      <c r="B36" s="64"/>
      <c r="C36" s="65"/>
      <c r="D36" s="89">
        <f>SUM(D31:D35)</f>
        <v>890136.65</v>
      </c>
      <c r="E36" s="89">
        <f>SUM(E31:E35)</f>
        <v>100955.32</v>
      </c>
      <c r="F36" s="356"/>
      <c r="G36" s="357"/>
    </row>
    <row r="37" spans="2:7" ht="28.8" x14ac:dyDescent="0.25">
      <c r="B37" s="62" t="s">
        <v>284</v>
      </c>
      <c r="C37" s="63" t="s">
        <v>285</v>
      </c>
      <c r="D37" s="88">
        <v>54681.53</v>
      </c>
      <c r="E37" s="88">
        <v>0</v>
      </c>
      <c r="F37" s="352" t="s">
        <v>286</v>
      </c>
      <c r="G37" s="353"/>
    </row>
    <row r="38" spans="2:7" ht="43.2" x14ac:dyDescent="0.25">
      <c r="B38" s="62" t="s">
        <v>287</v>
      </c>
      <c r="C38" s="63" t="s">
        <v>288</v>
      </c>
      <c r="D38" s="88">
        <v>9147.16</v>
      </c>
      <c r="E38" s="88">
        <v>0</v>
      </c>
      <c r="F38" s="354"/>
      <c r="G38" s="355"/>
    </row>
    <row r="39" spans="2:7" ht="57.6" x14ac:dyDescent="0.25">
      <c r="B39" s="62" t="s">
        <v>289</v>
      </c>
      <c r="C39" s="63" t="s">
        <v>290</v>
      </c>
      <c r="D39" s="88">
        <v>162085.32999999999</v>
      </c>
      <c r="E39" s="88">
        <v>133763.38</v>
      </c>
      <c r="F39" s="354"/>
      <c r="G39" s="355"/>
    </row>
    <row r="40" spans="2:7" ht="43.2" x14ac:dyDescent="0.25">
      <c r="B40" s="62" t="s">
        <v>291</v>
      </c>
      <c r="C40" s="63" t="s">
        <v>292</v>
      </c>
      <c r="D40" s="88">
        <v>0</v>
      </c>
      <c r="E40" s="88">
        <v>60335.1</v>
      </c>
      <c r="F40" s="354"/>
      <c r="G40" s="355"/>
    </row>
    <row r="41" spans="2:7" ht="14.4" x14ac:dyDescent="0.25">
      <c r="B41" s="64"/>
      <c r="C41" s="65"/>
      <c r="D41" s="89">
        <f>SUM(D37:D40)</f>
        <v>225914.02</v>
      </c>
      <c r="E41" s="89">
        <f>SUM(E37:E40)</f>
        <v>194098.48</v>
      </c>
      <c r="F41" s="356"/>
      <c r="G41" s="357"/>
    </row>
    <row r="42" spans="2:7" ht="28.8" x14ac:dyDescent="0.25">
      <c r="B42" s="62" t="s">
        <v>293</v>
      </c>
      <c r="C42" s="63" t="s">
        <v>294</v>
      </c>
      <c r="D42" s="88">
        <v>8239.0499999999993</v>
      </c>
      <c r="E42" s="88">
        <v>0</v>
      </c>
      <c r="F42" s="352" t="s">
        <v>295</v>
      </c>
      <c r="G42" s="353"/>
    </row>
    <row r="43" spans="2:7" ht="43.2" x14ac:dyDescent="0.25">
      <c r="B43" s="62" t="s">
        <v>296</v>
      </c>
      <c r="C43" s="63" t="s">
        <v>297</v>
      </c>
      <c r="D43" s="88">
        <v>279354</v>
      </c>
      <c r="E43" s="88">
        <v>182.83</v>
      </c>
      <c r="F43" s="354"/>
      <c r="G43" s="355"/>
    </row>
    <row r="44" spans="2:7" ht="57.6" x14ac:dyDescent="0.25">
      <c r="B44" s="62" t="s">
        <v>298</v>
      </c>
      <c r="C44" s="63" t="s">
        <v>299</v>
      </c>
      <c r="D44" s="88">
        <v>230811</v>
      </c>
      <c r="E44" s="88">
        <v>54501.96</v>
      </c>
      <c r="F44" s="354"/>
      <c r="G44" s="355"/>
    </row>
    <row r="45" spans="2:7" ht="28.8" x14ac:dyDescent="0.25">
      <c r="B45" s="62" t="s">
        <v>300</v>
      </c>
      <c r="C45" s="63" t="s">
        <v>301</v>
      </c>
      <c r="D45" s="88">
        <v>36353.81</v>
      </c>
      <c r="E45" s="88">
        <v>0</v>
      </c>
      <c r="F45" s="354"/>
      <c r="G45" s="355"/>
    </row>
    <row r="46" spans="2:7" ht="28.8" x14ac:dyDescent="0.25">
      <c r="B46" s="62" t="s">
        <v>302</v>
      </c>
      <c r="C46" s="63" t="s">
        <v>303</v>
      </c>
      <c r="D46" s="88">
        <v>51335</v>
      </c>
      <c r="E46" s="88">
        <v>0</v>
      </c>
      <c r="F46" s="354"/>
      <c r="G46" s="355"/>
    </row>
    <row r="47" spans="2:7" ht="28.8" x14ac:dyDescent="0.25">
      <c r="B47" s="62" t="s">
        <v>304</v>
      </c>
      <c r="C47" s="63" t="s">
        <v>305</v>
      </c>
      <c r="D47" s="88">
        <v>28300.5</v>
      </c>
      <c r="E47" s="88">
        <v>0</v>
      </c>
      <c r="F47" s="354"/>
      <c r="G47" s="355"/>
    </row>
    <row r="48" spans="2:7" ht="28.8" x14ac:dyDescent="0.25">
      <c r="B48" s="62" t="s">
        <v>306</v>
      </c>
      <c r="C48" s="63" t="s">
        <v>307</v>
      </c>
      <c r="D48" s="88">
        <v>0</v>
      </c>
      <c r="E48" s="88">
        <v>8377.85</v>
      </c>
      <c r="F48" s="354"/>
      <c r="G48" s="355"/>
    </row>
    <row r="49" spans="2:7" ht="28.8" x14ac:dyDescent="0.25">
      <c r="B49" s="62" t="s">
        <v>308</v>
      </c>
      <c r="C49" s="63" t="s">
        <v>309</v>
      </c>
      <c r="D49" s="88">
        <v>0</v>
      </c>
      <c r="E49" s="88">
        <v>77514.789999999994</v>
      </c>
      <c r="F49" s="354"/>
      <c r="G49" s="355"/>
    </row>
    <row r="50" spans="2:7" ht="14.4" x14ac:dyDescent="0.25">
      <c r="B50" s="64"/>
      <c r="C50" s="65"/>
      <c r="D50" s="89">
        <f>SUM(D42:D49)</f>
        <v>634393.36</v>
      </c>
      <c r="E50" s="89">
        <f>SUM(E42:E49)</f>
        <v>140577.43</v>
      </c>
      <c r="F50" s="356"/>
      <c r="G50" s="357"/>
    </row>
    <row r="51" spans="2:7" ht="28.8" x14ac:dyDescent="0.25">
      <c r="B51" s="62" t="s">
        <v>310</v>
      </c>
      <c r="C51" s="63" t="s">
        <v>311</v>
      </c>
      <c r="D51" s="88">
        <v>0</v>
      </c>
      <c r="E51" s="88">
        <v>18748.32</v>
      </c>
      <c r="F51" s="352" t="s">
        <v>312</v>
      </c>
      <c r="G51" s="353"/>
    </row>
    <row r="52" spans="2:7" ht="28.8" x14ac:dyDescent="0.25">
      <c r="B52" s="62" t="s">
        <v>313</v>
      </c>
      <c r="C52" s="63" t="s">
        <v>314</v>
      </c>
      <c r="D52" s="88">
        <v>0</v>
      </c>
      <c r="E52" s="88">
        <v>23092.240000000002</v>
      </c>
      <c r="F52" s="354"/>
      <c r="G52" s="355"/>
    </row>
    <row r="53" spans="2:7" ht="43.2" x14ac:dyDescent="0.25">
      <c r="B53" s="62" t="s">
        <v>315</v>
      </c>
      <c r="C53" s="63" t="s">
        <v>316</v>
      </c>
      <c r="D53" s="88">
        <v>0</v>
      </c>
      <c r="E53" s="88">
        <f>53344.01+289370.81</f>
        <v>342714.82</v>
      </c>
      <c r="F53" s="354"/>
      <c r="G53" s="355"/>
    </row>
    <row r="54" spans="2:7" ht="28.8" x14ac:dyDescent="0.25">
      <c r="B54" s="62" t="s">
        <v>317</v>
      </c>
      <c r="C54" s="63" t="s">
        <v>318</v>
      </c>
      <c r="D54" s="88">
        <v>0</v>
      </c>
      <c r="E54" s="88">
        <v>113355</v>
      </c>
      <c r="F54" s="354"/>
      <c r="G54" s="355"/>
    </row>
    <row r="55" spans="2:7" ht="28.8" x14ac:dyDescent="0.25">
      <c r="B55" s="62" t="s">
        <v>319</v>
      </c>
      <c r="C55" s="63" t="s">
        <v>320</v>
      </c>
      <c r="D55" s="88">
        <v>0</v>
      </c>
      <c r="E55" s="88">
        <v>18595.490000000002</v>
      </c>
      <c r="F55" s="354"/>
      <c r="G55" s="355"/>
    </row>
    <row r="56" spans="2:7" ht="28.8" x14ac:dyDescent="0.25">
      <c r="B56" s="62" t="s">
        <v>321</v>
      </c>
      <c r="C56" s="63" t="s">
        <v>322</v>
      </c>
      <c r="D56" s="88">
        <v>0</v>
      </c>
      <c r="E56" s="88">
        <v>93663.78</v>
      </c>
      <c r="F56" s="354"/>
      <c r="G56" s="355"/>
    </row>
    <row r="57" spans="2:7" ht="43.2" x14ac:dyDescent="0.25">
      <c r="B57" s="62" t="s">
        <v>323</v>
      </c>
      <c r="C57" s="63" t="s">
        <v>324</v>
      </c>
      <c r="D57" s="88">
        <v>0</v>
      </c>
      <c r="E57" s="88">
        <v>7844.48</v>
      </c>
      <c r="F57" s="354"/>
      <c r="G57" s="355"/>
    </row>
    <row r="58" spans="2:7" ht="28.8" x14ac:dyDescent="0.25">
      <c r="B58" s="62" t="s">
        <v>325</v>
      </c>
      <c r="C58" s="63" t="s">
        <v>326</v>
      </c>
      <c r="D58" s="88">
        <v>0</v>
      </c>
      <c r="E58" s="88">
        <v>123204.9</v>
      </c>
      <c r="F58" s="354"/>
      <c r="G58" s="355"/>
    </row>
    <row r="59" spans="2:7" ht="28.8" x14ac:dyDescent="0.25">
      <c r="B59" s="62" t="s">
        <v>327</v>
      </c>
      <c r="C59" s="63" t="s">
        <v>328</v>
      </c>
      <c r="D59" s="88">
        <v>0</v>
      </c>
      <c r="E59" s="88">
        <v>19695.974000000002</v>
      </c>
      <c r="F59" s="354"/>
      <c r="G59" s="355"/>
    </row>
    <row r="60" spans="2:7" ht="28.8" x14ac:dyDescent="0.25">
      <c r="B60" s="62" t="s">
        <v>329</v>
      </c>
      <c r="C60" s="63" t="s">
        <v>330</v>
      </c>
      <c r="D60" s="88">
        <v>0</v>
      </c>
      <c r="E60" s="88">
        <v>30686.95</v>
      </c>
      <c r="F60" s="354"/>
      <c r="G60" s="355"/>
    </row>
    <row r="61" spans="2:7" ht="28.8" x14ac:dyDescent="0.25">
      <c r="B61" s="62" t="s">
        <v>331</v>
      </c>
      <c r="C61" s="63" t="s">
        <v>332</v>
      </c>
      <c r="D61" s="88">
        <v>0</v>
      </c>
      <c r="E61" s="88">
        <v>51029.89</v>
      </c>
      <c r="F61" s="354"/>
      <c r="G61" s="355"/>
    </row>
    <row r="62" spans="2:7" ht="43.2" x14ac:dyDescent="0.25">
      <c r="B62" s="62" t="s">
        <v>333</v>
      </c>
      <c r="C62" s="63" t="s">
        <v>334</v>
      </c>
      <c r="D62" s="88">
        <v>0</v>
      </c>
      <c r="E62" s="88">
        <v>135795.17000000001</v>
      </c>
      <c r="F62" s="354"/>
      <c r="G62" s="355"/>
    </row>
    <row r="63" spans="2:7" ht="28.8" x14ac:dyDescent="0.25">
      <c r="B63" s="62" t="s">
        <v>335</v>
      </c>
      <c r="C63" s="63" t="s">
        <v>336</v>
      </c>
      <c r="D63" s="88">
        <v>0</v>
      </c>
      <c r="E63" s="88">
        <v>68943.05</v>
      </c>
      <c r="F63" s="354"/>
      <c r="G63" s="355"/>
    </row>
    <row r="64" spans="2:7" ht="43.2" x14ac:dyDescent="0.25">
      <c r="B64" s="62" t="s">
        <v>337</v>
      </c>
      <c r="C64" s="63" t="s">
        <v>338</v>
      </c>
      <c r="D64" s="88">
        <v>0</v>
      </c>
      <c r="E64" s="88">
        <v>18785</v>
      </c>
      <c r="F64" s="354"/>
      <c r="G64" s="355"/>
    </row>
    <row r="65" spans="2:7" ht="28.8" x14ac:dyDescent="0.25">
      <c r="B65" s="62" t="s">
        <v>339</v>
      </c>
      <c r="C65" s="63" t="s">
        <v>340</v>
      </c>
      <c r="D65" s="88">
        <v>0</v>
      </c>
      <c r="E65" s="88">
        <v>61770</v>
      </c>
      <c r="F65" s="354"/>
      <c r="G65" s="355"/>
    </row>
    <row r="66" spans="2:7" ht="72" x14ac:dyDescent="0.25">
      <c r="B66" s="62" t="s">
        <v>341</v>
      </c>
      <c r="C66" s="63" t="s">
        <v>342</v>
      </c>
      <c r="D66" s="88">
        <v>0</v>
      </c>
      <c r="E66" s="88">
        <v>61971.1</v>
      </c>
      <c r="F66" s="354"/>
      <c r="G66" s="355"/>
    </row>
    <row r="67" spans="2:7" ht="72" x14ac:dyDescent="0.25">
      <c r="B67" s="62" t="s">
        <v>343</v>
      </c>
      <c r="C67" s="63" t="s">
        <v>344</v>
      </c>
      <c r="D67" s="88">
        <v>0</v>
      </c>
      <c r="E67" s="88">
        <v>28587.07</v>
      </c>
      <c r="F67" s="354"/>
      <c r="G67" s="355"/>
    </row>
    <row r="68" spans="2:7" ht="72" x14ac:dyDescent="0.25">
      <c r="B68" s="62" t="s">
        <v>345</v>
      </c>
      <c r="C68" s="63" t="s">
        <v>346</v>
      </c>
      <c r="D68" s="88">
        <v>0</v>
      </c>
      <c r="E68" s="88">
        <v>34815.49</v>
      </c>
      <c r="F68" s="354"/>
      <c r="G68" s="355"/>
    </row>
    <row r="69" spans="2:7" ht="57.6" x14ac:dyDescent="0.25">
      <c r="B69" s="62" t="s">
        <v>347</v>
      </c>
      <c r="C69" s="63" t="s">
        <v>348</v>
      </c>
      <c r="D69" s="88">
        <v>0</v>
      </c>
      <c r="E69" s="88">
        <v>24502.71</v>
      </c>
      <c r="F69" s="354"/>
      <c r="G69" s="355"/>
    </row>
    <row r="70" spans="2:7" ht="57.6" x14ac:dyDescent="0.25">
      <c r="B70" s="62" t="s">
        <v>349</v>
      </c>
      <c r="C70" s="63" t="s">
        <v>350</v>
      </c>
      <c r="D70" s="88">
        <v>0</v>
      </c>
      <c r="E70" s="88">
        <v>13950.03</v>
      </c>
      <c r="F70" s="354"/>
      <c r="G70" s="355"/>
    </row>
    <row r="71" spans="2:7" ht="57.6" x14ac:dyDescent="0.25">
      <c r="B71" s="62" t="s">
        <v>351</v>
      </c>
      <c r="C71" s="63" t="s">
        <v>352</v>
      </c>
      <c r="D71" s="88">
        <v>0</v>
      </c>
      <c r="E71" s="88">
        <v>43691.94</v>
      </c>
      <c r="F71" s="354"/>
      <c r="G71" s="355"/>
    </row>
    <row r="72" spans="2:7" ht="43.2" x14ac:dyDescent="0.25">
      <c r="B72" s="62" t="s">
        <v>353</v>
      </c>
      <c r="C72" s="63" t="s">
        <v>354</v>
      </c>
      <c r="D72" s="88">
        <v>0</v>
      </c>
      <c r="E72" s="88">
        <v>4377.7700000000004</v>
      </c>
      <c r="F72" s="354"/>
      <c r="G72" s="355"/>
    </row>
    <row r="73" spans="2:7" ht="14.4" x14ac:dyDescent="0.25">
      <c r="B73" s="218" t="s">
        <v>355</v>
      </c>
      <c r="C73" s="219" t="s">
        <v>356</v>
      </c>
      <c r="D73" s="220">
        <v>0</v>
      </c>
      <c r="E73" s="220">
        <v>0</v>
      </c>
      <c r="F73" s="354"/>
      <c r="G73" s="355"/>
    </row>
    <row r="74" spans="2:7" ht="14.4" x14ac:dyDescent="0.25">
      <c r="B74" s="62" t="s">
        <v>357</v>
      </c>
      <c r="C74" s="63" t="s">
        <v>358</v>
      </c>
      <c r="D74" s="88">
        <v>0</v>
      </c>
      <c r="E74" s="88">
        <v>5401</v>
      </c>
      <c r="F74" s="354"/>
      <c r="G74" s="355"/>
    </row>
    <row r="75" spans="2:7" ht="14.4" x14ac:dyDescent="0.25">
      <c r="B75" s="64"/>
      <c r="C75" s="65"/>
      <c r="D75" s="89">
        <f>SUM(D51:D74)</f>
        <v>0</v>
      </c>
      <c r="E75" s="89">
        <f>SUM(E51:E74)</f>
        <v>1345222.1740000003</v>
      </c>
      <c r="F75" s="356"/>
      <c r="G75" s="357"/>
    </row>
    <row r="76" spans="2:7" ht="86.4" x14ac:dyDescent="0.25">
      <c r="B76" s="62" t="s">
        <v>359</v>
      </c>
      <c r="C76" s="63" t="s">
        <v>360</v>
      </c>
      <c r="D76" s="88">
        <v>39279.339999999997</v>
      </c>
      <c r="E76" s="88">
        <v>126656.01</v>
      </c>
      <c r="F76" s="352" t="s">
        <v>361</v>
      </c>
      <c r="G76" s="353"/>
    </row>
    <row r="77" spans="2:7" ht="43.2" x14ac:dyDescent="0.25">
      <c r="B77" s="62" t="s">
        <v>362</v>
      </c>
      <c r="C77" s="63" t="s">
        <v>363</v>
      </c>
      <c r="D77" s="88">
        <v>60259.47</v>
      </c>
      <c r="E77" s="88">
        <v>44250.47</v>
      </c>
      <c r="F77" s="354"/>
      <c r="G77" s="355"/>
    </row>
    <row r="78" spans="2:7" ht="28.8" x14ac:dyDescent="0.25">
      <c r="B78" s="62" t="s">
        <v>364</v>
      </c>
      <c r="C78" s="63" t="s">
        <v>365</v>
      </c>
      <c r="D78" s="88">
        <v>0</v>
      </c>
      <c r="E78" s="88">
        <v>19511.87</v>
      </c>
      <c r="F78" s="354"/>
      <c r="G78" s="355"/>
    </row>
    <row r="79" spans="2:7" ht="28.8" x14ac:dyDescent="0.25">
      <c r="B79" s="62" t="s">
        <v>366</v>
      </c>
      <c r="C79" s="63" t="s">
        <v>367</v>
      </c>
      <c r="D79" s="88">
        <v>0</v>
      </c>
      <c r="E79" s="88">
        <v>37796.83</v>
      </c>
      <c r="F79" s="354"/>
      <c r="G79" s="355"/>
    </row>
    <row r="80" spans="2:7" ht="28.8" x14ac:dyDescent="0.25">
      <c r="B80" s="62" t="s">
        <v>368</v>
      </c>
      <c r="C80" s="63" t="s">
        <v>369</v>
      </c>
      <c r="D80" s="88">
        <v>0</v>
      </c>
      <c r="E80" s="88">
        <v>151341.66</v>
      </c>
      <c r="F80" s="354"/>
      <c r="G80" s="355"/>
    </row>
    <row r="81" spans="2:7" ht="72" x14ac:dyDescent="0.25">
      <c r="B81" s="62" t="s">
        <v>370</v>
      </c>
      <c r="C81" s="63" t="s">
        <v>371</v>
      </c>
      <c r="D81" s="88">
        <v>0</v>
      </c>
      <c r="E81" s="88">
        <v>133021.44</v>
      </c>
      <c r="F81" s="354"/>
      <c r="G81" s="355"/>
    </row>
    <row r="82" spans="2:7" ht="28.8" x14ac:dyDescent="0.25">
      <c r="B82" s="62" t="s">
        <v>372</v>
      </c>
      <c r="C82" s="63" t="s">
        <v>373</v>
      </c>
      <c r="D82" s="88">
        <v>0</v>
      </c>
      <c r="E82" s="88">
        <v>23556.799999999999</v>
      </c>
      <c r="F82" s="354"/>
      <c r="G82" s="355"/>
    </row>
    <row r="83" spans="2:7" ht="43.2" x14ac:dyDescent="0.25">
      <c r="B83" s="62" t="s">
        <v>374</v>
      </c>
      <c r="C83" s="63" t="s">
        <v>375</v>
      </c>
      <c r="D83" s="88">
        <v>0</v>
      </c>
      <c r="E83" s="88">
        <v>62174.21</v>
      </c>
      <c r="F83" s="354"/>
      <c r="G83" s="355"/>
    </row>
    <row r="84" spans="2:7" ht="43.2" x14ac:dyDescent="0.25">
      <c r="B84" s="62" t="s">
        <v>376</v>
      </c>
      <c r="C84" s="63" t="s">
        <v>377</v>
      </c>
      <c r="D84" s="88">
        <v>0</v>
      </c>
      <c r="E84" s="88">
        <v>11545.11</v>
      </c>
      <c r="F84" s="354"/>
      <c r="G84" s="355"/>
    </row>
    <row r="85" spans="2:7" ht="57.6" x14ac:dyDescent="0.25">
      <c r="B85" s="62" t="s">
        <v>378</v>
      </c>
      <c r="C85" s="63" t="s">
        <v>379</v>
      </c>
      <c r="D85" s="88">
        <v>0</v>
      </c>
      <c r="E85" s="88">
        <v>264000</v>
      </c>
      <c r="F85" s="354"/>
      <c r="G85" s="355"/>
    </row>
    <row r="86" spans="2:7" ht="28.8" x14ac:dyDescent="0.25">
      <c r="B86" s="62" t="s">
        <v>380</v>
      </c>
      <c r="C86" s="63" t="s">
        <v>381</v>
      </c>
      <c r="D86" s="88">
        <v>0</v>
      </c>
      <c r="E86" s="88">
        <v>14211.69</v>
      </c>
      <c r="F86" s="354"/>
      <c r="G86" s="355"/>
    </row>
    <row r="87" spans="2:7" ht="28.8" x14ac:dyDescent="0.25">
      <c r="B87" s="62" t="s">
        <v>382</v>
      </c>
      <c r="C87" s="63" t="s">
        <v>383</v>
      </c>
      <c r="D87" s="88">
        <v>0</v>
      </c>
      <c r="E87" s="88">
        <v>13882.24</v>
      </c>
      <c r="F87" s="354"/>
      <c r="G87" s="355"/>
    </row>
    <row r="88" spans="2:7" ht="86.4" x14ac:dyDescent="0.25">
      <c r="B88" s="62" t="s">
        <v>384</v>
      </c>
      <c r="C88" s="63" t="s">
        <v>385</v>
      </c>
      <c r="D88" s="88">
        <v>0</v>
      </c>
      <c r="E88" s="88">
        <v>2175</v>
      </c>
      <c r="F88" s="354"/>
      <c r="G88" s="355"/>
    </row>
    <row r="89" spans="2:7" ht="14.4" x14ac:dyDescent="0.25">
      <c r="B89" s="62" t="s">
        <v>609</v>
      </c>
      <c r="C89" s="63" t="s">
        <v>608</v>
      </c>
      <c r="D89" s="88">
        <v>0</v>
      </c>
      <c r="E89" s="88">
        <v>62068.9</v>
      </c>
      <c r="F89" s="354"/>
      <c r="G89" s="355"/>
    </row>
    <row r="90" spans="2:7" ht="14.4" x14ac:dyDescent="0.25">
      <c r="B90" s="64"/>
      <c r="C90" s="65"/>
      <c r="D90" s="89">
        <f>SUM(D76:D89)</f>
        <v>99538.81</v>
      </c>
      <c r="E90" s="89">
        <f>SUM(E76:E89)</f>
        <v>966192.22999999986</v>
      </c>
      <c r="F90" s="356"/>
      <c r="G90" s="357"/>
    </row>
  </sheetData>
  <mergeCells count="17">
    <mergeCell ref="F76:G90"/>
    <mergeCell ref="K2:L2"/>
    <mergeCell ref="K9:L9"/>
    <mergeCell ref="H2:I2"/>
    <mergeCell ref="H9:I9"/>
    <mergeCell ref="F30:G30"/>
    <mergeCell ref="F31:G36"/>
    <mergeCell ref="F37:G41"/>
    <mergeCell ref="F42:G50"/>
    <mergeCell ref="F51:G75"/>
    <mergeCell ref="L20:L25"/>
    <mergeCell ref="O2:O3"/>
    <mergeCell ref="O9:O10"/>
    <mergeCell ref="B2:C2"/>
    <mergeCell ref="B9:C9"/>
    <mergeCell ref="K20:K25"/>
    <mergeCell ref="M20:M2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F3823-AA75-488C-9E70-9A95108CC2ED}">
  <dimension ref="A1:S12"/>
  <sheetViews>
    <sheetView showGridLines="0" workbookViewId="0">
      <selection activeCell="O4" sqref="O4"/>
    </sheetView>
  </sheetViews>
  <sheetFormatPr defaultColWidth="9.109375" defaultRowHeight="14.4" x14ac:dyDescent="0.3"/>
  <cols>
    <col min="1" max="1" width="13.109375" style="9" customWidth="1"/>
    <col min="2" max="2" width="25.33203125" style="9" customWidth="1"/>
    <col min="3" max="5" width="11.88671875" style="9" customWidth="1"/>
    <col min="6" max="11" width="14.6640625" style="10" customWidth="1"/>
    <col min="12" max="12" width="15.44140625" style="96" customWidth="1"/>
    <col min="13" max="13" width="15.109375" style="96" customWidth="1"/>
    <col min="14" max="14" width="15.33203125" style="10" customWidth="1"/>
    <col min="15" max="15" width="15" style="10" customWidth="1"/>
    <col min="16" max="16" width="14.88671875" style="10" customWidth="1"/>
    <col min="17" max="17" width="14.44140625" style="10" customWidth="1"/>
    <col min="18" max="18" width="13.33203125" style="10" customWidth="1"/>
    <col min="19" max="19" width="12.109375" style="10" customWidth="1"/>
    <col min="20" max="16384" width="9.109375" style="10"/>
  </cols>
  <sheetData>
    <row r="1" spans="1:19" s="1" customFormat="1" ht="43.2" customHeight="1" x14ac:dyDescent="0.3">
      <c r="A1" s="369" t="s">
        <v>11</v>
      </c>
      <c r="B1" s="371" t="s">
        <v>4</v>
      </c>
      <c r="C1" s="297" t="s">
        <v>493</v>
      </c>
      <c r="D1" s="297"/>
      <c r="E1" s="297"/>
      <c r="F1" s="295">
        <v>2019</v>
      </c>
      <c r="G1" s="295"/>
      <c r="H1" s="295" t="s">
        <v>494</v>
      </c>
      <c r="I1" s="295"/>
      <c r="J1" s="295" t="s">
        <v>495</v>
      </c>
      <c r="K1" s="295"/>
      <c r="L1" s="297" t="s">
        <v>496</v>
      </c>
      <c r="M1" s="297" t="s">
        <v>497</v>
      </c>
      <c r="N1" s="297" t="s">
        <v>498</v>
      </c>
      <c r="O1" s="297" t="s">
        <v>499</v>
      </c>
      <c r="P1" s="297" t="s">
        <v>500</v>
      </c>
      <c r="Q1" s="297" t="s">
        <v>501</v>
      </c>
      <c r="R1" s="297" t="s">
        <v>510</v>
      </c>
      <c r="S1" s="299" t="s">
        <v>511</v>
      </c>
    </row>
    <row r="2" spans="1:19" s="1" customFormat="1" ht="28.2" thickBot="1" x14ac:dyDescent="0.35">
      <c r="A2" s="370"/>
      <c r="B2" s="372"/>
      <c r="C2" s="91" t="s">
        <v>502</v>
      </c>
      <c r="D2" s="91" t="s">
        <v>503</v>
      </c>
      <c r="E2" s="91" t="s">
        <v>504</v>
      </c>
      <c r="F2" s="91" t="s">
        <v>505</v>
      </c>
      <c r="G2" s="107" t="s">
        <v>506</v>
      </c>
      <c r="H2" s="91" t="s">
        <v>505</v>
      </c>
      <c r="I2" s="107" t="s">
        <v>506</v>
      </c>
      <c r="J2" s="91" t="s">
        <v>505</v>
      </c>
      <c r="K2" s="107" t="s">
        <v>506</v>
      </c>
      <c r="L2" s="298"/>
      <c r="M2" s="298"/>
      <c r="N2" s="298"/>
      <c r="O2" s="298"/>
      <c r="P2" s="298"/>
      <c r="Q2" s="298"/>
      <c r="R2" s="298"/>
      <c r="S2" s="373"/>
    </row>
    <row r="3" spans="1:19" x14ac:dyDescent="0.3">
      <c r="A3" s="80" t="s">
        <v>403</v>
      </c>
      <c r="B3" s="74" t="s">
        <v>395</v>
      </c>
      <c r="C3" s="75">
        <v>40</v>
      </c>
      <c r="D3" s="75">
        <v>27.1</v>
      </c>
      <c r="E3" s="92">
        <v>34</v>
      </c>
      <c r="F3" s="108">
        <v>510.55999999999995</v>
      </c>
      <c r="G3" s="108">
        <v>1742854</v>
      </c>
      <c r="H3" s="108">
        <v>517</v>
      </c>
      <c r="I3" s="108">
        <v>2650240</v>
      </c>
      <c r="J3" s="108">
        <v>614</v>
      </c>
      <c r="K3" s="108">
        <v>4067082</v>
      </c>
      <c r="L3" s="109">
        <v>0.5</v>
      </c>
      <c r="M3" s="109">
        <v>1</v>
      </c>
      <c r="N3" s="110">
        <f>+H3-F3</f>
        <v>6.4400000000000546</v>
      </c>
      <c r="O3" s="108">
        <f>IF(+I3-G3&gt;=0,I3-G3,0)</f>
        <v>907386</v>
      </c>
      <c r="P3" s="110">
        <f>+J3-F3</f>
        <v>103.44000000000005</v>
      </c>
      <c r="Q3" s="108">
        <f>IF(+K3-G3&gt;=0,K3-G3,0)</f>
        <v>2324228</v>
      </c>
      <c r="R3" s="111">
        <f>+(N3*1000000*M3*0.000077)+(O3*L3*0.0001125)</f>
        <v>546.92046250000431</v>
      </c>
      <c r="S3" s="112">
        <f>+(P3*1000000*M3*0.000077)+(Q3*L3*0.0001125)</f>
        <v>8095.6178250000048</v>
      </c>
    </row>
    <row r="4" spans="1:19" ht="27.6" x14ac:dyDescent="0.3">
      <c r="A4" s="164" t="s">
        <v>259</v>
      </c>
      <c r="B4" s="158" t="s">
        <v>396</v>
      </c>
      <c r="C4" s="159">
        <v>25</v>
      </c>
      <c r="D4" s="159"/>
      <c r="E4" s="93">
        <v>25.8</v>
      </c>
      <c r="F4" s="113">
        <v>218.00000000000003</v>
      </c>
      <c r="G4" s="113">
        <v>17020057</v>
      </c>
      <c r="H4" s="113">
        <v>312</v>
      </c>
      <c r="I4" s="113">
        <v>16603125</v>
      </c>
      <c r="J4" s="113">
        <v>371</v>
      </c>
      <c r="K4" s="113">
        <v>26938776</v>
      </c>
      <c r="L4" s="114">
        <v>0.5</v>
      </c>
      <c r="M4" s="114">
        <v>0.5</v>
      </c>
      <c r="N4" s="115">
        <f t="shared" ref="N4:N11" si="0">+H4-F4</f>
        <v>93.999999999999972</v>
      </c>
      <c r="O4" s="113">
        <f t="shared" ref="O4:O11" si="1">IF(+I4-G4&gt;=0,I4-G4,0)</f>
        <v>0</v>
      </c>
      <c r="P4" s="115">
        <f t="shared" ref="P4:P11" si="2">+J4-F4</f>
        <v>152.99999999999997</v>
      </c>
      <c r="Q4" s="113">
        <f t="shared" ref="Q4:Q11" si="3">IF(+K4-G4&gt;=0,K4-G4,0)</f>
        <v>9918719</v>
      </c>
      <c r="R4" s="116">
        <f t="shared" ref="R4:R11" si="4">+(N4*1000000*M4*0.000077)+(O4*L4*0.0001125)</f>
        <v>3618.9999999999991</v>
      </c>
      <c r="S4" s="117">
        <f t="shared" ref="S4:S11" si="5">+(P4*1000000*M4*0.000077)+(Q4*L4*0.0001125)</f>
        <v>6448.427943749999</v>
      </c>
    </row>
    <row r="5" spans="1:19" ht="27.6" x14ac:dyDescent="0.3">
      <c r="A5" s="94" t="s">
        <v>260</v>
      </c>
      <c r="B5" s="67" t="s">
        <v>397</v>
      </c>
      <c r="C5" s="159">
        <v>7.1</v>
      </c>
      <c r="D5" s="159"/>
      <c r="E5" s="93">
        <v>9</v>
      </c>
      <c r="F5" s="113">
        <v>41.89</v>
      </c>
      <c r="G5" s="113">
        <v>1083920</v>
      </c>
      <c r="H5" s="113">
        <v>67</v>
      </c>
      <c r="I5" s="113">
        <v>1244719</v>
      </c>
      <c r="J5" s="113">
        <v>79</v>
      </c>
      <c r="K5" s="113">
        <v>1727184</v>
      </c>
      <c r="L5" s="114">
        <v>0.5</v>
      </c>
      <c r="M5" s="114">
        <v>0.5</v>
      </c>
      <c r="N5" s="115">
        <f t="shared" si="0"/>
        <v>25.11</v>
      </c>
      <c r="O5" s="113">
        <f t="shared" si="1"/>
        <v>160799</v>
      </c>
      <c r="P5" s="115">
        <f t="shared" si="2"/>
        <v>37.11</v>
      </c>
      <c r="Q5" s="113">
        <f t="shared" si="3"/>
        <v>643264</v>
      </c>
      <c r="R5" s="116">
        <f t="shared" si="4"/>
        <v>975.77994375000003</v>
      </c>
      <c r="S5" s="117">
        <f t="shared" si="5"/>
        <v>1464.9186000000002</v>
      </c>
    </row>
    <row r="6" spans="1:19" ht="27.6" x14ac:dyDescent="0.3">
      <c r="A6" s="94" t="s">
        <v>261</v>
      </c>
      <c r="B6" s="67" t="s">
        <v>398</v>
      </c>
      <c r="C6" s="159">
        <v>12</v>
      </c>
      <c r="D6" s="159"/>
      <c r="E6" s="93">
        <v>13.4</v>
      </c>
      <c r="F6" s="113">
        <v>71.256</v>
      </c>
      <c r="G6" s="113">
        <v>4248206</v>
      </c>
      <c r="H6" s="113">
        <v>116</v>
      </c>
      <c r="I6" s="113">
        <v>4059000</v>
      </c>
      <c r="J6" s="113">
        <v>138</v>
      </c>
      <c r="K6" s="113">
        <v>6465306</v>
      </c>
      <c r="L6" s="114">
        <v>0.5</v>
      </c>
      <c r="M6" s="114">
        <v>0.5</v>
      </c>
      <c r="N6" s="115">
        <f t="shared" si="0"/>
        <v>44.744</v>
      </c>
      <c r="O6" s="113">
        <f t="shared" si="1"/>
        <v>0</v>
      </c>
      <c r="P6" s="115">
        <f t="shared" si="2"/>
        <v>66.744</v>
      </c>
      <c r="Q6" s="113">
        <f t="shared" si="3"/>
        <v>2217100</v>
      </c>
      <c r="R6" s="116">
        <f t="shared" si="4"/>
        <v>1722.644</v>
      </c>
      <c r="S6" s="117">
        <f t="shared" si="5"/>
        <v>2694.3558750000002</v>
      </c>
    </row>
    <row r="7" spans="1:19" ht="27.6" x14ac:dyDescent="0.3">
      <c r="A7" s="94" t="s">
        <v>262</v>
      </c>
      <c r="B7" s="67" t="s">
        <v>399</v>
      </c>
      <c r="C7" s="159">
        <v>12.9</v>
      </c>
      <c r="D7" s="159"/>
      <c r="E7" s="93">
        <v>15.5</v>
      </c>
      <c r="F7" s="113">
        <v>76.600200000000001</v>
      </c>
      <c r="G7" s="113">
        <v>3864234</v>
      </c>
      <c r="H7" s="113">
        <v>125</v>
      </c>
      <c r="I7" s="113">
        <v>3059719</v>
      </c>
      <c r="J7" s="113">
        <v>148</v>
      </c>
      <c r="K7" s="113">
        <v>4865143</v>
      </c>
      <c r="L7" s="114">
        <v>0.5</v>
      </c>
      <c r="M7" s="114">
        <v>0.5</v>
      </c>
      <c r="N7" s="115">
        <f t="shared" si="0"/>
        <v>48.399799999999999</v>
      </c>
      <c r="O7" s="113">
        <f t="shared" si="1"/>
        <v>0</v>
      </c>
      <c r="P7" s="115">
        <f t="shared" si="2"/>
        <v>71.399799999999999</v>
      </c>
      <c r="Q7" s="113">
        <f t="shared" si="3"/>
        <v>1000909</v>
      </c>
      <c r="R7" s="116">
        <f t="shared" si="4"/>
        <v>1863.3923</v>
      </c>
      <c r="S7" s="117">
        <f t="shared" si="5"/>
        <v>2805.1934312499998</v>
      </c>
    </row>
    <row r="8" spans="1:19" ht="28.2" x14ac:dyDescent="0.3">
      <c r="A8" s="81" t="s">
        <v>263</v>
      </c>
      <c r="B8" s="68" t="s">
        <v>400</v>
      </c>
      <c r="C8" s="159">
        <v>16</v>
      </c>
      <c r="D8" s="159"/>
      <c r="E8" s="93">
        <v>22</v>
      </c>
      <c r="F8" s="113">
        <v>65.760000000000005</v>
      </c>
      <c r="G8" s="113">
        <v>1307140</v>
      </c>
      <c r="H8" s="113">
        <v>115</v>
      </c>
      <c r="I8" s="113">
        <v>1650000</v>
      </c>
      <c r="J8" s="113">
        <v>137</v>
      </c>
      <c r="K8" s="113">
        <v>2586122</v>
      </c>
      <c r="L8" s="114">
        <v>0.5</v>
      </c>
      <c r="M8" s="114">
        <v>0.5</v>
      </c>
      <c r="N8" s="115">
        <f t="shared" si="0"/>
        <v>49.239999999999995</v>
      </c>
      <c r="O8" s="113">
        <f t="shared" si="1"/>
        <v>342860</v>
      </c>
      <c r="P8" s="115">
        <f t="shared" si="2"/>
        <v>71.239999999999995</v>
      </c>
      <c r="Q8" s="113">
        <f t="shared" si="3"/>
        <v>1278982</v>
      </c>
      <c r="R8" s="116">
        <f t="shared" si="4"/>
        <v>1915.0258749999998</v>
      </c>
      <c r="S8" s="117">
        <f t="shared" si="5"/>
        <v>2814.6827375000003</v>
      </c>
    </row>
    <row r="9" spans="1:19" ht="28.2" x14ac:dyDescent="0.3">
      <c r="A9" s="81" t="s">
        <v>264</v>
      </c>
      <c r="B9" s="68" t="s">
        <v>401</v>
      </c>
      <c r="C9" s="159">
        <v>4</v>
      </c>
      <c r="D9" s="159"/>
      <c r="E9" s="93">
        <v>4</v>
      </c>
      <c r="F9" s="113">
        <v>36.4</v>
      </c>
      <c r="G9" s="113">
        <v>3921421</v>
      </c>
      <c r="H9" s="113">
        <v>50</v>
      </c>
      <c r="I9" s="113">
        <v>3093750</v>
      </c>
      <c r="J9" s="113">
        <v>60</v>
      </c>
      <c r="K9" s="113">
        <v>4094694</v>
      </c>
      <c r="L9" s="114">
        <v>0.5</v>
      </c>
      <c r="M9" s="114">
        <v>0.5</v>
      </c>
      <c r="N9" s="115">
        <f t="shared" si="0"/>
        <v>13.600000000000001</v>
      </c>
      <c r="O9" s="113">
        <f t="shared" si="1"/>
        <v>0</v>
      </c>
      <c r="P9" s="115">
        <f t="shared" si="2"/>
        <v>23.6</v>
      </c>
      <c r="Q9" s="113">
        <f t="shared" si="3"/>
        <v>173273</v>
      </c>
      <c r="R9" s="116">
        <f t="shared" si="4"/>
        <v>523.60000000000014</v>
      </c>
      <c r="S9" s="117">
        <f t="shared" si="5"/>
        <v>918.34660625000004</v>
      </c>
    </row>
    <row r="10" spans="1:19" ht="55.8" x14ac:dyDescent="0.3">
      <c r="A10" s="81" t="s">
        <v>390</v>
      </c>
      <c r="B10" s="95" t="s">
        <v>507</v>
      </c>
      <c r="C10" s="159">
        <v>86</v>
      </c>
      <c r="D10" s="159"/>
      <c r="E10" s="159">
        <v>102</v>
      </c>
      <c r="F10" s="113">
        <v>358.05000000000007</v>
      </c>
      <c r="G10" s="113">
        <v>31044585</v>
      </c>
      <c r="H10" s="113">
        <v>519</v>
      </c>
      <c r="I10" s="113">
        <v>48190313</v>
      </c>
      <c r="J10" s="113">
        <v>617</v>
      </c>
      <c r="K10" s="113">
        <v>68343673</v>
      </c>
      <c r="L10" s="114">
        <v>0.25</v>
      </c>
      <c r="M10" s="114">
        <v>0.25</v>
      </c>
      <c r="N10" s="115">
        <f t="shared" si="0"/>
        <v>160.94999999999993</v>
      </c>
      <c r="O10" s="113">
        <f t="shared" si="1"/>
        <v>17145728</v>
      </c>
      <c r="P10" s="115">
        <f t="shared" si="2"/>
        <v>258.94999999999993</v>
      </c>
      <c r="Q10" s="113">
        <f t="shared" si="3"/>
        <v>37299088</v>
      </c>
      <c r="R10" s="116">
        <f t="shared" si="4"/>
        <v>3580.5110999999988</v>
      </c>
      <c r="S10" s="117">
        <f t="shared" si="5"/>
        <v>6033.824349999999</v>
      </c>
    </row>
    <row r="11" spans="1:19" ht="28.8" thickBot="1" x14ac:dyDescent="0.35">
      <c r="A11" s="82" t="s">
        <v>392</v>
      </c>
      <c r="B11" s="76" t="s">
        <v>402</v>
      </c>
      <c r="C11" s="161">
        <v>7.5</v>
      </c>
      <c r="D11" s="161"/>
      <c r="E11" s="161">
        <v>10</v>
      </c>
      <c r="F11" s="118">
        <v>63.45</v>
      </c>
      <c r="G11" s="118">
        <v>4901777</v>
      </c>
      <c r="H11" s="118">
        <v>92</v>
      </c>
      <c r="I11" s="118">
        <v>4145625</v>
      </c>
      <c r="J11" s="118">
        <v>110</v>
      </c>
      <c r="K11" s="118">
        <v>5657143</v>
      </c>
      <c r="L11" s="119">
        <v>0.25</v>
      </c>
      <c r="M11" s="119">
        <v>0.5</v>
      </c>
      <c r="N11" s="120">
        <f t="shared" si="0"/>
        <v>28.549999999999997</v>
      </c>
      <c r="O11" s="118">
        <f t="shared" si="1"/>
        <v>0</v>
      </c>
      <c r="P11" s="120">
        <f t="shared" si="2"/>
        <v>46.55</v>
      </c>
      <c r="Q11" s="118">
        <f t="shared" si="3"/>
        <v>755366</v>
      </c>
      <c r="R11" s="121">
        <f t="shared" si="4"/>
        <v>1099.175</v>
      </c>
      <c r="S11" s="122">
        <f t="shared" si="5"/>
        <v>1813.41966875</v>
      </c>
    </row>
    <row r="12" spans="1:19" ht="17.399999999999999" x14ac:dyDescent="0.3">
      <c r="A12" s="8"/>
      <c r="B12" s="8"/>
      <c r="C12" s="8"/>
      <c r="D12" s="8"/>
      <c r="E12" s="8"/>
      <c r="F12" s="4"/>
      <c r="G12" s="4"/>
      <c r="H12" s="4"/>
      <c r="I12" s="4"/>
      <c r="J12" s="4"/>
      <c r="K12" s="4"/>
      <c r="L12" s="90"/>
      <c r="M12" s="90"/>
      <c r="N12" s="4"/>
      <c r="O12" s="4"/>
      <c r="P12" s="4"/>
      <c r="Q12" s="123" t="s">
        <v>508</v>
      </c>
      <c r="R12" s="124">
        <f>SUM(R3:R11)</f>
        <v>15846.048681250002</v>
      </c>
      <c r="S12" s="124">
        <f>SUM(S3:S11)</f>
        <v>33088.787037499998</v>
      </c>
    </row>
  </sheetData>
  <mergeCells count="14">
    <mergeCell ref="R1:R2"/>
    <mergeCell ref="S1:S2"/>
    <mergeCell ref="L1:L2"/>
    <mergeCell ref="M1:M2"/>
    <mergeCell ref="N1:N2"/>
    <mergeCell ref="O1:O2"/>
    <mergeCell ref="P1:P2"/>
    <mergeCell ref="Q1:Q2"/>
    <mergeCell ref="J1:K1"/>
    <mergeCell ref="A1:A2"/>
    <mergeCell ref="B1:B2"/>
    <mergeCell ref="C1:E1"/>
    <mergeCell ref="F1:G1"/>
    <mergeCell ref="H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11</vt:i4>
      </vt:variant>
    </vt:vector>
  </HeadingPairs>
  <TitlesOfParts>
    <vt:vector size="11" baseType="lpstr">
      <vt:lpstr>Allocation aggregate</vt:lpstr>
      <vt:lpstr>Analysis</vt:lpstr>
      <vt:lpstr>Allocation report</vt:lpstr>
      <vt:lpstr>Allocation report - contracted</vt:lpstr>
      <vt:lpstr>Impact report - contracted</vt:lpstr>
      <vt:lpstr>Education</vt:lpstr>
      <vt:lpstr>Employment generation</vt:lpstr>
      <vt:lpstr>Social inclusion</vt:lpstr>
      <vt:lpstr>Healthcare</vt:lpstr>
      <vt:lpstr>Low Carbon Transport</vt:lpstr>
      <vt:lpstr>Railway 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Andrej Žagar</dc:creator>
  <cp:lastModifiedBy>Anja Gartner</cp:lastModifiedBy>
  <dcterms:created xsi:type="dcterms:W3CDTF">2022-01-18T08:00:25Z</dcterms:created>
  <dcterms:modified xsi:type="dcterms:W3CDTF">2022-07-01T12:24:49Z</dcterms:modified>
</cp:coreProperties>
</file>