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dgorelecT32\Desktop\"/>
    </mc:Choice>
  </mc:AlternateContent>
  <xr:revisionPtr revIDLastSave="0" documentId="8_{55BD211B-788A-42BD-BCC8-742BD5DF46D0}" xr6:coauthVersionLast="45" xr6:coauthVersionMax="45" xr10:uidLastSave="{00000000-0000-0000-0000-000000000000}"/>
  <bookViews>
    <workbookView xWindow="-120" yWindow="-120" windowWidth="25440" windowHeight="15390" tabRatio="824" xr2:uid="{00000000-000D-0000-FFFF-FFFF00000000}"/>
  </bookViews>
  <sheets>
    <sheet name="NAVODILA" sheetId="10" r:id="rId1"/>
    <sheet name="POSLOVODENJE" sheetId="7" r:id="rId2"/>
    <sheet name="IZRAČUN CEN" sheetId="6" r:id="rId3"/>
    <sheet name="IZJAVA" sheetId="11" r:id="rId4"/>
    <sheet name="Max strošek najemnine" sheetId="4" r:id="rId5"/>
    <sheet name="Izračun stroškov financiranja" sheetId="5" r:id="rId6"/>
    <sheet name="Obrazec 4.1_I" sheetId="12" r:id="rId7"/>
    <sheet name="Obrazec 4.1_IV" sheetId="13" r:id="rId8"/>
    <sheet name="Finančni načrt" sheetId="22" r:id="rId9"/>
  </sheets>
  <definedNames>
    <definedName name="dane">#REF!</definedName>
    <definedName name="dodatki">#REF!</definedName>
    <definedName name="_xlnm.Print_Area" localSheetId="2">'IZRAČUN CEN'!$A$1:$J$115</definedName>
    <definedName name="_xlnm.Print_Area" localSheetId="6">'Obrazec 4.1_I'!$A$1:$E$85</definedName>
    <definedName name="_xlnm.Print_Area" localSheetId="7">'Obrazec 4.1_IV'!$A$1:$E$85</definedName>
    <definedName name="_xlnm.Print_Titles" localSheetId="6">'Obrazec 4.1_I'!$A:$C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7" l="1"/>
  <c r="D12" i="22" l="1"/>
  <c r="E24" i="22"/>
  <c r="F24" i="22"/>
  <c r="G24" i="22"/>
  <c r="H24" i="22"/>
  <c r="D24" i="22"/>
  <c r="E12" i="22"/>
  <c r="F12" i="22"/>
  <c r="G12" i="22"/>
  <c r="H12" i="22"/>
  <c r="C29" i="22"/>
  <c r="C28" i="22"/>
  <c r="C27" i="22"/>
  <c r="C26" i="22"/>
  <c r="C25" i="22"/>
  <c r="C22" i="22"/>
  <c r="C21" i="22"/>
  <c r="C20" i="22"/>
  <c r="C19" i="22"/>
  <c r="C18" i="22"/>
  <c r="C17" i="22"/>
  <c r="C16" i="22"/>
  <c r="C15" i="22"/>
  <c r="C14" i="22"/>
  <c r="C13" i="22"/>
  <c r="C9" i="22"/>
  <c r="C10" i="22"/>
  <c r="C8" i="22"/>
  <c r="B3" i="22"/>
  <c r="F31" i="22" l="1"/>
  <c r="E31" i="22"/>
  <c r="H31" i="22"/>
  <c r="G31" i="22"/>
  <c r="D31" i="22"/>
  <c r="C24" i="22"/>
  <c r="C12" i="22"/>
  <c r="F113" i="6"/>
  <c r="C31" i="22" l="1"/>
  <c r="I113" i="6"/>
  <c r="I108" i="6" l="1"/>
  <c r="F108" i="6"/>
  <c r="I75" i="6"/>
  <c r="C22" i="10" l="1"/>
  <c r="F22" i="10" s="1"/>
  <c r="D22" i="10"/>
  <c r="G22" i="10" s="1"/>
  <c r="B22" i="10"/>
  <c r="E22" i="10" s="1"/>
  <c r="H113" i="6" l="1"/>
  <c r="G113" i="6"/>
  <c r="I82" i="6"/>
  <c r="F82" i="6"/>
  <c r="G25" i="7" l="1"/>
  <c r="G24" i="7"/>
  <c r="G23" i="7"/>
  <c r="G22" i="7"/>
  <c r="G21" i="10" l="1"/>
  <c r="F21" i="10"/>
  <c r="E21" i="10"/>
  <c r="A1" i="11" l="1"/>
  <c r="D33" i="13" l="1"/>
  <c r="D32" i="13"/>
  <c r="D31" i="13"/>
  <c r="D29" i="13"/>
  <c r="D28" i="13"/>
  <c r="D24" i="13"/>
  <c r="D22" i="13"/>
  <c r="D19" i="13"/>
  <c r="D18" i="13"/>
  <c r="D17" i="13"/>
  <c r="D16" i="13"/>
  <c r="D14" i="13"/>
  <c r="D13" i="13"/>
  <c r="C28" i="13"/>
  <c r="C13" i="13"/>
  <c r="C7" i="13"/>
  <c r="C8" i="13"/>
  <c r="D32" i="12"/>
  <c r="D33" i="12"/>
  <c r="D31" i="12"/>
  <c r="D29" i="12"/>
  <c r="D28" i="12"/>
  <c r="C28" i="12"/>
  <c r="D22" i="12"/>
  <c r="C24" i="12"/>
  <c r="D24" i="12"/>
  <c r="D16" i="12"/>
  <c r="D17" i="12"/>
  <c r="D18" i="12"/>
  <c r="D19" i="12"/>
  <c r="D14" i="12"/>
  <c r="D13" i="12"/>
  <c r="C13" i="12"/>
  <c r="C8" i="12"/>
  <c r="C7" i="12"/>
  <c r="I50" i="6"/>
  <c r="H50" i="6"/>
  <c r="G50" i="6"/>
  <c r="F50" i="6"/>
  <c r="I17" i="6"/>
  <c r="F17" i="6"/>
  <c r="G20" i="10" l="1"/>
  <c r="F20" i="10"/>
  <c r="E20" i="10"/>
  <c r="H11" i="6"/>
  <c r="H9" i="6"/>
  <c r="F29" i="6"/>
  <c r="G11" i="6"/>
  <c r="G9" i="6"/>
  <c r="I29" i="6"/>
  <c r="I27" i="6"/>
  <c r="I26" i="6"/>
  <c r="I24" i="6"/>
  <c r="I23" i="6"/>
  <c r="I22" i="6"/>
  <c r="I16" i="6"/>
  <c r="I15" i="6"/>
  <c r="I14" i="6"/>
  <c r="I13" i="6"/>
  <c r="I12" i="6"/>
  <c r="I11" i="6"/>
  <c r="I10" i="6"/>
  <c r="I9" i="6"/>
  <c r="I8" i="6"/>
  <c r="I18" i="6"/>
  <c r="F18" i="6"/>
  <c r="F16" i="6"/>
  <c r="F15" i="6"/>
  <c r="F14" i="6"/>
  <c r="F13" i="6"/>
  <c r="F12" i="6"/>
  <c r="F11" i="6"/>
  <c r="F10" i="6"/>
  <c r="F9" i="6"/>
  <c r="F8" i="6"/>
  <c r="C50" i="13"/>
  <c r="C50" i="12"/>
  <c r="G19" i="10"/>
  <c r="F19" i="10"/>
  <c r="E19" i="10"/>
  <c r="J27" i="6" l="1"/>
  <c r="D22" i="7"/>
  <c r="J22" i="6"/>
  <c r="G18" i="10"/>
  <c r="F18" i="10"/>
  <c r="E18" i="10"/>
  <c r="G17" i="10"/>
  <c r="F17" i="10"/>
  <c r="E17" i="10"/>
  <c r="G16" i="10"/>
  <c r="F16" i="10"/>
  <c r="E16" i="10"/>
  <c r="G15" i="10"/>
  <c r="F15" i="10"/>
  <c r="E15" i="10"/>
  <c r="G25" i="6"/>
  <c r="H25" i="6"/>
  <c r="F25" i="6"/>
  <c r="H6" i="6"/>
  <c r="I92" i="6"/>
  <c r="F4" i="7"/>
  <c r="E4" i="7"/>
  <c r="F92" i="6"/>
  <c r="J3" i="6"/>
  <c r="I31" i="6"/>
  <c r="I70" i="6"/>
  <c r="C24" i="13" s="1"/>
  <c r="F21" i="6"/>
  <c r="G21" i="6"/>
  <c r="H21" i="6"/>
  <c r="F73" i="6"/>
  <c r="F78" i="6"/>
  <c r="C31" i="12" s="1"/>
  <c r="F79" i="6"/>
  <c r="C32" i="12" s="1"/>
  <c r="F80" i="6"/>
  <c r="C33" i="12" s="1"/>
  <c r="E6" i="4"/>
  <c r="B29" i="4" s="1"/>
  <c r="B30" i="4" s="1"/>
  <c r="D24" i="7" s="1"/>
  <c r="F104" i="6"/>
  <c r="J91" i="6"/>
  <c r="I104" i="6"/>
  <c r="J90" i="6"/>
  <c r="J99" i="6"/>
  <c r="I78" i="6"/>
  <c r="J59" i="6"/>
  <c r="J113" i="6"/>
  <c r="I73" i="6"/>
  <c r="I79" i="6"/>
  <c r="I80" i="6"/>
  <c r="C33" i="13" s="1"/>
  <c r="J82" i="6"/>
  <c r="C33" i="4"/>
  <c r="J111" i="6"/>
  <c r="J110" i="6"/>
  <c r="J109" i="6"/>
  <c r="J107" i="6"/>
  <c r="J96" i="6"/>
  <c r="J95" i="6"/>
  <c r="J94" i="6"/>
  <c r="J93" i="6"/>
  <c r="F7" i="7"/>
  <c r="E7" i="7"/>
  <c r="E7" i="4"/>
  <c r="F7" i="4" s="1"/>
  <c r="C8" i="5"/>
  <c r="D8" i="5" s="1"/>
  <c r="C25" i="4"/>
  <c r="J31" i="6"/>
  <c r="J29" i="6"/>
  <c r="J26" i="6"/>
  <c r="J23" i="6"/>
  <c r="J18" i="6"/>
  <c r="J15" i="6"/>
  <c r="J14" i="6"/>
  <c r="J13" i="6"/>
  <c r="J11" i="6"/>
  <c r="J10" i="6"/>
  <c r="J9" i="6"/>
  <c r="J8" i="6"/>
  <c r="D19" i="7"/>
  <c r="D13" i="7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C5" i="5"/>
  <c r="C6" i="5" s="1"/>
  <c r="D6" i="5" s="1"/>
  <c r="G31" i="6"/>
  <c r="H31" i="6"/>
  <c r="F31" i="6"/>
  <c r="F6" i="7"/>
  <c r="E6" i="7"/>
  <c r="J51" i="6"/>
  <c r="G6" i="6"/>
  <c r="J17" i="6"/>
  <c r="J16" i="6"/>
  <c r="I21" i="6"/>
  <c r="J12" i="6"/>
  <c r="J24" i="6"/>
  <c r="I25" i="6"/>
  <c r="H4" i="6" l="1"/>
  <c r="G4" i="6"/>
  <c r="J4" i="6"/>
  <c r="F4" i="6"/>
  <c r="I4" i="6"/>
  <c r="I7" i="6"/>
  <c r="F7" i="6"/>
  <c r="G6" i="7"/>
  <c r="D6" i="7" s="1"/>
  <c r="G7" i="7"/>
  <c r="D7" i="7" s="1"/>
  <c r="J70" i="6"/>
  <c r="G20" i="6"/>
  <c r="G35" i="6" s="1"/>
  <c r="H20" i="6"/>
  <c r="H35" i="6" s="1"/>
  <c r="J104" i="6"/>
  <c r="J73" i="6"/>
  <c r="G4" i="7"/>
  <c r="I20" i="6"/>
  <c r="J92" i="6"/>
  <c r="J80" i="6"/>
  <c r="J21" i="6"/>
  <c r="E25" i="4"/>
  <c r="B43" i="4" s="1"/>
  <c r="B44" i="4" s="1"/>
  <c r="I22" i="7" s="1"/>
  <c r="I97" i="6"/>
  <c r="D20" i="13" s="1"/>
  <c r="D15" i="13"/>
  <c r="F97" i="6"/>
  <c r="D15" i="12"/>
  <c r="J79" i="6"/>
  <c r="C32" i="13"/>
  <c r="H24" i="7"/>
  <c r="J78" i="6"/>
  <c r="C31" i="13"/>
  <c r="I74" i="6"/>
  <c r="C27" i="13"/>
  <c r="I105" i="6"/>
  <c r="I103" i="6" s="1"/>
  <c r="D26" i="13" s="1"/>
  <c r="C48" i="13"/>
  <c r="C49" i="13" s="1"/>
  <c r="D27" i="13"/>
  <c r="F105" i="6"/>
  <c r="D27" i="12"/>
  <c r="C48" i="12"/>
  <c r="C49" i="12" s="1"/>
  <c r="F74" i="6"/>
  <c r="C27" i="12"/>
  <c r="F6" i="4"/>
  <c r="F25" i="4" s="1"/>
  <c r="D23" i="7" s="1"/>
  <c r="C10" i="5"/>
  <c r="C11" i="5" s="1"/>
  <c r="D25" i="7" s="1"/>
  <c r="H25" i="7" s="1"/>
  <c r="F20" i="6"/>
  <c r="J25" i="6"/>
  <c r="H23" i="7" l="1"/>
  <c r="J20" i="6"/>
  <c r="J74" i="6"/>
  <c r="J75" i="6" s="1"/>
  <c r="J105" i="6"/>
  <c r="J106" i="6" s="1"/>
  <c r="J97" i="6"/>
  <c r="F103" i="6"/>
  <c r="B34" i="4"/>
  <c r="B39" i="4" s="1"/>
  <c r="B40" i="4" s="1"/>
  <c r="D21" i="7" s="1"/>
  <c r="I98" i="6"/>
  <c r="D21" i="13" s="1"/>
  <c r="F98" i="6"/>
  <c r="D21" i="12" s="1"/>
  <c r="D20" i="12"/>
  <c r="H39" i="6"/>
  <c r="H37" i="6"/>
  <c r="G39" i="6"/>
  <c r="G37" i="6"/>
  <c r="D4" i="7"/>
  <c r="H46" i="6" l="1"/>
  <c r="G46" i="6"/>
  <c r="B35" i="4"/>
  <c r="D26" i="12"/>
  <c r="J103" i="6"/>
  <c r="J98" i="6"/>
  <c r="F16" i="7"/>
  <c r="F10" i="7"/>
  <c r="I42" i="6" s="1"/>
  <c r="F15" i="7"/>
  <c r="F9" i="7"/>
  <c r="F18" i="7"/>
  <c r="F12" i="7"/>
  <c r="F17" i="7"/>
  <c r="F11" i="7"/>
  <c r="E16" i="7"/>
  <c r="E10" i="7"/>
  <c r="E15" i="7"/>
  <c r="E9" i="7"/>
  <c r="E18" i="7"/>
  <c r="E12" i="7"/>
  <c r="E17" i="7"/>
  <c r="E11" i="7"/>
  <c r="F21" i="7"/>
  <c r="D26" i="7"/>
  <c r="H22" i="7"/>
  <c r="E21" i="7"/>
  <c r="H48" i="6" l="1"/>
  <c r="H49" i="6" s="1"/>
  <c r="H54" i="6" s="1"/>
  <c r="G48" i="6"/>
  <c r="G49" i="6" s="1"/>
  <c r="G54" i="6" s="1"/>
  <c r="G10" i="7"/>
  <c r="G21" i="7"/>
  <c r="G26" i="7" s="1"/>
  <c r="G9" i="7"/>
  <c r="F44" i="6"/>
  <c r="G12" i="7"/>
  <c r="F64" i="6"/>
  <c r="C18" i="12" s="1"/>
  <c r="G17" i="7"/>
  <c r="F43" i="6"/>
  <c r="G11" i="7"/>
  <c r="F65" i="6"/>
  <c r="C19" i="12" s="1"/>
  <c r="G18" i="7"/>
  <c r="F63" i="6"/>
  <c r="C17" i="12" s="1"/>
  <c r="G16" i="7"/>
  <c r="G15" i="7"/>
  <c r="F42" i="6"/>
  <c r="J42" i="6" s="1"/>
  <c r="F13" i="7"/>
  <c r="E13" i="7"/>
  <c r="F41" i="6"/>
  <c r="I44" i="6"/>
  <c r="I43" i="6"/>
  <c r="I63" i="6"/>
  <c r="I65" i="6"/>
  <c r="I64" i="6"/>
  <c r="I41" i="6"/>
  <c r="F76" i="6"/>
  <c r="C29" i="12" s="1"/>
  <c r="E26" i="7"/>
  <c r="I76" i="6"/>
  <c r="F26" i="7"/>
  <c r="F19" i="7"/>
  <c r="I62" i="6"/>
  <c r="C16" i="13" s="1"/>
  <c r="H52" i="6" l="1"/>
  <c r="G52" i="6"/>
  <c r="J43" i="6"/>
  <c r="J44" i="6"/>
  <c r="G13" i="7"/>
  <c r="F40" i="6"/>
  <c r="F100" i="6" s="1"/>
  <c r="D23" i="12" s="1"/>
  <c r="I72" i="6"/>
  <c r="C26" i="13" s="1"/>
  <c r="C29" i="13"/>
  <c r="J64" i="6"/>
  <c r="C18" i="13"/>
  <c r="J65" i="6"/>
  <c r="C19" i="13"/>
  <c r="J63" i="6"/>
  <c r="C17" i="13"/>
  <c r="J41" i="6"/>
  <c r="I40" i="6"/>
  <c r="J76" i="6"/>
  <c r="F72" i="6"/>
  <c r="F89" i="6" l="1"/>
  <c r="J72" i="6"/>
  <c r="C26" i="12"/>
  <c r="I100" i="6"/>
  <c r="D23" i="13" s="1"/>
  <c r="J40" i="6"/>
  <c r="D12" i="12" l="1"/>
  <c r="F112" i="6"/>
  <c r="D34" i="12" s="1"/>
  <c r="I89" i="6"/>
  <c r="J100" i="6"/>
  <c r="D12" i="13" l="1"/>
  <c r="F114" i="6"/>
  <c r="G111" i="6"/>
  <c r="F115" i="6"/>
  <c r="G110" i="6"/>
  <c r="G109" i="6"/>
  <c r="G97" i="6"/>
  <c r="C47" i="12"/>
  <c r="G112" i="6"/>
  <c r="G103" i="6"/>
  <c r="G89" i="6"/>
  <c r="I112" i="6"/>
  <c r="J89" i="6"/>
  <c r="J101" i="6"/>
  <c r="G114" i="6" l="1"/>
  <c r="H114" i="6"/>
  <c r="C51" i="12"/>
  <c r="E3" i="7"/>
  <c r="H109" i="6"/>
  <c r="C47" i="13"/>
  <c r="D34" i="13"/>
  <c r="I115" i="6"/>
  <c r="I114" i="6"/>
  <c r="J112" i="6"/>
  <c r="E19" i="7"/>
  <c r="F62" i="6"/>
  <c r="C79" i="13" l="1"/>
  <c r="C78" i="13"/>
  <c r="C77" i="13"/>
  <c r="C64" i="13"/>
  <c r="C52" i="12"/>
  <c r="C51" i="13"/>
  <c r="C63" i="12"/>
  <c r="C78" i="12"/>
  <c r="C77" i="12"/>
  <c r="C79" i="12"/>
  <c r="C61" i="13"/>
  <c r="C61" i="12"/>
  <c r="C60" i="12"/>
  <c r="C62" i="12"/>
  <c r="C64" i="12"/>
  <c r="C63" i="13"/>
  <c r="C60" i="13"/>
  <c r="C65" i="13"/>
  <c r="C65" i="12"/>
  <c r="C62" i="13"/>
  <c r="J62" i="6"/>
  <c r="C16" i="12"/>
  <c r="J53" i="6"/>
  <c r="J114" i="6"/>
  <c r="J115" i="6"/>
  <c r="F3" i="7"/>
  <c r="G19" i="7"/>
  <c r="C52" i="13" l="1"/>
  <c r="I6" i="6" l="1"/>
  <c r="I35" i="6" s="1"/>
  <c r="I39" i="6" l="1"/>
  <c r="I37" i="6"/>
  <c r="F6" i="6"/>
  <c r="J7" i="6"/>
  <c r="I46" i="6" l="1"/>
  <c r="I48" i="6" s="1"/>
  <c r="I49" i="6" s="1"/>
  <c r="F35" i="6"/>
  <c r="J6" i="6"/>
  <c r="I54" i="6" l="1"/>
  <c r="I60" i="6" s="1"/>
  <c r="I52" i="6"/>
  <c r="F5" i="7"/>
  <c r="J35" i="6"/>
  <c r="F39" i="6"/>
  <c r="J39" i="6" s="1"/>
  <c r="F37" i="6"/>
  <c r="H91" i="6" l="1"/>
  <c r="I68" i="6"/>
  <c r="C14" i="13"/>
  <c r="I69" i="6"/>
  <c r="C23" i="13" s="1"/>
  <c r="I61" i="6"/>
  <c r="F46" i="6"/>
  <c r="F48" i="6" s="1"/>
  <c r="J37" i="6"/>
  <c r="I66" i="6" l="1"/>
  <c r="C15" i="13"/>
  <c r="H99" i="6"/>
  <c r="C22" i="13"/>
  <c r="F49" i="6"/>
  <c r="J48" i="6"/>
  <c r="J46" i="6"/>
  <c r="C20" i="13" l="1"/>
  <c r="I67" i="6"/>
  <c r="C21" i="13" s="1"/>
  <c r="F54" i="6"/>
  <c r="J54" i="6" s="1"/>
  <c r="F52" i="6"/>
  <c r="J52" i="6" s="1"/>
  <c r="E5" i="7"/>
  <c r="G5" i="7" s="1"/>
  <c r="D5" i="7" s="1"/>
  <c r="J49" i="6"/>
  <c r="I58" i="6" l="1"/>
  <c r="F60" i="6"/>
  <c r="C12" i="13" l="1"/>
  <c r="I81" i="6"/>
  <c r="F69" i="6"/>
  <c r="F68" i="6"/>
  <c r="C14" i="12"/>
  <c r="G91" i="6"/>
  <c r="F61" i="6"/>
  <c r="J60" i="6"/>
  <c r="I83" i="6" l="1"/>
  <c r="F2" i="7" s="1"/>
  <c r="C34" i="13"/>
  <c r="I84" i="6"/>
  <c r="C23" i="12"/>
  <c r="J69" i="6"/>
  <c r="G99" i="6"/>
  <c r="C22" i="12"/>
  <c r="J68" i="6"/>
  <c r="C15" i="12"/>
  <c r="F66" i="6"/>
  <c r="J61" i="6"/>
  <c r="F67" i="6" l="1"/>
  <c r="F58" i="6" s="1"/>
  <c r="C20" i="12"/>
  <c r="J66" i="6"/>
  <c r="C21" i="12" l="1"/>
  <c r="J67" i="6"/>
  <c r="C12" i="12"/>
  <c r="F81" i="6"/>
  <c r="J58" i="6"/>
  <c r="H78" i="6" l="1"/>
  <c r="G81" i="6"/>
  <c r="G72" i="6"/>
  <c r="C34" i="12"/>
  <c r="G78" i="6"/>
  <c r="F83" i="6"/>
  <c r="F84" i="6"/>
  <c r="G79" i="6"/>
  <c r="J81" i="6"/>
  <c r="G80" i="6"/>
  <c r="G66" i="6"/>
  <c r="G58" i="6"/>
  <c r="G83" i="6" l="1"/>
  <c r="H83" i="6"/>
  <c r="J83" i="6"/>
  <c r="J84" i="6"/>
  <c r="H79" i="6"/>
  <c r="E2" i="7"/>
</calcChain>
</file>

<file path=xl/sharedStrings.xml><?xml version="1.0" encoding="utf-8"?>
<sst xmlns="http://schemas.openxmlformats.org/spreadsheetml/2006/main" count="528" uniqueCount="299">
  <si>
    <t>Upravičenci</t>
  </si>
  <si>
    <t>Delovno mesto</t>
  </si>
  <si>
    <t>St. izobr.</t>
  </si>
  <si>
    <t>Osebe, ki zaradi starosti ali drugih razlogov, ki spremljajo starost, niso sposobne za popolnoma samostojno življenje in potrebujejo manjši obseg neposredne osebne pomoči,</t>
  </si>
  <si>
    <t>Osebe z zmernimi starostnimi in zdravstvenimi težavami, ki potrebujejo večji obseg neposredne osebne pomoči</t>
  </si>
  <si>
    <t>Osebe z najzahtevnejšimi starostnimi in zdravstvenimi težavami, ki v celoti potrebujejo neposredno osebno pomoč</t>
  </si>
  <si>
    <t>D1</t>
  </si>
  <si>
    <t>D2</t>
  </si>
  <si>
    <t>D3</t>
  </si>
  <si>
    <t>Struktura</t>
  </si>
  <si>
    <t>OSNOVNA OSKRBA</t>
  </si>
  <si>
    <t>Bivanje</t>
  </si>
  <si>
    <t>II.</t>
  </si>
  <si>
    <t>čistilka</t>
  </si>
  <si>
    <t>perica</t>
  </si>
  <si>
    <t>šivilja</t>
  </si>
  <si>
    <t>IV.</t>
  </si>
  <si>
    <t>Organiziranje prehrane</t>
  </si>
  <si>
    <t>servirka</t>
  </si>
  <si>
    <t>IV., V.</t>
  </si>
  <si>
    <t>ekonom</t>
  </si>
  <si>
    <t>V.</t>
  </si>
  <si>
    <t>Tehnična oskrba</t>
  </si>
  <si>
    <t>Prevoz</t>
  </si>
  <si>
    <t>SOCIALNA OSKRBA</t>
  </si>
  <si>
    <t>- VARSTVO</t>
  </si>
  <si>
    <t>Varstvo</t>
  </si>
  <si>
    <t>strežnica</t>
  </si>
  <si>
    <t>varuhinja</t>
  </si>
  <si>
    <t>- POSEBNE OBLIKE VARSTVA</t>
  </si>
  <si>
    <t>Posebne oblike varstva</t>
  </si>
  <si>
    <t>VII.</t>
  </si>
  <si>
    <t>socialni delavec</t>
  </si>
  <si>
    <t>SKUPAJ OSNOVNA IN SOCIALNA OSKRBA</t>
  </si>
  <si>
    <t>ADMINISTRATIVNE NALOGE</t>
  </si>
  <si>
    <t>Administrativne naloge</t>
  </si>
  <si>
    <t>FINANČNO RAČUNOVODSKE NALOGE</t>
  </si>
  <si>
    <t>Finančno računovodske naloge</t>
  </si>
  <si>
    <t>Poslovodne naloge</t>
  </si>
  <si>
    <t>direktor</t>
  </si>
  <si>
    <t>VI. VII.</t>
  </si>
  <si>
    <t>POSLOVODENJE SKUPAJ</t>
  </si>
  <si>
    <t xml:space="preserve">SKUPAJ VSI ZAPOSLENI </t>
  </si>
  <si>
    <t>pomočnik direktorja</t>
  </si>
  <si>
    <t>strokovni vodja</t>
  </si>
  <si>
    <t>vodja enote</t>
  </si>
  <si>
    <t>zaposleni skupaj brez poslovodnih nalog</t>
  </si>
  <si>
    <t>Dejansko  število zaposlenih na oskrbi brez poslovodnih nalog</t>
  </si>
  <si>
    <t>Razlika do normativa</t>
  </si>
  <si>
    <t>Število zaposlenih, ki se jih upošteva v predlogu</t>
  </si>
  <si>
    <t>I.</t>
  </si>
  <si>
    <t>a)</t>
  </si>
  <si>
    <t>b)</t>
  </si>
  <si>
    <t>c)</t>
  </si>
  <si>
    <t>prispevki delodajalca za socialno varnost</t>
  </si>
  <si>
    <r>
      <t xml:space="preserve">premije KDPZ </t>
    </r>
    <r>
      <rPr>
        <sz val="7"/>
        <rFont val="Arial Narrow"/>
        <family val="2"/>
        <charset val="238"/>
      </rPr>
      <t>(upoštevajo izvajalci v okviru mreže javne službe)</t>
    </r>
  </si>
  <si>
    <t>nominalni znesek na zaposlenega na mesec</t>
  </si>
  <si>
    <t>STROŠKI MATERIALA IN STORITEV (a*b+c)</t>
  </si>
  <si>
    <t>število mest</t>
  </si>
  <si>
    <t>najemnine in zakupnine - povp. mesečno</t>
  </si>
  <si>
    <t>III.</t>
  </si>
  <si>
    <t>STROŠKI AMORTIZACIJE – povp. mesečni</t>
  </si>
  <si>
    <t>STROŠKI INVESTICIJSKEGA VZDRŽEVANJA –povp. mesečni</t>
  </si>
  <si>
    <t>STROŠKI FINANCIRANJA – povp. mesečni</t>
  </si>
  <si>
    <t>SKUPAJ (I+II+III+IV+V)</t>
  </si>
  <si>
    <t>Število oskrbnih dni</t>
  </si>
  <si>
    <t xml:space="preserve">povprečna mesečna plača strokovnega vodje  </t>
  </si>
  <si>
    <t>povprečni mesečni strošek plač zaposlenih(a*b*c)</t>
  </si>
  <si>
    <t>mesečna plača vodje enote</t>
  </si>
  <si>
    <t>Standardna cena oskrbe I</t>
  </si>
  <si>
    <t>Kapaciteta zavoda</t>
  </si>
  <si>
    <t>SKUPAJ</t>
  </si>
  <si>
    <t>delovni instruktor</t>
  </si>
  <si>
    <t>psiholog</t>
  </si>
  <si>
    <t>- VODENJE</t>
  </si>
  <si>
    <t>Vodenje</t>
  </si>
  <si>
    <t>SKUPAJ POSLOVODNE NALOGE</t>
  </si>
  <si>
    <t>OSNOVNA OSKRBA  SKUPAJ:</t>
  </si>
  <si>
    <t>SOCIALNA OSKRBA SKUPAJ:</t>
  </si>
  <si>
    <t>Poslovodenje</t>
  </si>
  <si>
    <t>Standardna cena oskrbe IV</t>
  </si>
  <si>
    <t>mesečna plača pomočnika direktorja</t>
  </si>
  <si>
    <t>IZRAČUN NAJVIŠJE MOŽNE NAJEMNINE PO 5. ČLENU PRAVILNIKA O METODOLOGIJI ZA OBLIKOVANJE CEN SOCIALNO VARSTVENIH STORITEV</t>
  </si>
  <si>
    <t>zap. št.</t>
  </si>
  <si>
    <t>sredstvo</t>
  </si>
  <si>
    <t>NV</t>
  </si>
  <si>
    <t>am. stopnja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</si>
  <si>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</si>
  <si>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</si>
  <si>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</si>
  <si>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</si>
  <si>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</si>
  <si>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</si>
  <si>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</si>
  <si>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</si>
  <si>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</si>
  <si>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</si>
  <si>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</si>
  <si>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</si>
  <si>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</si>
  <si>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</si>
  <si>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</si>
  <si>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</si>
  <si>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</si>
  <si>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</si>
  <si>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</si>
  <si>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rp</t>
  </si>
  <si>
    <t>letna amortizacija-oskrba</t>
  </si>
  <si>
    <t>4.) MAKSIMALNO MOŽNI STROŠKI NAJEMNINE</t>
  </si>
  <si>
    <t>2.) MAX STROŠKI INVESTICIJSKEGA VZDRŽEVANJA</t>
  </si>
  <si>
    <t>3.) MAX STROŠKI FINANCIRANJA</t>
  </si>
  <si>
    <t>STROŠKI DELA (6+7+8+9+10+11)</t>
  </si>
  <si>
    <t xml:space="preserve">mesečna amortizacija-oskrba </t>
  </si>
  <si>
    <r>
      <t xml:space="preserve">število zaposlenih </t>
    </r>
    <r>
      <rPr>
        <sz val="7"/>
        <rFont val="Arial Narrow"/>
        <family val="2"/>
        <charset val="238"/>
      </rPr>
      <t>(brez direktorja, strokovnega vodje, pomočnika direktorja, vodje enote)</t>
    </r>
  </si>
  <si>
    <t>plače skupaj (1+2+3+4+5)</t>
  </si>
  <si>
    <t>Uskladitev stroškov financiranja</t>
  </si>
  <si>
    <t>Vrednost opredmetenih OS za standardne storitve*</t>
  </si>
  <si>
    <t>Izračunana letna obrestna mera</t>
  </si>
  <si>
    <t>Letni strošek financiranja za standard</t>
  </si>
  <si>
    <t>mesečno</t>
  </si>
  <si>
    <t>Struktura cene</t>
  </si>
  <si>
    <t>OPOMBE</t>
  </si>
  <si>
    <t>kategorija oskrbe</t>
  </si>
  <si>
    <t>ZAVOD:</t>
  </si>
  <si>
    <t>vrednost za oskrbo I</t>
  </si>
  <si>
    <t>mesečna plača direktorja</t>
  </si>
  <si>
    <t>IZRAČUN STANDARDNIH CEN V EUR</t>
  </si>
  <si>
    <t>ZGRADBA IN NJENI DELI</t>
  </si>
  <si>
    <t>Vnesi vrednost v EUR</t>
  </si>
  <si>
    <t>CENA OSKRBE V EUR</t>
  </si>
  <si>
    <t>PREDLOG IZVAJALCA - CENA OSKRBE V EUR</t>
  </si>
  <si>
    <t>D4</t>
  </si>
  <si>
    <t>Dementne osebe v posebnih oddelkih</t>
  </si>
  <si>
    <t>SKUPAJ D1-D4</t>
  </si>
  <si>
    <t>KAPACITETA ZA STAREJŠE NAD 65 LET OSKRBA I</t>
  </si>
  <si>
    <t>KAPACITETA ZA STAREJŠE NAD 65 LET OSKRBA IV</t>
  </si>
  <si>
    <t>KONTROLA</t>
  </si>
  <si>
    <t>NAJVEČJA MOŽNA NAJEMNINA*</t>
  </si>
  <si>
    <t>STROŠKI AMORTIZACIJE*</t>
  </si>
  <si>
    <t>INVESTICIJSKO VZDRŽEVANJE*</t>
  </si>
  <si>
    <t>STROŠKI FINANCIRANJA*</t>
  </si>
  <si>
    <t>*Opomba:</t>
  </si>
  <si>
    <t>število uporabnikov</t>
  </si>
  <si>
    <t>za izračun največjih možnih stroškov najemnine, amortizacije, investicijskega vzdrževanja in stroškov financiranja, ki jih je možno vkalkulirati v ceno storitev,  je potrebno izpolniti lista Max strošek najemnine in Izračun stroškov financiranja</t>
  </si>
  <si>
    <t>D1+D4</t>
  </si>
  <si>
    <t>1.) AMORTIZACIJA (institucionalno varstvo skupaj)</t>
  </si>
  <si>
    <t>najemnine po najemnih pogodbah</t>
  </si>
  <si>
    <t>število zaposlenih delavcev po normativu</t>
  </si>
  <si>
    <t>Število zaposlenih delavcev po sistemizaciji</t>
  </si>
  <si>
    <t>standard na varovanca na mesec</t>
  </si>
  <si>
    <t xml:space="preserve">mesečni stroški in odhodki oskrbe </t>
  </si>
  <si>
    <t>D1-D4</t>
  </si>
  <si>
    <t>število zaposlenih v predlogu izvajalca</t>
  </si>
  <si>
    <t>EUR letno</t>
  </si>
  <si>
    <t>EUR mesečno</t>
  </si>
  <si>
    <t>5.) MAKSIMALNO MOŽNA AMORTIZACIJA V PRIMERU NAJEMA ZGRADB</t>
  </si>
  <si>
    <t>EUR</t>
  </si>
  <si>
    <t>Predlog nove cene izvajalca</t>
  </si>
  <si>
    <t>IZRAČUN STANDARDNE CENE</t>
  </si>
  <si>
    <t>PREDLOG IZVAJALCA V EUR-IZPOLNI V PRIMERU UVELJAVLJANJA NIŽJIH VREDNOSTI OD STANDARDNIH !! Ali drugačne razporeditve stroškov!!!</t>
  </si>
  <si>
    <t>MAX</t>
  </si>
  <si>
    <t>standard povprečne plače zaposlenih</t>
  </si>
  <si>
    <r>
      <t>drugi stroški dela 9</t>
    </r>
    <r>
      <rPr>
        <sz val="9"/>
        <rFont val="Arial Narrow"/>
        <family val="2"/>
        <charset val="238"/>
      </rPr>
      <t xml:space="preserve">.a * (I.b + direktor + strokovni vodja+pomočnik direktorja+vodja enote </t>
    </r>
    <r>
      <rPr>
        <sz val="7"/>
        <rFont val="Arial Narrow"/>
        <family val="2"/>
        <charset val="238"/>
      </rPr>
      <t>(če obstaja)</t>
    </r>
    <r>
      <rPr>
        <sz val="9"/>
        <rFont val="Arial Narrow"/>
        <family val="2"/>
        <charset val="238"/>
      </rPr>
      <t>)</t>
    </r>
  </si>
  <si>
    <t>standard stroškov in odhodkov na uporabnika na mesec</t>
  </si>
  <si>
    <t>Povprečna plača zaposlenih</t>
  </si>
  <si>
    <r>
      <t xml:space="preserve">drugi stroški dela </t>
    </r>
    <r>
      <rPr>
        <sz val="9"/>
        <rFont val="Arial Narrow"/>
        <family val="2"/>
        <charset val="238"/>
      </rPr>
      <t xml:space="preserve">(9.a*(I.b+direktor+strokovni vodja+pomočnik direktorja+vodja enote </t>
    </r>
    <r>
      <rPr>
        <sz val="7"/>
        <rFont val="Arial Narrow"/>
        <family val="2"/>
        <charset val="238"/>
      </rPr>
      <t>(če obstaja)</t>
    </r>
    <r>
      <rPr>
        <sz val="9"/>
        <rFont val="Arial Narrow"/>
        <family val="2"/>
        <charset val="238"/>
      </rPr>
      <t>)</t>
    </r>
  </si>
  <si>
    <t xml:space="preserve"> SKUPAJ INSTITUCIONALNO VARSTVO</t>
  </si>
  <si>
    <t xml:space="preserve">PLAČE POSLOVODENJA </t>
  </si>
  <si>
    <t>vratar receptor</t>
  </si>
  <si>
    <t>pomočnik kuharja</t>
  </si>
  <si>
    <t>kuhar/dietni kuhar</t>
  </si>
  <si>
    <t>vzdrževalec, vzdr.-tehnik***</t>
  </si>
  <si>
    <t>voznik oseb s pos.potr./voznik</t>
  </si>
  <si>
    <t>oskrbovalka</t>
  </si>
  <si>
    <t>gospodinja oskrbovalka</t>
  </si>
  <si>
    <t>animator</t>
  </si>
  <si>
    <t>skupinski habilitator</t>
  </si>
  <si>
    <t>V., VI.</t>
  </si>
  <si>
    <t>habilitator individ., skupinski</t>
  </si>
  <si>
    <t>Uveljavljanje razlike</t>
  </si>
  <si>
    <t>Mesečno</t>
  </si>
  <si>
    <t>Dnevno</t>
  </si>
  <si>
    <t>Datum</t>
  </si>
  <si>
    <t>II</t>
  </si>
  <si>
    <t>III a</t>
  </si>
  <si>
    <t>III b</t>
  </si>
  <si>
    <t>V skladu s Pravilnikom o standardih in normativih socialno varstvenih storitev (Ur.l. RS štev. 45/2010)</t>
  </si>
  <si>
    <t>I Z J A V A</t>
  </si>
  <si>
    <t>Datum:</t>
  </si>
  <si>
    <t>Odgovorna oseba:</t>
  </si>
  <si>
    <t xml:space="preserve">izjavljam, da način ogrevanja zavoda:
</t>
  </si>
  <si>
    <t>zahteva povečanje veljavnega kadrovskega normativa za vzdrževalca</t>
  </si>
  <si>
    <t>ne zahteva povečanje veljavnega kadrovskega normativa za vzdrževalca</t>
  </si>
  <si>
    <t>(Vnesi "DA"v tisto rumeno celico, ki ustreza načinu ogrevanja vašega zavoda)</t>
  </si>
  <si>
    <t>1a</t>
  </si>
  <si>
    <t xml:space="preserve"> </t>
  </si>
  <si>
    <t>OBRAZEC 4.1/I/1</t>
  </si>
  <si>
    <t>OBRAZEC ZA PREDLOG CENE STORITVE INSTITUCIONALNEGA VARSTVA STAREJŠIH:</t>
  </si>
  <si>
    <r>
      <t xml:space="preserve">za osebe starejše od 65 let – oskrba I </t>
    </r>
    <r>
      <rPr>
        <sz val="9"/>
        <rFont val="Arial"/>
        <family val="2"/>
        <charset val="238"/>
      </rPr>
      <t xml:space="preserve">za osebe, ki zaradi starosti ali drugih razlogov, ki spremljajo starost, niso sposobne za popolnoma samostojno življenje in potrebujejo manjši obseg neposredne osebne pomoči  </t>
    </r>
  </si>
  <si>
    <r>
      <t>Izvajalec:</t>
    </r>
    <r>
      <rPr>
        <b/>
        <sz val="9"/>
        <rFont val="Arial"/>
        <family val="2"/>
        <charset val="238"/>
      </rPr>
      <t xml:space="preserve">  </t>
    </r>
  </si>
  <si>
    <r>
      <t xml:space="preserve">1. Struktura povprečnih mesečnih stroškov standardne storitve za </t>
    </r>
    <r>
      <rPr>
        <b/>
        <u/>
        <sz val="9"/>
        <rFont val="Arial"/>
        <family val="2"/>
        <charset val="238"/>
      </rPr>
      <t>oskrbo I</t>
    </r>
    <r>
      <rPr>
        <b/>
        <sz val="9"/>
        <rFont val="Arial"/>
        <family val="2"/>
        <charset val="238"/>
      </rPr>
      <t>, ki se izvaja v dvoposteljni sobi s souporabo sanitarij:</t>
    </r>
  </si>
  <si>
    <t>Določeni standard *</t>
  </si>
  <si>
    <t>Predlog izvajalca</t>
  </si>
  <si>
    <t>Opombe</t>
  </si>
  <si>
    <t>STROŠKI DELA (6+7+8+9)</t>
  </si>
  <si>
    <t>Povprečna plača zaposlenih (brez direktorja, strokovnega vodje, pomočnika direktorja, vodje dislocirane enote)</t>
  </si>
  <si>
    <t>število zaposlenih (brez direktorja, strokovnega vodje, pomočnika direktorja, vodje dislocirane enote)</t>
  </si>
  <si>
    <t>povprečni mesečni strošek plač (a*b)</t>
  </si>
  <si>
    <t>mesečna plača strokovnega vodje</t>
  </si>
  <si>
    <t>premije KDPZ (upoštevajo izvajalci v okviru mreže javne službe)</t>
  </si>
  <si>
    <t>drugi stroški dela (9.a * (I.b + direktor + strokovni vodja + pomočnik direktorja + vodja dislocirane enote (če obstaja))</t>
  </si>
  <si>
    <t>Število mest</t>
  </si>
  <si>
    <t>najemnine in zakupnine – povprečno mesečno</t>
  </si>
  <si>
    <t>STROŠKI AMORTIZACIJE – povprečni  mesečni</t>
  </si>
  <si>
    <t>STROŠKI INVESTICIJSKEGA VZDRŽEVANJA–povprečni mesečni</t>
  </si>
  <si>
    <t>STROŠKI FINANCIRANJA – povprečni mesečni</t>
  </si>
  <si>
    <t>* Vpisati podatke, ki izhajajo iz veljavnih predpisov o standardih za opravljanje storitev, predpisov o višini posameznih elementov, ki vplivajo na višino plač in drugih pravic iz dela in standardov po 31. členu tega pravilnika.</t>
  </si>
  <si>
    <t xml:space="preserve">OBVEZNE PRILOGE: </t>
  </si>
  <si>
    <t>- finančni načrt po stroškovnih nosilcih (za leto, v katerem se oblikuje cena)</t>
  </si>
  <si>
    <t>- k točki III. in IV. – izračun stroškov amortizacije in stroškov investicijskega vzdrževanja</t>
  </si>
  <si>
    <t>OBRAZEC 4.1./I/2</t>
  </si>
  <si>
    <t>1. Cena oskrbnega dne standardne storitve za oskrbo I:</t>
  </si>
  <si>
    <t>Povprečni mesečni stroški skupaj</t>
  </si>
  <si>
    <t>Število mest - 98% zasedenost doma</t>
  </si>
  <si>
    <t xml:space="preserve">Število oskrbnih dni povprečno na mesec </t>
  </si>
  <si>
    <t>Cena oskrbnega dne v dvoposteljni sobi s souporabo sanitarij (1/3/4)</t>
  </si>
  <si>
    <t>Cena oskrbnega dne v enoposteljni sobi s souporabo sanitarij (5+10%)</t>
  </si>
  <si>
    <t>2. Nadstandardna storitev - povečanje stroškov glede na najnižjo ceno standardne storitve:</t>
  </si>
  <si>
    <t>% od najnižje cene standardne storitve</t>
  </si>
  <si>
    <t>Število uporabnikov</t>
  </si>
  <si>
    <t>Lastne sanitarije (WC školjka in umivalnik)</t>
  </si>
  <si>
    <t>Lastna kopalnica (k sanitarijam dodatno tuš ali kopalna kad)</t>
  </si>
  <si>
    <t>Balkon (razen »francoskega« balkona) ali terasa</t>
  </si>
  <si>
    <t>Dodatna oprema v sobi</t>
  </si>
  <si>
    <t xml:space="preserve">Apartma ali garsonjera s kuhinjo </t>
  </si>
  <si>
    <t>Soba, ki je za več kot 20% večja od predpisanih standardov in normativov</t>
  </si>
  <si>
    <t>* Doplačilo k ceni oskrbnega dne glede na najnižjo ceno standardne storitve.</t>
  </si>
  <si>
    <t>V skladu s 27. členom pravilnika je potrebna utemeljitev povečanja stroškov.</t>
  </si>
  <si>
    <t>3. Podstandardna storitev – znižanje cene glede na najnižjo ceno standardne storitve:</t>
  </si>
  <si>
    <t>Znižanje cene na uporabnika v EUR *</t>
  </si>
  <si>
    <t>Triposteljna soba</t>
  </si>
  <si>
    <t>Štiri in več posteljna soba</t>
  </si>
  <si>
    <t>Soba, ki je za več kot 20% manjša od predpisanih standardov in normativov</t>
  </si>
  <si>
    <t>* Znižanje cene oskrbnega dne glede na najnižjo ceno standardne storitve.</t>
  </si>
  <si>
    <t>Povečanje stroškov na uporabnika v EUR *</t>
  </si>
  <si>
    <t>OBRAZEC 4.1/IV/1</t>
  </si>
  <si>
    <t>1. Struktura povprečnih mesečnih stroškov standardne storitve za oskrbo IV, ki se izvaja v dvoposteljni sobi s souporabo sanitarij:</t>
  </si>
  <si>
    <r>
      <t>za osebe starejše od 65 let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– oskrba IV </t>
    </r>
    <r>
      <rPr>
        <sz val="9"/>
        <rFont val="Arial"/>
        <family val="2"/>
        <charset val="238"/>
      </rPr>
      <t xml:space="preserve">za osebe z zahtevnejšimi dolgotrajnimi težavami v duševnem zdravju, ki zaradi starostne demence ali sorodnih stanj potrebujejo delno ali popolno osebno pomoč in nadzor (oskrba dementnih oseb)  </t>
    </r>
  </si>
  <si>
    <t>1. Cena oskrbnega dne standardne storitve za oskrbo IV:</t>
  </si>
  <si>
    <t>Žig in podpis:</t>
  </si>
  <si>
    <t>preračun dodatka na dan v prestopnem letu 2016</t>
  </si>
  <si>
    <t>Oskrba starejših nad 65 let</t>
  </si>
  <si>
    <t>max AM v primeru najema posl. prostorov</t>
  </si>
  <si>
    <t>IZVAJALEC</t>
  </si>
  <si>
    <t>OBR.KONTI</t>
  </si>
  <si>
    <t>NAZIV</t>
  </si>
  <si>
    <t>Dodatno za oskrbo II</t>
  </si>
  <si>
    <t xml:space="preserve">Povprečno število zaposlenih </t>
  </si>
  <si>
    <t>Število oskrbnih dni - 98% zasedenost (kapaciteta*365*0,98)</t>
  </si>
  <si>
    <t>Povprečno število oskrbovancev / uporabnikov</t>
  </si>
  <si>
    <t>ZARAČUNANI ODHODKI SKUPAJ</t>
  </si>
  <si>
    <t>STROŠKI MATERIALA</t>
  </si>
  <si>
    <t>STROŠKI STORITEV</t>
  </si>
  <si>
    <t>AMORTIZACIJA</t>
  </si>
  <si>
    <t>REZERVACIJE za stroške reorg. in izgube iz kočljivih pogodb (ne za investicijsko)</t>
  </si>
  <si>
    <t xml:space="preserve">PLAČE IN DRUGI IZDATKI ZAPOSLENIM - STROŠKI DELA </t>
  </si>
  <si>
    <t>DRUGI STROŠKI</t>
  </si>
  <si>
    <t>STROŠKI PRODANIH ZALOG (tudi popisne razlike pri blagu in proizvodih)</t>
  </si>
  <si>
    <t>FINANČNI ODHODKI</t>
  </si>
  <si>
    <t>IZREDNI ODHODKI</t>
  </si>
  <si>
    <t>PREVREDNOTOVALNI POSLOVNI ODHODKI</t>
  </si>
  <si>
    <t>ZARAČUNANI PRIHODKI SKUPAJ</t>
  </si>
  <si>
    <t>PRIHODKI OD PRODAJE PROIZVODOV IN STORITEV</t>
  </si>
  <si>
    <t>PRIHODKI OD PRODAJE BLAGA IN MATERIALA</t>
  </si>
  <si>
    <t>FINANČNI PRIHODKI</t>
  </si>
  <si>
    <t>IZREDNI PRIHODKI (prejete kazni in odškodnine, nenamenske donacije in drugi izredni prihodki)</t>
  </si>
  <si>
    <t>PREVREDNOTOVALNI POSLOVNI PRIHODKI</t>
  </si>
  <si>
    <t>PRIHODKI - ODHODKI</t>
  </si>
  <si>
    <t>Oskrba I z nad in podstandardom</t>
  </si>
  <si>
    <t>Dodatno za oskrbo IIIB</t>
  </si>
  <si>
    <t>Dodatno za oskrbo IIIA</t>
  </si>
  <si>
    <t>Oskrba IV z nad in podstandardom</t>
  </si>
  <si>
    <t>Priloga - finančni načrt po stroškovnih nosilcih (za leto v katerem se oblikuje cena)</t>
  </si>
  <si>
    <t>IZPOLNI ZAVIHEK POSLOVODENJE</t>
  </si>
  <si>
    <t>IZPOLNI ZAVIHEK MAX. STROŠKI NAJEMNINE</t>
  </si>
  <si>
    <t>IZPOLNI ZAVIHEK STROŠKI FINANCIRANJA (ČE OBSTAJAJO)</t>
  </si>
  <si>
    <t>VNESI ZAHTEVANE PODATKE ZA KATEGORIJE OSKRBE STAREJŠIH V ZAVIHEK IZRAČUN CEN</t>
  </si>
  <si>
    <t>IZPOLNI ZAVIHEK IZJAVA</t>
  </si>
  <si>
    <t>IZPOLNI ZAVIHEK FINANČNI NAČRT</t>
  </si>
  <si>
    <t>V VSAKEM ZAVIHKU JE TREBA V RUMENO OBARVANE CELICE VPISATI ZAHTEVANE PODATKE</t>
  </si>
  <si>
    <t>IZPOLNI ZAVIHKA OBRAZEC 4.1_I IN OBRAZEC 4.1_IV</t>
  </si>
  <si>
    <t>Razpisni dokumentaciji je treba priložiti natisnjene obrazce iz vseh zavihkov v tej datoteki:
- poslovodenje
- izračun cen
- izjava
- max. strošek najemnine
- izračun stroškov financiranja
- obrazec 4.1_I
- obrazec 4.1_IV
- finančni načrt</t>
  </si>
  <si>
    <t>SKUPAJ delež zaposlitve</t>
  </si>
  <si>
    <t>SKUPAJ plača direktorja</t>
  </si>
  <si>
    <t>- k točki V. – izračun stroškov financiranja</t>
  </si>
  <si>
    <t>Zneski dodatka za pomoč in postrežbo</t>
  </si>
  <si>
    <t>3=4+5+6+7+8</t>
  </si>
  <si>
    <t>SKUPAJ PLAN OSKRBE</t>
  </si>
  <si>
    <t>Priznana obr. mera = povprečna obrestna mera za nova posojila nefinančnim družbam z variabilno oz. fiksno OM - za posojila nad 1 mio EUR (BS nov.20)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</si>
</sst>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0.000"/>
    <numFmt numFmtId="166" formatCode="0.0"/>
    <numFmt numFmtId="167" formatCode="_-* #,##0.00\ [$€-1]_-;\-* #,##0.00\ [$€-1]_-;_-* &quot;-&quot;??\ [$€-1]_-"/>
    <numFmt numFmtId="168" formatCode="#,##0.0000"/>
    <numFmt numFmtId="169" formatCode="#,##0.000"/>
    <numFmt numFmtId="170" formatCode="0.0000"/>
  </numFmts>
  <fonts count="44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 Narrow"/>
      <family val="2"/>
    </font>
    <font>
      <sz val="9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i/>
      <sz val="10"/>
      <color indexed="10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u/>
      <sz val="10"/>
      <name val="Arial Narrow"/>
      <family val="2"/>
      <charset val="238"/>
    </font>
    <font>
      <sz val="8"/>
      <name val="Arial Narrow"/>
      <family val="2"/>
      <charset val="238"/>
    </font>
    <font>
      <u/>
      <sz val="10"/>
      <name val="Arial Narrow"/>
      <family val="2"/>
      <charset val="238"/>
    </font>
    <font>
      <b/>
      <i/>
      <sz val="10"/>
      <color indexed="10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name val="Arial"/>
      <family val="2"/>
      <charset val="238"/>
    </font>
    <font>
      <i/>
      <sz val="10"/>
      <color rgb="FFFF0000"/>
      <name val="Arial Narrow"/>
      <family val="2"/>
      <charset val="238"/>
    </font>
    <font>
      <sz val="10"/>
      <color theme="0" tint="-0.34998626667073579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0"/>
      <name val="Arial CE"/>
      <charset val="238"/>
    </font>
    <font>
      <sz val="10"/>
      <color theme="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HelveticaNeue Light"/>
    </font>
    <font>
      <b/>
      <sz val="8"/>
      <color rgb="FF000000"/>
      <name val="Arial Narrow"/>
      <family val="2"/>
      <charset val="238"/>
    </font>
    <font>
      <b/>
      <sz val="8"/>
      <name val="HelveticaNeue Light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rgb="FF92D050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8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44">
    <xf numFmtId="0" fontId="0" fillId="0" borderId="0" xfId="0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2" fontId="10" fillId="0" borderId="0" xfId="0" applyNumberFormat="1" applyFont="1" applyFill="1" applyBorder="1" applyAlignment="1" applyProtection="1">
      <alignment horizontal="center"/>
    </xf>
    <xf numFmtId="4" fontId="0" fillId="2" borderId="0" xfId="0" applyNumberFormat="1" applyFill="1" applyProtection="1"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10" fontId="4" fillId="0" borderId="0" xfId="0" applyNumberFormat="1" applyFont="1"/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2" borderId="1" xfId="0" applyNumberFormat="1" applyFont="1" applyFill="1" applyBorder="1" applyProtection="1">
      <protection locked="0"/>
    </xf>
    <xf numFmtId="10" fontId="4" fillId="2" borderId="1" xfId="0" applyNumberFormat="1" applyFont="1" applyFill="1" applyBorder="1" applyProtection="1">
      <protection locked="0"/>
    </xf>
    <xf numFmtId="3" fontId="4" fillId="0" borderId="1" xfId="0" applyNumberFormat="1" applyFont="1" applyBorder="1"/>
    <xf numFmtId="0" fontId="4" fillId="2" borderId="1" xfId="0" applyFont="1" applyFill="1" applyBorder="1" applyProtection="1">
      <protection locked="0"/>
    </xf>
    <xf numFmtId="4" fontId="6" fillId="2" borderId="1" xfId="0" applyNumberFormat="1" applyFont="1" applyFill="1" applyBorder="1" applyProtection="1"/>
    <xf numFmtId="4" fontId="6" fillId="0" borderId="1" xfId="0" applyNumberFormat="1" applyFont="1" applyBorder="1"/>
    <xf numFmtId="4" fontId="15" fillId="0" borderId="1" xfId="0" applyNumberFormat="1" applyFont="1" applyBorder="1"/>
    <xf numFmtId="0" fontId="15" fillId="0" borderId="0" xfId="0" applyFont="1"/>
    <xf numFmtId="4" fontId="16" fillId="2" borderId="0" xfId="0" applyNumberFormat="1" applyFont="1" applyFill="1" applyProtection="1">
      <protection locked="0"/>
    </xf>
    <xf numFmtId="3" fontId="6" fillId="0" borderId="1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 applyProtection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8" fillId="2" borderId="4" xfId="0" applyFont="1" applyFill="1" applyBorder="1" applyAlignment="1">
      <alignment wrapText="1"/>
    </xf>
    <xf numFmtId="0" fontId="8" fillId="0" borderId="0" xfId="0" applyFont="1" applyBorder="1"/>
    <xf numFmtId="9" fontId="4" fillId="0" borderId="4" xfId="0" applyNumberFormat="1" applyFont="1" applyBorder="1"/>
    <xf numFmtId="3" fontId="4" fillId="0" borderId="0" xfId="0" applyNumberFormat="1" applyFont="1" applyBorder="1"/>
    <xf numFmtId="3" fontId="4" fillId="2" borderId="0" xfId="0" applyNumberFormat="1" applyFont="1" applyFill="1" applyBorder="1" applyProtection="1">
      <protection locked="0"/>
    </xf>
    <xf numFmtId="164" fontId="4" fillId="0" borderId="0" xfId="0" applyNumberFormat="1" applyFont="1" applyBorder="1"/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168" fontId="6" fillId="0" borderId="0" xfId="0" applyNumberFormat="1" applyFont="1" applyBorder="1"/>
    <xf numFmtId="0" fontId="6" fillId="0" borderId="6" xfId="0" applyFont="1" applyBorder="1"/>
    <xf numFmtId="3" fontId="6" fillId="0" borderId="7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9" fillId="0" borderId="9" xfId="0" applyFont="1" applyFill="1" applyBorder="1"/>
    <xf numFmtId="4" fontId="0" fillId="2" borderId="0" xfId="0" applyNumberFormat="1" applyFill="1" applyAlignment="1" applyProtection="1">
      <alignment horizontal="right"/>
      <protection locked="0"/>
    </xf>
    <xf numFmtId="4" fontId="0" fillId="2" borderId="0" xfId="0" applyNumberFormat="1" applyFill="1" applyAlignment="1" applyProtection="1">
      <alignment horizontal="center"/>
      <protection locked="0"/>
    </xf>
    <xf numFmtId="4" fontId="0" fillId="0" borderId="0" xfId="0" applyNumberFormat="1" applyFill="1" applyProtection="1"/>
    <xf numFmtId="4" fontId="0" fillId="0" borderId="11" xfId="0" applyNumberFormat="1" applyFill="1" applyBorder="1" applyProtection="1"/>
    <xf numFmtId="166" fontId="7" fillId="0" borderId="0" xfId="0" applyNumberFormat="1" applyFont="1" applyFill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" fontId="6" fillId="0" borderId="0" xfId="0" applyNumberFormat="1" applyFont="1" applyProtection="1"/>
    <xf numFmtId="4" fontId="0" fillId="0" borderId="0" xfId="0" applyNumberForma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textRotation="90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</xf>
    <xf numFmtId="4" fontId="6" fillId="0" borderId="12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Protection="1"/>
    <xf numFmtId="164" fontId="6" fillId="0" borderId="13" xfId="2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4" fontId="4" fillId="0" borderId="0" xfId="0" applyNumberFormat="1" applyFont="1" applyFill="1" applyBorder="1" applyAlignment="1" applyProtection="1">
      <alignment horizontal="center" wrapText="1"/>
    </xf>
    <xf numFmtId="4" fontId="4" fillId="0" borderId="13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4" fontId="7" fillId="0" borderId="0" xfId="0" applyNumberFormat="1" applyFont="1" applyBorder="1" applyAlignment="1" applyProtection="1">
      <alignment horizontal="center" wrapText="1"/>
    </xf>
    <xf numFmtId="4" fontId="7" fillId="0" borderId="13" xfId="0" applyNumberFormat="1" applyFont="1" applyBorder="1" applyAlignment="1" applyProtection="1">
      <alignment horizontal="center" wrapText="1"/>
    </xf>
    <xf numFmtId="4" fontId="7" fillId="0" borderId="0" xfId="0" applyNumberFormat="1" applyFont="1" applyBorder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9" fillId="0" borderId="16" xfId="0" quotePrefix="1" applyFont="1" applyBorder="1" applyAlignment="1" applyProtection="1">
      <alignment horizontal="left" wrapText="1"/>
    </xf>
    <xf numFmtId="0" fontId="9" fillId="0" borderId="16" xfId="0" applyFont="1" applyBorder="1" applyAlignment="1" applyProtection="1">
      <alignment horizontal="center"/>
    </xf>
    <xf numFmtId="4" fontId="9" fillId="0" borderId="16" xfId="0" quotePrefix="1" applyNumberFormat="1" applyFont="1" applyBorder="1" applyAlignment="1" applyProtection="1">
      <alignment horizontal="center" wrapText="1"/>
    </xf>
    <xf numFmtId="4" fontId="9" fillId="0" borderId="17" xfId="0" quotePrefix="1" applyNumberFormat="1" applyFont="1" applyBorder="1" applyAlignment="1" applyProtection="1">
      <alignment horizontal="center" wrapText="1"/>
    </xf>
    <xf numFmtId="4" fontId="9" fillId="0" borderId="16" xfId="0" applyNumberFormat="1" applyFont="1" applyBorder="1" applyAlignment="1" applyProtection="1">
      <alignment horizontal="center"/>
    </xf>
    <xf numFmtId="4" fontId="4" fillId="5" borderId="0" xfId="0" applyNumberFormat="1" applyFont="1" applyFill="1" applyBorder="1" applyAlignment="1" applyProtection="1">
      <alignment horizontal="center"/>
    </xf>
    <xf numFmtId="4" fontId="4" fillId="5" borderId="13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0" fontId="9" fillId="0" borderId="16" xfId="0" quotePrefix="1" applyFont="1" applyFill="1" applyBorder="1" applyAlignment="1" applyProtection="1">
      <alignment horizontal="left" wrapText="1"/>
    </xf>
    <xf numFmtId="0" fontId="9" fillId="0" borderId="16" xfId="0" applyFont="1" applyFill="1" applyBorder="1" applyAlignment="1" applyProtection="1">
      <alignment horizontal="center"/>
    </xf>
    <xf numFmtId="4" fontId="9" fillId="0" borderId="17" xfId="0" quotePrefix="1" applyNumberFormat="1" applyFont="1" applyFill="1" applyBorder="1" applyAlignment="1" applyProtection="1">
      <alignment horizontal="center" wrapText="1"/>
    </xf>
    <xf numFmtId="4" fontId="9" fillId="0" borderId="16" xfId="0" applyNumberFormat="1" applyFont="1" applyFill="1" applyBorder="1" applyAlignment="1" applyProtection="1">
      <alignment horizontal="center"/>
    </xf>
    <xf numFmtId="4" fontId="6" fillId="0" borderId="16" xfId="0" applyNumberFormat="1" applyFont="1" applyFill="1" applyBorder="1" applyAlignment="1" applyProtection="1">
      <alignment horizontal="center"/>
    </xf>
    <xf numFmtId="4" fontId="6" fillId="0" borderId="17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4" fontId="6" fillId="0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Fill="1" applyBorder="1" applyProtection="1"/>
    <xf numFmtId="4" fontId="6" fillId="0" borderId="0" xfId="0" applyNumberFormat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 wrapText="1"/>
    </xf>
    <xf numFmtId="0" fontId="4" fillId="0" borderId="16" xfId="0" applyFont="1" applyFill="1" applyBorder="1" applyProtection="1"/>
    <xf numFmtId="0" fontId="4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left" wrapText="1"/>
    </xf>
    <xf numFmtId="4" fontId="6" fillId="0" borderId="16" xfId="0" applyNumberFormat="1" applyFont="1" applyBorder="1" applyAlignment="1" applyProtection="1">
      <alignment horizontal="center"/>
    </xf>
    <xf numFmtId="0" fontId="4" fillId="0" borderId="20" xfId="0" applyFont="1" applyFill="1" applyBorder="1" applyProtection="1"/>
    <xf numFmtId="0" fontId="6" fillId="0" borderId="0" xfId="0" applyFont="1" applyFill="1" applyBorder="1" applyAlignment="1" applyProtection="1"/>
    <xf numFmtId="0" fontId="0" fillId="0" borderId="0" xfId="0" applyProtection="1"/>
    <xf numFmtId="0" fontId="12" fillId="0" borderId="22" xfId="0" applyFont="1" applyBorder="1" applyProtection="1"/>
    <xf numFmtId="0" fontId="12" fillId="0" borderId="23" xfId="0" applyFont="1" applyBorder="1" applyProtection="1"/>
    <xf numFmtId="0" fontId="12" fillId="0" borderId="23" xfId="0" applyFont="1" applyBorder="1" applyAlignment="1" applyProtection="1">
      <alignment horizontal="left"/>
    </xf>
    <xf numFmtId="0" fontId="12" fillId="0" borderId="23" xfId="0" applyFont="1" applyFill="1" applyBorder="1" applyAlignment="1" applyProtection="1">
      <alignment wrapText="1"/>
    </xf>
    <xf numFmtId="4" fontId="0" fillId="0" borderId="0" xfId="0" applyNumberFormat="1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 wrapText="1"/>
    </xf>
    <xf numFmtId="4" fontId="6" fillId="0" borderId="0" xfId="0" applyNumberFormat="1" applyFont="1" applyFill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/>
    <xf numFmtId="0" fontId="7" fillId="0" borderId="0" xfId="0" applyFont="1" applyProtection="1"/>
    <xf numFmtId="4" fontId="0" fillId="0" borderId="0" xfId="0" applyNumberFormat="1" applyFill="1" applyAlignment="1" applyProtection="1">
      <alignment horizontal="right"/>
    </xf>
    <xf numFmtId="4" fontId="7" fillId="0" borderId="0" xfId="0" applyNumberFormat="1" applyFont="1" applyFill="1" applyProtection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6" fillId="0" borderId="0" xfId="0" applyFont="1" applyAlignment="1" applyProtection="1"/>
    <xf numFmtId="4" fontId="6" fillId="0" borderId="0" xfId="0" applyNumberFormat="1" applyFont="1" applyAlignment="1" applyProtection="1">
      <alignment horizontal="right"/>
    </xf>
    <xf numFmtId="4" fontId="7" fillId="0" borderId="0" xfId="0" applyNumberFormat="1" applyFont="1" applyProtection="1"/>
    <xf numFmtId="0" fontId="0" fillId="0" borderId="0" xfId="0" applyAlignment="1" applyProtection="1">
      <alignment horizontal="right"/>
    </xf>
    <xf numFmtId="4" fontId="16" fillId="0" borderId="0" xfId="0" applyNumberFormat="1" applyFont="1" applyFill="1" applyProtection="1"/>
    <xf numFmtId="4" fontId="17" fillId="0" borderId="0" xfId="0" applyNumberFormat="1" applyFont="1" applyFill="1" applyProtection="1"/>
    <xf numFmtId="0" fontId="6" fillId="0" borderId="0" xfId="0" applyFont="1" applyFill="1" applyBorder="1" applyAlignment="1" applyProtection="1">
      <alignment horizontal="left"/>
    </xf>
    <xf numFmtId="0" fontId="18" fillId="0" borderId="0" xfId="0" applyFont="1" applyProtection="1"/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 applyProtection="1"/>
    <xf numFmtId="4" fontId="19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0" fillId="0" borderId="0" xfId="0" applyFill="1" applyProtection="1"/>
    <xf numFmtId="0" fontId="6" fillId="0" borderId="16" xfId="0" applyFont="1" applyFill="1" applyBorder="1" applyProtection="1"/>
    <xf numFmtId="0" fontId="0" fillId="0" borderId="16" xfId="0" applyFill="1" applyBorder="1" applyProtection="1"/>
    <xf numFmtId="4" fontId="16" fillId="0" borderId="0" xfId="0" applyNumberFormat="1" applyFont="1" applyAlignment="1" applyProtection="1">
      <alignment horizontal="right"/>
    </xf>
    <xf numFmtId="4" fontId="16" fillId="0" borderId="11" xfId="0" applyNumberFormat="1" applyFont="1" applyFill="1" applyBorder="1" applyProtection="1"/>
    <xf numFmtId="4" fontId="16" fillId="0" borderId="0" xfId="0" applyNumberFormat="1" applyFont="1" applyFill="1" applyProtection="1">
      <protection locked="0"/>
    </xf>
    <xf numFmtId="4" fontId="6" fillId="0" borderId="0" xfId="0" applyNumberFormat="1" applyFont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  <protection locked="0"/>
    </xf>
    <xf numFmtId="169" fontId="0" fillId="0" borderId="0" xfId="0" applyNumberFormat="1" applyAlignment="1" applyProtection="1">
      <alignment horizontal="center"/>
    </xf>
    <xf numFmtId="165" fontId="12" fillId="0" borderId="23" xfId="0" applyNumberFormat="1" applyFont="1" applyBorder="1" applyAlignment="1" applyProtection="1">
      <alignment horizontal="center"/>
    </xf>
    <xf numFmtId="169" fontId="6" fillId="0" borderId="17" xfId="0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4" fontId="7" fillId="0" borderId="0" xfId="0" applyNumberFormat="1" applyFont="1" applyFill="1" applyAlignment="1" applyProtection="1">
      <alignment horizontal="center" wrapText="1"/>
    </xf>
    <xf numFmtId="4" fontId="4" fillId="0" borderId="0" xfId="0" applyNumberFormat="1" applyFont="1" applyFill="1" applyAlignment="1" applyProtection="1">
      <alignment horizontal="left" wrapText="1"/>
    </xf>
    <xf numFmtId="0" fontId="14" fillId="0" borderId="1" xfId="0" applyFont="1" applyFill="1" applyBorder="1" applyProtection="1"/>
    <xf numFmtId="4" fontId="6" fillId="0" borderId="1" xfId="0" applyNumberFormat="1" applyFont="1" applyBorder="1" applyProtection="1"/>
    <xf numFmtId="4" fontId="15" fillId="0" borderId="1" xfId="0" applyNumberFormat="1" applyFont="1" applyBorder="1" applyProtection="1"/>
    <xf numFmtId="168" fontId="4" fillId="0" borderId="0" xfId="0" applyNumberFormat="1" applyFont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/>
    <xf numFmtId="4" fontId="21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4" fontId="6" fillId="0" borderId="13" xfId="0" applyNumberFormat="1" applyFont="1" applyFill="1" applyBorder="1" applyAlignment="1" applyProtection="1">
      <alignment horizontal="center" wrapText="1"/>
    </xf>
    <xf numFmtId="4" fontId="8" fillId="0" borderId="0" xfId="0" applyNumberFormat="1" applyFont="1" applyAlignment="1" applyProtection="1">
      <alignment horizontal="right"/>
    </xf>
    <xf numFmtId="0" fontId="22" fillId="0" borderId="0" xfId="0" applyFont="1"/>
    <xf numFmtId="0" fontId="22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2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0" fontId="0" fillId="0" borderId="14" xfId="0" applyBorder="1"/>
    <xf numFmtId="4" fontId="0" fillId="0" borderId="0" xfId="0" applyNumberForma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4" fontId="20" fillId="8" borderId="16" xfId="0" applyNumberFormat="1" applyFont="1" applyFill="1" applyBorder="1" applyAlignment="1">
      <alignment horizontal="center" wrapText="1"/>
    </xf>
    <xf numFmtId="4" fontId="0" fillId="0" borderId="0" xfId="0" applyNumberFormat="1" applyFill="1" applyProtection="1">
      <protection locked="0"/>
    </xf>
    <xf numFmtId="0" fontId="9" fillId="0" borderId="11" xfId="0" applyFont="1" applyBorder="1" applyAlignment="1" applyProtection="1">
      <alignment horizontal="center"/>
    </xf>
    <xf numFmtId="0" fontId="0" fillId="0" borderId="11" xfId="0" applyFill="1" applyBorder="1" applyProtection="1"/>
    <xf numFmtId="4" fontId="21" fillId="0" borderId="19" xfId="0" applyNumberFormat="1" applyFont="1" applyFill="1" applyBorder="1" applyAlignment="1" applyProtection="1">
      <alignment horizontal="center"/>
    </xf>
    <xf numFmtId="0" fontId="15" fillId="0" borderId="11" xfId="0" applyFont="1" applyBorder="1" applyProtection="1"/>
    <xf numFmtId="4" fontId="0" fillId="0" borderId="0" xfId="0" applyNumberFormat="1"/>
    <xf numFmtId="4" fontId="0" fillId="0" borderId="14" xfId="0" applyNumberFormat="1" applyBorder="1"/>
    <xf numFmtId="4" fontId="4" fillId="0" borderId="0" xfId="0" applyNumberFormat="1" applyFont="1"/>
    <xf numFmtId="4" fontId="0" fillId="2" borderId="14" xfId="0" applyNumberFormat="1" applyFill="1" applyBorder="1" applyAlignment="1" applyProtection="1">
      <alignment horizontal="center"/>
      <protection locked="0"/>
    </xf>
    <xf numFmtId="4" fontId="4" fillId="2" borderId="0" xfId="0" applyNumberFormat="1" applyFont="1" applyFill="1" applyAlignment="1" applyProtection="1">
      <alignment horizontal="right" wrapText="1"/>
      <protection locked="0"/>
    </xf>
    <xf numFmtId="4" fontId="7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left" wrapText="1"/>
      <protection locked="0"/>
    </xf>
    <xf numFmtId="169" fontId="6" fillId="2" borderId="16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Protection="1">
      <protection locked="0"/>
    </xf>
    <xf numFmtId="0" fontId="0" fillId="0" borderId="0" xfId="0" applyBorder="1"/>
    <xf numFmtId="0" fontId="20" fillId="0" borderId="16" xfId="0" applyFont="1" applyBorder="1" applyAlignment="1">
      <alignment horizontal="center" wrapText="1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25" xfId="0" applyFont="1" applyBorder="1"/>
    <xf numFmtId="0" fontId="0" fillId="0" borderId="21" xfId="0" applyBorder="1"/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left"/>
    </xf>
    <xf numFmtId="4" fontId="17" fillId="0" borderId="11" xfId="0" applyNumberFormat="1" applyFont="1" applyFill="1" applyBorder="1" applyProtection="1"/>
    <xf numFmtId="0" fontId="17" fillId="0" borderId="0" xfId="0" applyFont="1" applyAlignment="1" applyProtection="1"/>
    <xf numFmtId="4" fontId="17" fillId="0" borderId="0" xfId="0" applyNumberFormat="1" applyFont="1" applyAlignment="1" applyProtection="1">
      <alignment horizontal="center"/>
    </xf>
    <xf numFmtId="4" fontId="17" fillId="2" borderId="0" xfId="0" applyNumberFormat="1" applyFont="1" applyFill="1" applyAlignment="1" applyProtection="1">
      <alignment horizontal="center"/>
      <protection locked="0"/>
    </xf>
    <xf numFmtId="4" fontId="17" fillId="0" borderId="0" xfId="0" applyNumberFormat="1" applyFont="1" applyProtection="1"/>
    <xf numFmtId="4" fontId="17" fillId="0" borderId="0" xfId="0" applyNumberFormat="1" applyFont="1" applyFill="1" applyAlignment="1" applyProtection="1">
      <alignment horizontal="left" wrapText="1"/>
    </xf>
    <xf numFmtId="4" fontId="24" fillId="0" borderId="11" xfId="0" applyNumberFormat="1" applyFont="1" applyFill="1" applyBorder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Protection="1"/>
    <xf numFmtId="4" fontId="17" fillId="2" borderId="0" xfId="0" applyNumberFormat="1" applyFont="1" applyFill="1" applyAlignment="1" applyProtection="1">
      <alignment horizontal="right"/>
      <protection locked="0"/>
    </xf>
    <xf numFmtId="0" fontId="9" fillId="0" borderId="18" xfId="0" applyFont="1" applyFill="1" applyBorder="1" applyAlignment="1" applyProtection="1">
      <alignment horizontal="center"/>
    </xf>
    <xf numFmtId="0" fontId="0" fillId="0" borderId="0" xfId="0" applyFill="1"/>
    <xf numFmtId="0" fontId="0" fillId="7" borderId="0" xfId="0" applyFill="1" applyBorder="1"/>
    <xf numFmtId="0" fontId="6" fillId="7" borderId="21" xfId="0" applyFont="1" applyFill="1" applyBorder="1" applyAlignment="1" applyProtection="1">
      <alignment horizontal="center"/>
      <protection locked="0"/>
    </xf>
    <xf numFmtId="2" fontId="6" fillId="7" borderId="0" xfId="0" applyNumberFormat="1" applyFont="1" applyFill="1" applyBorder="1" applyAlignment="1" applyProtection="1">
      <alignment horizontal="center"/>
      <protection locked="0"/>
    </xf>
    <xf numFmtId="0" fontId="0" fillId="9" borderId="21" xfId="0" applyFill="1" applyBorder="1"/>
    <xf numFmtId="0" fontId="6" fillId="9" borderId="21" xfId="0" applyFont="1" applyFill="1" applyBorder="1" applyAlignment="1" applyProtection="1">
      <alignment horizontal="center"/>
      <protection locked="0"/>
    </xf>
    <xf numFmtId="0" fontId="6" fillId="6" borderId="25" xfId="0" applyFont="1" applyFill="1" applyBorder="1"/>
    <xf numFmtId="2" fontId="6" fillId="6" borderId="25" xfId="0" applyNumberFormat="1" applyFont="1" applyFill="1" applyBorder="1" applyAlignment="1" applyProtection="1">
      <alignment horizontal="center"/>
      <protection locked="0"/>
    </xf>
    <xf numFmtId="4" fontId="6" fillId="6" borderId="25" xfId="0" applyNumberFormat="1" applyFont="1" applyFill="1" applyBorder="1" applyAlignment="1" applyProtection="1">
      <alignment horizontal="center"/>
      <protection locked="0"/>
    </xf>
    <xf numFmtId="0" fontId="25" fillId="6" borderId="25" xfId="0" applyFont="1" applyFill="1" applyBorder="1"/>
    <xf numFmtId="0" fontId="25" fillId="9" borderId="21" xfId="0" applyFont="1" applyFill="1" applyBorder="1"/>
    <xf numFmtId="0" fontId="25" fillId="7" borderId="0" xfId="0" applyFont="1" applyFill="1" applyBorder="1"/>
    <xf numFmtId="0" fontId="6" fillId="0" borderId="14" xfId="0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4" fontId="23" fillId="0" borderId="0" xfId="0" applyNumberFormat="1" applyFont="1" applyFill="1" applyAlignment="1" applyProtection="1">
      <alignment horizontal="center"/>
      <protection locked="0"/>
    </xf>
    <xf numFmtId="0" fontId="0" fillId="0" borderId="16" xfId="0" applyBorder="1"/>
    <xf numFmtId="4" fontId="6" fillId="3" borderId="12" xfId="0" applyNumberFormat="1" applyFont="1" applyFill="1" applyBorder="1"/>
    <xf numFmtId="4" fontId="6" fillId="3" borderId="15" xfId="0" applyNumberFormat="1" applyFont="1" applyFill="1" applyBorder="1"/>
    <xf numFmtId="4" fontId="6" fillId="3" borderId="13" xfId="0" applyNumberFormat="1" applyFont="1" applyFill="1" applyBorder="1"/>
    <xf numFmtId="4" fontId="6" fillId="3" borderId="26" xfId="0" applyNumberFormat="1" applyFont="1" applyFill="1" applyBorder="1"/>
    <xf numFmtId="0" fontId="6" fillId="3" borderId="0" xfId="0" applyFont="1" applyFill="1" applyBorder="1" applyAlignment="1">
      <alignment horizontal="center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3" fontId="6" fillId="2" borderId="24" xfId="0" applyNumberFormat="1" applyFont="1" applyFill="1" applyBorder="1" applyAlignment="1" applyProtection="1">
      <alignment horizontal="center"/>
      <protection locked="0"/>
    </xf>
    <xf numFmtId="3" fontId="6" fillId="2" borderId="14" xfId="0" applyNumberFormat="1" applyFont="1" applyFill="1" applyBorder="1" applyAlignment="1" applyProtection="1">
      <alignment horizontal="center"/>
      <protection locked="0"/>
    </xf>
    <xf numFmtId="3" fontId="6" fillId="3" borderId="15" xfId="0" applyNumberFormat="1" applyFont="1" applyFill="1" applyBorder="1" applyAlignment="1" applyProtection="1">
      <alignment horizontal="center"/>
    </xf>
    <xf numFmtId="3" fontId="0" fillId="0" borderId="0" xfId="0" applyNumberFormat="1" applyProtection="1"/>
    <xf numFmtId="3" fontId="7" fillId="0" borderId="0" xfId="0" applyNumberFormat="1" applyFont="1" applyProtection="1"/>
    <xf numFmtId="3" fontId="0" fillId="0" borderId="11" xfId="0" applyNumberFormat="1" applyFill="1" applyBorder="1" applyProtection="1"/>
    <xf numFmtId="169" fontId="0" fillId="0" borderId="11" xfId="0" applyNumberFormat="1" applyFill="1" applyBorder="1" applyProtection="1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/>
    <xf numFmtId="0" fontId="4" fillId="10" borderId="0" xfId="0" applyFont="1" applyFill="1" applyBorder="1" applyAlignment="1" applyProtection="1">
      <alignment horizontal="center"/>
    </xf>
    <xf numFmtId="0" fontId="4" fillId="10" borderId="0" xfId="0" applyFont="1" applyFill="1" applyBorder="1" applyAlignment="1" applyProtection="1">
      <alignment horizontal="left" wrapText="1"/>
    </xf>
    <xf numFmtId="4" fontId="4" fillId="10" borderId="0" xfId="0" applyNumberFormat="1" applyFont="1" applyFill="1" applyBorder="1" applyAlignment="1" applyProtection="1">
      <alignment horizontal="center" wrapText="1"/>
    </xf>
    <xf numFmtId="4" fontId="27" fillId="0" borderId="0" xfId="0" applyNumberFormat="1" applyFont="1" applyAlignment="1" applyProtection="1">
      <alignment horizontal="left"/>
      <protection locked="0"/>
    </xf>
    <xf numFmtId="165" fontId="12" fillId="0" borderId="23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4" fontId="7" fillId="0" borderId="0" xfId="0" applyNumberFormat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4" fillId="0" borderId="16" xfId="0" applyFont="1" applyBorder="1"/>
    <xf numFmtId="0" fontId="4" fillId="4" borderId="16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2" fontId="6" fillId="0" borderId="0" xfId="0" applyNumberFormat="1" applyFont="1"/>
    <xf numFmtId="14" fontId="6" fillId="0" borderId="0" xfId="0" applyNumberFormat="1" applyFont="1"/>
    <xf numFmtId="14" fontId="28" fillId="0" borderId="0" xfId="0" applyNumberFormat="1" applyFont="1"/>
    <xf numFmtId="0" fontId="28" fillId="0" borderId="0" xfId="0" applyFont="1"/>
    <xf numFmtId="2" fontId="28" fillId="0" borderId="0" xfId="0" applyNumberFormat="1" applyFont="1"/>
    <xf numFmtId="14" fontId="29" fillId="0" borderId="0" xfId="0" applyNumberFormat="1" applyFont="1"/>
    <xf numFmtId="0" fontId="29" fillId="0" borderId="0" xfId="0" applyFont="1"/>
    <xf numFmtId="2" fontId="29" fillId="0" borderId="0" xfId="0" applyNumberFormat="1" applyFont="1"/>
    <xf numFmtId="4" fontId="8" fillId="0" borderId="0" xfId="0" applyNumberFormat="1" applyFont="1" applyProtection="1"/>
    <xf numFmtId="4" fontId="17" fillId="12" borderId="0" xfId="0" applyNumberFormat="1" applyFont="1" applyFill="1" applyAlignment="1" applyProtection="1">
      <alignment horizontal="right"/>
      <protection locked="0"/>
    </xf>
    <xf numFmtId="2" fontId="0" fillId="0" borderId="0" xfId="0" applyNumberFormat="1"/>
    <xf numFmtId="0" fontId="30" fillId="0" borderId="0" xfId="0" applyFont="1" applyBorder="1" applyAlignment="1" applyProtection="1">
      <alignment horizontal="center"/>
    </xf>
    <xf numFmtId="164" fontId="6" fillId="0" borderId="4" xfId="2" applyNumberFormat="1" applyFont="1" applyFill="1" applyBorder="1" applyAlignment="1" applyProtection="1">
      <alignment horizontal="center"/>
    </xf>
    <xf numFmtId="4" fontId="0" fillId="0" borderId="13" xfId="0" applyNumberFormat="1" applyBorder="1" applyAlignment="1" applyProtection="1">
      <alignment horizontal="center"/>
    </xf>
    <xf numFmtId="4" fontId="6" fillId="0" borderId="17" xfId="0" applyNumberFormat="1" applyFont="1" applyBorder="1" applyAlignment="1" applyProtection="1">
      <alignment horizontal="center"/>
    </xf>
    <xf numFmtId="4" fontId="12" fillId="0" borderId="13" xfId="0" applyNumberFormat="1" applyFont="1" applyFill="1" applyBorder="1" applyAlignment="1" applyProtection="1">
      <alignment horizontal="center" wrapText="1"/>
    </xf>
    <xf numFmtId="4" fontId="4" fillId="0" borderId="26" xfId="0" applyNumberFormat="1" applyFont="1" applyFill="1" applyBorder="1" applyAlignment="1" applyProtection="1">
      <alignment horizontal="center" wrapText="1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4" fillId="0" borderId="0" xfId="0" applyFont="1" applyAlignment="1">
      <alignment horizontal="justify"/>
    </xf>
    <xf numFmtId="0" fontId="33" fillId="0" borderId="0" xfId="0" applyFont="1" applyAlignment="1"/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justify"/>
    </xf>
    <xf numFmtId="0" fontId="33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justify"/>
    </xf>
    <xf numFmtId="0" fontId="33" fillId="0" borderId="1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0" borderId="0" xfId="0" applyFont="1" applyAlignment="1">
      <alignment horizontal="left" wrapText="1"/>
    </xf>
    <xf numFmtId="4" fontId="33" fillId="0" borderId="1" xfId="0" applyNumberFormat="1" applyFont="1" applyBorder="1" applyAlignment="1">
      <alignment horizontal="right"/>
    </xf>
    <xf numFmtId="4" fontId="32" fillId="0" borderId="1" xfId="0" applyNumberFormat="1" applyFont="1" applyBorder="1" applyAlignment="1">
      <alignment horizontal="right"/>
    </xf>
    <xf numFmtId="0" fontId="33" fillId="0" borderId="18" xfId="0" applyFont="1" applyBorder="1" applyAlignment="1"/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justify"/>
    </xf>
    <xf numFmtId="0" fontId="33" fillId="0" borderId="0" xfId="0" applyFont="1" applyBorder="1" applyAlignment="1">
      <alignment horizontal="justify"/>
    </xf>
    <xf numFmtId="3" fontId="3" fillId="2" borderId="1" xfId="0" applyNumberFormat="1" applyFont="1" applyFill="1" applyBorder="1" applyProtection="1">
      <protection locked="0"/>
    </xf>
    <xf numFmtId="10" fontId="3" fillId="2" borderId="1" xfId="0" applyNumberFormat="1" applyFont="1" applyFill="1" applyBorder="1" applyProtection="1">
      <protection locked="0"/>
    </xf>
    <xf numFmtId="0" fontId="0" fillId="12" borderId="16" xfId="0" applyFill="1" applyBorder="1" applyProtection="1">
      <protection locked="0"/>
    </xf>
    <xf numFmtId="2" fontId="33" fillId="12" borderId="1" xfId="0" applyNumberFormat="1" applyFont="1" applyFill="1" applyBorder="1" applyAlignment="1" applyProtection="1">
      <alignment horizontal="right"/>
      <protection locked="0"/>
    </xf>
    <xf numFmtId="9" fontId="33" fillId="12" borderId="1" xfId="0" applyNumberFormat="1" applyFont="1" applyFill="1" applyBorder="1" applyAlignment="1" applyProtection="1">
      <alignment horizontal="right"/>
      <protection locked="0"/>
    </xf>
    <xf numFmtId="0" fontId="33" fillId="12" borderId="1" xfId="0" applyFont="1" applyFill="1" applyBorder="1" applyAlignment="1" applyProtection="1">
      <alignment horizontal="justify"/>
      <protection locked="0"/>
    </xf>
    <xf numFmtId="0" fontId="33" fillId="12" borderId="1" xfId="0" applyFont="1" applyFill="1" applyBorder="1" applyAlignment="1" applyProtection="1">
      <alignment horizontal="right"/>
      <protection locked="0"/>
    </xf>
    <xf numFmtId="0" fontId="32" fillId="12" borderId="1" xfId="0" applyFont="1" applyFill="1" applyBorder="1" applyAlignment="1" applyProtection="1">
      <alignment horizontal="justify"/>
      <protection locked="0"/>
    </xf>
    <xf numFmtId="0" fontId="33" fillId="12" borderId="1" xfId="0" applyFont="1" applyFill="1" applyBorder="1" applyAlignment="1" applyProtection="1">
      <protection locked="0"/>
    </xf>
    <xf numFmtId="14" fontId="33" fillId="12" borderId="0" xfId="0" applyNumberFormat="1" applyFont="1" applyFill="1" applyAlignment="1" applyProtection="1">
      <protection locked="0"/>
    </xf>
    <xf numFmtId="3" fontId="33" fillId="12" borderId="1" xfId="0" applyNumberFormat="1" applyFont="1" applyFill="1" applyBorder="1" applyAlignment="1" applyProtection="1">
      <alignment horizontal="right"/>
      <protection locked="0"/>
    </xf>
    <xf numFmtId="4" fontId="27" fillId="0" borderId="0" xfId="0" applyNumberFormat="1" applyFont="1" applyProtection="1"/>
    <xf numFmtId="14" fontId="0" fillId="0" borderId="0" xfId="0" applyNumberFormat="1"/>
    <xf numFmtId="2" fontId="6" fillId="13" borderId="0" xfId="0" applyNumberFormat="1" applyFont="1" applyFill="1"/>
    <xf numFmtId="0" fontId="26" fillId="12" borderId="0" xfId="0" applyFont="1" applyFill="1" applyProtection="1">
      <protection locked="0"/>
    </xf>
    <xf numFmtId="14" fontId="6" fillId="0" borderId="0" xfId="0" applyNumberFormat="1" applyFont="1" applyFill="1"/>
    <xf numFmtId="0" fontId="6" fillId="0" borderId="0" xfId="0" applyFont="1" applyFill="1"/>
    <xf numFmtId="2" fontId="6" fillId="0" borderId="0" xfId="0" applyNumberFormat="1" applyFont="1" applyFill="1"/>
    <xf numFmtId="169" fontId="6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center" wrapText="1"/>
    </xf>
    <xf numFmtId="165" fontId="3" fillId="2" borderId="0" xfId="0" applyNumberFormat="1" applyFont="1" applyFill="1" applyAlignment="1" applyProtection="1">
      <alignment horizontal="right"/>
      <protection locked="0"/>
    </xf>
    <xf numFmtId="169" fontId="6" fillId="0" borderId="0" xfId="0" applyNumberFormat="1" applyFont="1" applyBorder="1" applyAlignment="1" applyProtection="1">
      <alignment horizontal="center"/>
    </xf>
    <xf numFmtId="169" fontId="6" fillId="0" borderId="13" xfId="0" applyNumberFormat="1" applyFont="1" applyFill="1" applyBorder="1" applyAlignment="1" applyProtection="1">
      <alignment horizontal="center" wrapText="1"/>
    </xf>
    <xf numFmtId="169" fontId="4" fillId="0" borderId="0" xfId="0" applyNumberFormat="1" applyFont="1" applyFill="1" applyAlignment="1" applyProtection="1">
      <alignment horizontal="right"/>
    </xf>
    <xf numFmtId="169" fontId="7" fillId="0" borderId="0" xfId="0" applyNumberFormat="1" applyFont="1" applyAlignment="1" applyProtection="1">
      <alignment horizontal="left"/>
    </xf>
    <xf numFmtId="169" fontId="4" fillId="0" borderId="0" xfId="0" applyNumberFormat="1" applyFont="1" applyAlignment="1" applyProtection="1">
      <alignment horizontal="left"/>
    </xf>
    <xf numFmtId="169" fontId="4" fillId="0" borderId="0" xfId="0" applyNumberFormat="1" applyFont="1" applyAlignment="1" applyProtection="1">
      <alignment horizontal="right"/>
    </xf>
    <xf numFmtId="165" fontId="0" fillId="2" borderId="0" xfId="0" applyNumberFormat="1" applyFill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center"/>
    </xf>
    <xf numFmtId="0" fontId="4" fillId="14" borderId="14" xfId="0" applyFont="1" applyFill="1" applyBorder="1" applyAlignment="1" applyProtection="1">
      <alignment horizontal="center"/>
    </xf>
    <xf numFmtId="0" fontId="6" fillId="14" borderId="14" xfId="0" applyFont="1" applyFill="1" applyBorder="1" applyAlignment="1" applyProtection="1">
      <alignment horizontal="left" wrapText="1"/>
    </xf>
    <xf numFmtId="0" fontId="6" fillId="14" borderId="14" xfId="0" applyFont="1" applyFill="1" applyBorder="1" applyAlignment="1" applyProtection="1"/>
    <xf numFmtId="4" fontId="6" fillId="14" borderId="14" xfId="0" applyNumberFormat="1" applyFont="1" applyFill="1" applyBorder="1" applyAlignment="1" applyProtection="1">
      <alignment horizontal="center" wrapText="1"/>
    </xf>
    <xf numFmtId="4" fontId="6" fillId="14" borderId="14" xfId="0" applyNumberFormat="1" applyFont="1" applyFill="1" applyBorder="1" applyAlignment="1" applyProtection="1">
      <alignment horizontal="center"/>
    </xf>
    <xf numFmtId="4" fontId="6" fillId="14" borderId="15" xfId="0" applyNumberFormat="1" applyFont="1" applyFill="1" applyBorder="1" applyAlignment="1" applyProtection="1">
      <alignment horizontal="center" wrapText="1"/>
    </xf>
    <xf numFmtId="0" fontId="4" fillId="14" borderId="14" xfId="0" applyFont="1" applyFill="1" applyBorder="1" applyProtection="1"/>
    <xf numFmtId="2" fontId="4" fillId="14" borderId="14" xfId="0" applyNumberFormat="1" applyFont="1" applyFill="1" applyBorder="1" applyAlignment="1" applyProtection="1">
      <alignment horizontal="center"/>
    </xf>
    <xf numFmtId="0" fontId="4" fillId="14" borderId="0" xfId="0" applyFont="1" applyFill="1" applyBorder="1" applyAlignment="1" applyProtection="1">
      <alignment horizontal="center"/>
    </xf>
    <xf numFmtId="0" fontId="6" fillId="14" borderId="0" xfId="0" applyFont="1" applyFill="1" applyBorder="1" applyAlignment="1" applyProtection="1">
      <alignment horizontal="left" wrapText="1"/>
    </xf>
    <xf numFmtId="0" fontId="4" fillId="14" borderId="0" xfId="0" applyFont="1" applyFill="1" applyBorder="1" applyProtection="1"/>
    <xf numFmtId="4" fontId="6" fillId="14" borderId="0" xfId="0" applyNumberFormat="1" applyFont="1" applyFill="1" applyBorder="1" applyAlignment="1" applyProtection="1">
      <alignment horizontal="center"/>
    </xf>
    <xf numFmtId="4" fontId="4" fillId="15" borderId="0" xfId="0" applyNumberFormat="1" applyFont="1" applyFill="1" applyBorder="1" applyAlignment="1" applyProtection="1">
      <alignment horizontal="center"/>
    </xf>
    <xf numFmtId="4" fontId="6" fillId="14" borderId="27" xfId="0" applyNumberFormat="1" applyFont="1" applyFill="1" applyBorder="1" applyAlignment="1" applyProtection="1">
      <alignment horizontal="center" wrapText="1"/>
    </xf>
    <xf numFmtId="4" fontId="4" fillId="14" borderId="14" xfId="0" applyNumberFormat="1" applyFont="1" applyFill="1" applyBorder="1" applyAlignment="1" applyProtection="1">
      <alignment horizontal="center"/>
    </xf>
    <xf numFmtId="4" fontId="4" fillId="14" borderId="15" xfId="0" applyNumberFormat="1" applyFont="1" applyFill="1" applyBorder="1" applyAlignment="1" applyProtection="1">
      <alignment horizontal="center"/>
    </xf>
    <xf numFmtId="0" fontId="4" fillId="14" borderId="20" xfId="0" applyFont="1" applyFill="1" applyBorder="1" applyAlignment="1" applyProtection="1">
      <alignment horizontal="center"/>
    </xf>
    <xf numFmtId="0" fontId="6" fillId="14" borderId="20" xfId="0" applyFont="1" applyFill="1" applyBorder="1" applyAlignment="1" applyProtection="1">
      <alignment horizontal="left" wrapText="1"/>
    </xf>
    <xf numFmtId="169" fontId="6" fillId="14" borderId="20" xfId="0" applyNumberFormat="1" applyFont="1" applyFill="1" applyBorder="1" applyAlignment="1" applyProtection="1">
      <alignment horizontal="center" wrapText="1"/>
    </xf>
    <xf numFmtId="169" fontId="6" fillId="14" borderId="21" xfId="0" applyNumberFormat="1" applyFont="1" applyFill="1" applyBorder="1" applyAlignment="1" applyProtection="1">
      <alignment horizontal="center" wrapText="1"/>
    </xf>
    <xf numFmtId="169" fontId="6" fillId="14" borderId="28" xfId="0" applyNumberFormat="1" applyFont="1" applyFill="1" applyBorder="1" applyAlignment="1" applyProtection="1">
      <alignment horizontal="center" wrapText="1"/>
    </xf>
    <xf numFmtId="0" fontId="6" fillId="14" borderId="24" xfId="0" applyFont="1" applyFill="1" applyBorder="1" applyProtection="1"/>
    <xf numFmtId="0" fontId="6" fillId="14" borderId="14" xfId="0" applyFont="1" applyFill="1" applyBorder="1" applyProtection="1"/>
    <xf numFmtId="0" fontId="6" fillId="14" borderId="14" xfId="0" applyFont="1" applyFill="1" applyBorder="1" applyAlignment="1" applyProtection="1">
      <alignment horizontal="left"/>
    </xf>
    <xf numFmtId="0" fontId="6" fillId="14" borderId="14" xfId="0" applyFont="1" applyFill="1" applyBorder="1" applyAlignment="1" applyProtection="1">
      <alignment wrapText="1"/>
    </xf>
    <xf numFmtId="0" fontId="6" fillId="14" borderId="14" xfId="0" applyFont="1" applyFill="1" applyBorder="1" applyAlignment="1" applyProtection="1">
      <alignment horizontal="center" wrapText="1"/>
    </xf>
    <xf numFmtId="0" fontId="9" fillId="14" borderId="14" xfId="0" applyFont="1" applyFill="1" applyBorder="1" applyAlignment="1" applyProtection="1">
      <alignment horizontal="center" wrapText="1"/>
    </xf>
    <xf numFmtId="0" fontId="6" fillId="14" borderId="14" xfId="0" applyFont="1" applyFill="1" applyBorder="1" applyAlignment="1" applyProtection="1">
      <alignment horizontal="center"/>
    </xf>
    <xf numFmtId="4" fontId="6" fillId="14" borderId="1" xfId="0" applyNumberFormat="1" applyFont="1" applyFill="1" applyBorder="1" applyAlignment="1" applyProtection="1">
      <alignment horizontal="center" wrapText="1"/>
    </xf>
    <xf numFmtId="0" fontId="36" fillId="16" borderId="14" xfId="0" applyFont="1" applyFill="1" applyBorder="1" applyAlignment="1" applyProtection="1">
      <alignment horizontal="center" wrapText="1"/>
    </xf>
    <xf numFmtId="0" fontId="37" fillId="16" borderId="14" xfId="0" applyFont="1" applyFill="1" applyBorder="1" applyAlignment="1" applyProtection="1">
      <alignment horizontal="center" wrapText="1"/>
    </xf>
    <xf numFmtId="0" fontId="36" fillId="16" borderId="14" xfId="0" applyFont="1" applyFill="1" applyBorder="1" applyAlignment="1" applyProtection="1">
      <alignment horizontal="center"/>
    </xf>
    <xf numFmtId="4" fontId="36" fillId="16" borderId="1" xfId="0" applyNumberFormat="1" applyFont="1" applyFill="1" applyBorder="1" applyAlignment="1" applyProtection="1">
      <alignment horizontal="center" wrapText="1"/>
    </xf>
    <xf numFmtId="2" fontId="36" fillId="0" borderId="0" xfId="0" applyNumberFormat="1" applyFont="1"/>
    <xf numFmtId="0" fontId="30" fillId="0" borderId="0" xfId="0" applyFont="1"/>
    <xf numFmtId="0" fontId="39" fillId="0" borderId="0" xfId="0" applyFont="1"/>
    <xf numFmtId="4" fontId="39" fillId="0" borderId="0" xfId="0" applyNumberFormat="1" applyFont="1"/>
    <xf numFmtId="0" fontId="4" fillId="0" borderId="0" xfId="0" applyFont="1" applyBorder="1" applyAlignment="1" applyProtection="1">
      <alignment horizont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40" fillId="14" borderId="1" xfId="0" applyFont="1" applyFill="1" applyBorder="1" applyAlignment="1">
      <alignment vertical="center"/>
    </xf>
    <xf numFmtId="0" fontId="40" fillId="14" borderId="1" xfId="0" applyFont="1" applyFill="1" applyBorder="1" applyAlignment="1">
      <alignment horizontal="center" vertical="center" wrapText="1"/>
    </xf>
    <xf numFmtId="3" fontId="40" fillId="0" borderId="1" xfId="0" applyNumberFormat="1" applyFont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3" fontId="40" fillId="14" borderId="1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right" vertical="center" wrapText="1"/>
    </xf>
    <xf numFmtId="0" fontId="42" fillId="14" borderId="1" xfId="0" applyFont="1" applyFill="1" applyBorder="1" applyAlignment="1">
      <alignment vertical="center" wrapText="1"/>
    </xf>
    <xf numFmtId="3" fontId="42" fillId="14" borderId="1" xfId="0" applyNumberFormat="1" applyFont="1" applyFill="1" applyBorder="1" applyAlignment="1">
      <alignment horizontal="right" vertical="center" wrapText="1"/>
    </xf>
    <xf numFmtId="3" fontId="42" fillId="14" borderId="1" xfId="0" applyNumberFormat="1" applyFont="1" applyFill="1" applyBorder="1" applyAlignment="1">
      <alignment vertical="center"/>
    </xf>
    <xf numFmtId="0" fontId="5" fillId="12" borderId="0" xfId="0" applyFont="1" applyFill="1" applyBorder="1" applyAlignment="1" applyProtection="1">
      <alignment horizontal="left" vertical="center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3" fontId="40" fillId="12" borderId="1" xfId="0" applyNumberFormat="1" applyFont="1" applyFill="1" applyBorder="1" applyAlignment="1" applyProtection="1">
      <alignment vertical="center"/>
      <protection locked="0"/>
    </xf>
    <xf numFmtId="0" fontId="6" fillId="12" borderId="0" xfId="0" applyFont="1" applyFill="1"/>
    <xf numFmtId="0" fontId="0" fillId="12" borderId="0" xfId="0" applyFill="1"/>
    <xf numFmtId="0" fontId="30" fillId="0" borderId="0" xfId="0" applyFont="1" applyAlignment="1">
      <alignment vertical="top"/>
    </xf>
    <xf numFmtId="0" fontId="41" fillId="12" borderId="16" xfId="0" applyFont="1" applyFill="1" applyBorder="1" applyAlignment="1" applyProtection="1">
      <alignment vertical="center"/>
      <protection locked="0"/>
    </xf>
    <xf numFmtId="0" fontId="26" fillId="0" borderId="16" xfId="0" applyFont="1" applyBorder="1" applyProtection="1">
      <protection locked="0"/>
    </xf>
    <xf numFmtId="0" fontId="26" fillId="12" borderId="16" xfId="0" applyFont="1" applyFill="1" applyBorder="1" applyProtection="1">
      <protection locked="0"/>
    </xf>
    <xf numFmtId="0" fontId="26" fillId="0" borderId="0" xfId="0" applyFont="1" applyFill="1"/>
    <xf numFmtId="0" fontId="26" fillId="0" borderId="0" xfId="0" applyFont="1" applyFill="1" applyProtection="1">
      <protection locked="0"/>
    </xf>
    <xf numFmtId="14" fontId="26" fillId="0" borderId="0" xfId="0" applyNumberFormat="1" applyFont="1" applyFill="1" applyProtection="1">
      <protection locked="0"/>
    </xf>
    <xf numFmtId="165" fontId="6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Alignment="1"/>
    <xf numFmtId="170" fontId="3" fillId="0" borderId="4" xfId="0" applyNumberFormat="1" applyFont="1" applyFill="1" applyBorder="1"/>
    <xf numFmtId="0" fontId="3" fillId="0" borderId="4" xfId="0" applyFont="1" applyBorder="1" applyAlignment="1">
      <alignment wrapText="1"/>
    </xf>
    <xf numFmtId="0" fontId="4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30" fillId="0" borderId="0" xfId="0" applyFont="1" applyAlignment="1">
      <alignment horizontal="left" vertical="top" wrapText="1"/>
    </xf>
    <xf numFmtId="0" fontId="20" fillId="11" borderId="16" xfId="0" applyFont="1" applyFill="1" applyBorder="1" applyAlignment="1" applyProtection="1">
      <alignment horizontal="center" vertical="center" wrapText="1"/>
    </xf>
    <xf numFmtId="4" fontId="20" fillId="8" borderId="1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6" fillId="0" borderId="16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14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vertical="center" textRotation="90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14" borderId="14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6" fillId="16" borderId="24" xfId="0" applyFont="1" applyFill="1" applyBorder="1" applyAlignment="1" applyProtection="1">
      <alignment horizontal="center" wrapText="1"/>
    </xf>
    <xf numFmtId="0" fontId="36" fillId="16" borderId="14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33" fillId="0" borderId="1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12" borderId="0" xfId="0" applyFont="1" applyFill="1" applyAlignment="1" applyProtection="1">
      <alignment horizontal="left" wrapText="1"/>
      <protection locked="0"/>
    </xf>
    <xf numFmtId="0" fontId="33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0" xfId="0" applyFont="1" applyAlignment="1">
      <alignment horizontal="right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2" fillId="0" borderId="16" xfId="0" applyFont="1" applyBorder="1" applyAlignment="1">
      <alignment horizontal="left" wrapText="1"/>
    </xf>
    <xf numFmtId="0" fontId="33" fillId="0" borderId="0" xfId="0" quotePrefix="1" applyFont="1" applyAlignment="1">
      <alignment horizontal="left" wrapText="1"/>
    </xf>
    <xf numFmtId="0" fontId="33" fillId="0" borderId="24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3" fillId="0" borderId="24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3" fillId="0" borderId="24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43" fillId="0" borderId="0" xfId="0" applyFont="1" applyAlignment="1">
      <alignment vertical="center"/>
    </xf>
    <xf numFmtId="0" fontId="40" fillId="14" borderId="1" xfId="0" applyFont="1" applyFill="1" applyBorder="1" applyAlignment="1">
      <alignment horizontal="center" vertical="center" wrapText="1"/>
    </xf>
  </cellXfs>
  <cellStyles count="10">
    <cellStyle name="Euro" xfId="1" xr:uid="{00000000-0005-0000-0000-000000000000}"/>
    <cellStyle name="Navadno" xfId="0" builtinId="0"/>
    <cellStyle name="Navadno 2" xfId="4" xr:uid="{00000000-0005-0000-0000-000002000000}"/>
    <cellStyle name="Navadno 2 2" xfId="8" xr:uid="{6D708EE9-77EE-4C09-B3B9-BAB9CBF342C4}"/>
    <cellStyle name="Normal_Sheet3" xfId="6" xr:uid="{00000000-0005-0000-0000-000003000000}"/>
    <cellStyle name="Odstotek" xfId="2" builtinId="5"/>
    <cellStyle name="Odstotek 2" xfId="3" xr:uid="{00000000-0005-0000-0000-000005000000}"/>
    <cellStyle name="Odstotek 2 2" xfId="7" xr:uid="{FA00FAD1-EA05-44C8-8C44-986B8492A0A3}"/>
    <cellStyle name="Odstotek 3" xfId="5" xr:uid="{00000000-0005-0000-0000-000006000000}"/>
    <cellStyle name="Odstotek 3 2" xfId="9" xr:uid="{41F5E99E-F905-4D37-8CA7-4A8E464EEB8B}"/>
  </cellStyles>
  <dxfs count="1">
    <dxf>
      <font>
        <color rgb="FF00FFFF"/>
      </font>
    </dxf>
  </dxfs>
  <tableStyles count="0" defaultTableStyle="TableStyleMedium9" defaultPivotStyle="PivotStyleLight16"/>
  <colors>
    <mruColors>
      <color rgb="FFFFFF99"/>
      <color rgb="FF99CC00"/>
      <color rgb="FF00CCFF"/>
      <color rgb="FF00FFFF"/>
      <color rgb="FFFFCC99"/>
      <color rgb="FFFFCC66"/>
      <color rgb="FFFF99CC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B10" sqref="B10:J10"/>
    </sheetView>
  </sheetViews>
  <sheetFormatPr defaultRowHeight="12.75"/>
  <cols>
    <col min="1" max="1" width="9.5" bestFit="1" customWidth="1"/>
  </cols>
  <sheetData>
    <row r="1" spans="1:10">
      <c r="A1" s="387" t="s">
        <v>289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>
      <c r="A2" s="312"/>
      <c r="B2" s="215"/>
      <c r="C2" s="215"/>
      <c r="D2" s="215"/>
      <c r="E2" s="215"/>
      <c r="F2" s="215"/>
      <c r="G2" s="215"/>
      <c r="H2" s="215"/>
      <c r="I2" s="215"/>
      <c r="J2" s="215"/>
    </row>
    <row r="3" spans="1:10">
      <c r="A3">
        <v>1</v>
      </c>
      <c r="B3" t="s">
        <v>283</v>
      </c>
    </row>
    <row r="4" spans="1:10">
      <c r="A4">
        <v>2</v>
      </c>
      <c r="B4" t="s">
        <v>284</v>
      </c>
    </row>
    <row r="5" spans="1:10">
      <c r="A5">
        <v>3</v>
      </c>
      <c r="B5" t="s">
        <v>285</v>
      </c>
    </row>
    <row r="6" spans="1:10">
      <c r="A6">
        <v>4</v>
      </c>
      <c r="B6" s="198" t="s">
        <v>286</v>
      </c>
    </row>
    <row r="7" spans="1:10">
      <c r="A7">
        <v>5</v>
      </c>
      <c r="B7" s="198" t="s">
        <v>287</v>
      </c>
    </row>
    <row r="8" spans="1:10">
      <c r="A8">
        <v>6</v>
      </c>
      <c r="B8" s="198" t="s">
        <v>290</v>
      </c>
    </row>
    <row r="9" spans="1:10">
      <c r="A9">
        <v>7</v>
      </c>
      <c r="B9" s="198" t="s">
        <v>288</v>
      </c>
    </row>
    <row r="10" spans="1:10" ht="120" customHeight="1">
      <c r="A10" s="389">
        <v>8</v>
      </c>
      <c r="B10" s="402" t="s">
        <v>291</v>
      </c>
      <c r="C10" s="402"/>
      <c r="D10" s="402"/>
      <c r="E10" s="402"/>
      <c r="F10" s="402"/>
      <c r="G10" s="402"/>
      <c r="H10" s="402"/>
      <c r="I10" s="402"/>
      <c r="J10" s="402"/>
    </row>
    <row r="12" spans="1:10">
      <c r="A12" s="3" t="s">
        <v>295</v>
      </c>
    </row>
    <row r="13" spans="1:10">
      <c r="A13" s="2"/>
      <c r="B13" s="400" t="s">
        <v>180</v>
      </c>
      <c r="C13" s="400"/>
      <c r="D13" s="400"/>
      <c r="E13" s="401" t="s">
        <v>181</v>
      </c>
      <c r="F13" s="401"/>
      <c r="G13" s="401"/>
    </row>
    <row r="14" spans="1:10">
      <c r="A14" s="256" t="s">
        <v>182</v>
      </c>
      <c r="B14" s="257" t="s">
        <v>183</v>
      </c>
      <c r="C14" s="257" t="s">
        <v>184</v>
      </c>
      <c r="D14" s="257" t="s">
        <v>185</v>
      </c>
      <c r="E14" s="258" t="s">
        <v>183</v>
      </c>
      <c r="F14" s="258" t="s">
        <v>184</v>
      </c>
      <c r="G14" s="258" t="s">
        <v>185</v>
      </c>
    </row>
    <row r="15" spans="1:10" hidden="1">
      <c r="A15" s="261">
        <v>39083</v>
      </c>
      <c r="B15" s="262"/>
      <c r="C15" s="262"/>
      <c r="D15" s="262"/>
      <c r="E15" s="263">
        <f t="shared" ref="E15:G18" si="0">ROUND(B15*12/365,2)</f>
        <v>0</v>
      </c>
      <c r="F15" s="263">
        <f t="shared" si="0"/>
        <v>0</v>
      </c>
      <c r="G15" s="263">
        <f t="shared" si="0"/>
        <v>0</v>
      </c>
    </row>
    <row r="16" spans="1:10" hidden="1">
      <c r="A16" s="261">
        <v>39630</v>
      </c>
      <c r="B16" s="262">
        <v>139.47</v>
      </c>
      <c r="C16" s="262">
        <v>278.94</v>
      </c>
      <c r="D16" s="262">
        <v>398.48</v>
      </c>
      <c r="E16" s="263">
        <f t="shared" si="0"/>
        <v>4.59</v>
      </c>
      <c r="F16" s="263">
        <f t="shared" si="0"/>
        <v>9.17</v>
      </c>
      <c r="G16" s="263">
        <f t="shared" si="0"/>
        <v>13.1</v>
      </c>
    </row>
    <row r="17" spans="1:8" hidden="1">
      <c r="A17" s="264">
        <v>39995</v>
      </c>
      <c r="B17" s="265">
        <v>142.68</v>
      </c>
      <c r="C17" s="265">
        <v>285.36</v>
      </c>
      <c r="D17" s="265">
        <v>407.65</v>
      </c>
      <c r="E17" s="266">
        <f t="shared" si="0"/>
        <v>4.6900000000000004</v>
      </c>
      <c r="F17" s="266">
        <f t="shared" si="0"/>
        <v>9.3800000000000008</v>
      </c>
      <c r="G17" s="266">
        <f t="shared" si="0"/>
        <v>13.4</v>
      </c>
    </row>
    <row r="18" spans="1:8" hidden="1">
      <c r="A18" s="261">
        <v>40360</v>
      </c>
      <c r="B18" s="262">
        <v>144.38999999999999</v>
      </c>
      <c r="C18" s="262">
        <v>288.77999999999997</v>
      </c>
      <c r="D18" s="262">
        <v>412.54</v>
      </c>
      <c r="E18" s="263">
        <f t="shared" si="0"/>
        <v>4.75</v>
      </c>
      <c r="F18" s="263">
        <f t="shared" si="0"/>
        <v>9.49</v>
      </c>
      <c r="G18" s="263">
        <f t="shared" si="0"/>
        <v>13.56</v>
      </c>
    </row>
    <row r="19" spans="1:8" hidden="1">
      <c r="A19" s="261">
        <v>40725</v>
      </c>
      <c r="B19" s="262">
        <v>145.08000000000001</v>
      </c>
      <c r="C19" s="262">
        <v>290.14999999999998</v>
      </c>
      <c r="D19" s="262">
        <v>414.5</v>
      </c>
      <c r="E19" s="263">
        <f t="shared" ref="E19:G20" si="1">ROUND(B19*12/365,2)</f>
        <v>4.7699999999999996</v>
      </c>
      <c r="F19" s="263">
        <f t="shared" si="1"/>
        <v>9.5399999999999991</v>
      </c>
      <c r="G19" s="263">
        <f t="shared" si="1"/>
        <v>13.63</v>
      </c>
    </row>
    <row r="20" spans="1:8" hidden="1">
      <c r="A20" s="264">
        <v>41275</v>
      </c>
      <c r="B20" s="265">
        <v>146.06</v>
      </c>
      <c r="C20" s="265">
        <v>292.11</v>
      </c>
      <c r="D20" s="266">
        <v>418.88</v>
      </c>
      <c r="E20" s="266">
        <f t="shared" si="1"/>
        <v>4.8</v>
      </c>
      <c r="F20" s="266">
        <f t="shared" si="1"/>
        <v>9.6</v>
      </c>
      <c r="G20" s="266">
        <f t="shared" si="1"/>
        <v>13.77</v>
      </c>
    </row>
    <row r="21" spans="1:8" hidden="1">
      <c r="A21" s="311">
        <v>41275</v>
      </c>
      <c r="B21" s="312">
        <v>146.06</v>
      </c>
      <c r="C21" s="312">
        <v>292.11</v>
      </c>
      <c r="D21" s="313">
        <v>418.88</v>
      </c>
      <c r="E21" s="309">
        <f>ROUND(B21*12/366,2)</f>
        <v>4.79</v>
      </c>
      <c r="F21" s="309">
        <f>ROUND(C21*12/366,2)</f>
        <v>9.58</v>
      </c>
      <c r="G21" s="309">
        <f>ROUND(D21*12/366,2)</f>
        <v>13.73</v>
      </c>
      <c r="H21" t="s">
        <v>250</v>
      </c>
    </row>
    <row r="22" spans="1:8">
      <c r="A22" s="260">
        <v>43466</v>
      </c>
      <c r="B22" s="259">
        <f>ROUND(B20*1.027,2)</f>
        <v>150</v>
      </c>
      <c r="C22" s="259">
        <f t="shared" ref="C22:D22" si="2">ROUND(C20*1.027,2)</f>
        <v>300</v>
      </c>
      <c r="D22" s="259">
        <f t="shared" si="2"/>
        <v>430.19</v>
      </c>
      <c r="E22" s="360">
        <f t="shared" ref="E22" si="3">ROUND(B22*12/365,2)</f>
        <v>4.93</v>
      </c>
      <c r="F22" s="360">
        <f t="shared" ref="F22" si="4">ROUND(C22*12/365,2)</f>
        <v>9.86</v>
      </c>
      <c r="G22" s="360">
        <f t="shared" ref="G22" si="5">ROUND(D22*12/365,2)</f>
        <v>14.14</v>
      </c>
    </row>
    <row r="35" spans="10:10">
      <c r="J35" s="308"/>
    </row>
    <row r="36" spans="10:10">
      <c r="J36" s="308"/>
    </row>
  </sheetData>
  <sheetProtection sheet="1" objects="1" scenarios="1"/>
  <mergeCells count="3">
    <mergeCell ref="B13:D13"/>
    <mergeCell ref="E13:G13"/>
    <mergeCell ref="B10:J10"/>
  </mergeCells>
  <phoneticPr fontId="2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J30"/>
  <sheetViews>
    <sheetView workbookViewId="0">
      <pane xSplit="3" ySplit="1" topLeftCell="D2" activePane="bottomRight" state="frozen"/>
      <selection activeCell="B10" sqref="B10:J10"/>
      <selection pane="topRight" activeCell="B10" sqref="B10:J10"/>
      <selection pane="bottomLeft" activeCell="B10" sqref="B10:J10"/>
      <selection pane="bottomRight" activeCell="D9" sqref="D9"/>
    </sheetView>
  </sheetViews>
  <sheetFormatPr defaultRowHeight="12.75"/>
  <cols>
    <col min="1" max="1" width="2.1640625" bestFit="1" customWidth="1"/>
    <col min="2" max="2" width="18.83203125" customWidth="1"/>
    <col min="3" max="3" width="21.1640625" customWidth="1"/>
    <col min="4" max="4" width="13.6640625" customWidth="1"/>
    <col min="5" max="6" width="19.1640625" customWidth="1"/>
    <col min="7" max="7" width="14.5" customWidth="1"/>
    <col min="8" max="8" width="16.6640625" customWidth="1"/>
    <col min="9" max="13" width="17" customWidth="1"/>
  </cols>
  <sheetData>
    <row r="1" spans="1:9" s="166" customFormat="1" ht="63">
      <c r="B1" s="403">
        <f>'IZRAČUN CEN'!D3</f>
        <v>0</v>
      </c>
      <c r="C1" s="403"/>
      <c r="D1" s="194" t="s">
        <v>166</v>
      </c>
      <c r="E1" s="167" t="s">
        <v>134</v>
      </c>
      <c r="F1" s="167" t="s">
        <v>135</v>
      </c>
      <c r="G1" s="171" t="s">
        <v>136</v>
      </c>
      <c r="H1" s="171"/>
      <c r="I1" s="170"/>
    </row>
    <row r="2" spans="1:9" s="198" customFormat="1" ht="16.5" customHeight="1">
      <c r="B2" s="404" t="s">
        <v>158</v>
      </c>
      <c r="C2" s="404"/>
      <c r="D2" s="178"/>
      <c r="E2" s="178">
        <f>+'IZRAČUN CEN'!F83</f>
        <v>0</v>
      </c>
      <c r="F2" s="178">
        <f>+'IZRAČUN CEN'!I83</f>
        <v>0</v>
      </c>
      <c r="G2" s="200"/>
      <c r="H2" s="200"/>
      <c r="I2" s="199"/>
    </row>
    <row r="3" spans="1:9" s="166" customFormat="1" ht="15.75" customHeight="1">
      <c r="B3" s="404" t="s">
        <v>157</v>
      </c>
      <c r="C3" s="404"/>
      <c r="D3" s="178"/>
      <c r="E3" s="178">
        <f>+'IZRAČUN CEN'!F114</f>
        <v>0</v>
      </c>
      <c r="F3" s="178">
        <f>+'IZRAČUN CEN'!I114</f>
        <v>0</v>
      </c>
      <c r="G3" s="171"/>
      <c r="H3" s="171"/>
      <c r="I3" s="170"/>
    </row>
    <row r="4" spans="1:9">
      <c r="A4" s="175"/>
      <c r="B4" s="405" t="s">
        <v>142</v>
      </c>
      <c r="C4" s="405"/>
      <c r="D4" s="195">
        <f>+G4</f>
        <v>0</v>
      </c>
      <c r="E4" s="227">
        <f>+'IZRAČUN CEN'!F3</f>
        <v>0</v>
      </c>
      <c r="F4" s="227">
        <f>+'IZRAČUN CEN'!I3</f>
        <v>0</v>
      </c>
      <c r="G4" s="172">
        <f>SUM(E4:F4)</f>
        <v>0</v>
      </c>
    </row>
    <row r="5" spans="1:9" s="3" customFormat="1">
      <c r="A5" s="196"/>
      <c r="B5" s="224" t="s">
        <v>147</v>
      </c>
      <c r="C5" s="221"/>
      <c r="D5" s="222" t="e">
        <f>+G5</f>
        <v>#DIV/0!</v>
      </c>
      <c r="E5" s="222" t="e">
        <f>+'IZRAČUN CEN'!F49</f>
        <v>#DIV/0!</v>
      </c>
      <c r="F5" s="223" t="e">
        <f>+'IZRAČUN CEN'!I49</f>
        <v>#DIV/0!</v>
      </c>
      <c r="G5" s="201" t="e">
        <f>SUM(E5:F5)</f>
        <v>#DIV/0!</v>
      </c>
    </row>
    <row r="6" spans="1:9" ht="13.5" thickBot="1">
      <c r="A6" s="197"/>
      <c r="B6" s="225" t="s">
        <v>148</v>
      </c>
      <c r="C6" s="219"/>
      <c r="D6" s="220">
        <f>+G6</f>
        <v>0</v>
      </c>
      <c r="E6" s="220">
        <f>+'IZRAČUN CEN'!F51</f>
        <v>0</v>
      </c>
      <c r="F6" s="220">
        <f>+'IZRAČUN CEN'!I51</f>
        <v>0</v>
      </c>
      <c r="G6" s="172">
        <f>SUM(E6:F6)</f>
        <v>0</v>
      </c>
    </row>
    <row r="7" spans="1:9" ht="14.25" thickTop="1" thickBot="1">
      <c r="A7" s="193"/>
      <c r="B7" s="226" t="s">
        <v>152</v>
      </c>
      <c r="C7" s="216"/>
      <c r="D7" s="217">
        <f>+G7</f>
        <v>0</v>
      </c>
      <c r="E7" s="218">
        <f>+'IZRAČUN CEN'!F91</f>
        <v>0</v>
      </c>
      <c r="F7" s="218">
        <f>+'IZRAČUN CEN'!I91</f>
        <v>0</v>
      </c>
      <c r="G7" s="255">
        <f>SUM(E7:F7)</f>
        <v>0</v>
      </c>
    </row>
    <row r="8" spans="1:9" ht="13.5" thickTop="1">
      <c r="A8" s="364"/>
      <c r="B8" s="55"/>
      <c r="C8" s="364"/>
      <c r="D8" s="396"/>
      <c r="E8" s="324"/>
      <c r="F8" s="324"/>
      <c r="G8" s="325"/>
    </row>
    <row r="9" spans="1:9">
      <c r="A9" s="54">
        <v>1</v>
      </c>
      <c r="B9" s="55" t="s">
        <v>39</v>
      </c>
      <c r="C9" s="54" t="s">
        <v>40</v>
      </c>
      <c r="D9" s="323"/>
      <c r="E9" s="324">
        <f>IF(E4&gt;0,($D$9/$D$4*E4),0)</f>
        <v>0</v>
      </c>
      <c r="F9" s="324">
        <f>IF(F4&gt;0,($D$9/$D$4*F4),0)</f>
        <v>0</v>
      </c>
      <c r="G9" s="325">
        <f>SUM(E9:F9)</f>
        <v>0</v>
      </c>
    </row>
    <row r="10" spans="1:9" hidden="1">
      <c r="A10" s="54">
        <v>2</v>
      </c>
      <c r="B10" s="64" t="s">
        <v>43</v>
      </c>
      <c r="C10" s="54" t="s">
        <v>40</v>
      </c>
      <c r="D10" s="323"/>
      <c r="E10" s="324">
        <f>IF(E4&gt;0,($D$10/$D$4*E4),0)</f>
        <v>0</v>
      </c>
      <c r="F10" s="324">
        <f>IF(F4&gt;0,($D$10/$D$4*F4),0)</f>
        <v>0</v>
      </c>
      <c r="G10" s="325">
        <f>SUM(E10:F10)</f>
        <v>0</v>
      </c>
    </row>
    <row r="11" spans="1:9" hidden="1">
      <c r="A11" s="54">
        <v>3</v>
      </c>
      <c r="B11" s="64" t="s">
        <v>44</v>
      </c>
      <c r="C11" s="54" t="s">
        <v>40</v>
      </c>
      <c r="D11" s="323"/>
      <c r="E11" s="324">
        <f>IF(E4&gt;0,($D$11/$D$4*E4),0)</f>
        <v>0</v>
      </c>
      <c r="F11" s="324">
        <f>IF(F4&gt;0,($D$11/$D$4*F4),0)</f>
        <v>0</v>
      </c>
      <c r="G11" s="325">
        <f>SUM(E11:F11)</f>
        <v>0</v>
      </c>
    </row>
    <row r="12" spans="1:9" hidden="1">
      <c r="A12" s="54">
        <v>4</v>
      </c>
      <c r="B12" s="64" t="s">
        <v>45</v>
      </c>
      <c r="C12" s="54" t="s">
        <v>40</v>
      </c>
      <c r="D12" s="323"/>
      <c r="E12" s="324">
        <f>IF(E4&gt;0,($D$12/$D$4*E4),0)</f>
        <v>0</v>
      </c>
      <c r="F12" s="324">
        <f>IF(F4&gt;0,($D$12/$D$4*F4),0)</f>
        <v>0</v>
      </c>
      <c r="G12" s="325">
        <f>SUM(E12:F12)</f>
        <v>0</v>
      </c>
    </row>
    <row r="13" spans="1:9">
      <c r="A13" s="3"/>
      <c r="B13" s="136" t="s">
        <v>292</v>
      </c>
      <c r="C13" s="3"/>
      <c r="D13" s="326">
        <f>SUM(D9:D12)</f>
        <v>0</v>
      </c>
      <c r="E13" s="326">
        <f t="shared" ref="E13:F13" si="0">SUM(E9:E12)</f>
        <v>0</v>
      </c>
      <c r="F13" s="326">
        <f t="shared" si="0"/>
        <v>0</v>
      </c>
      <c r="G13" s="326">
        <f>SUM(G9:G12)</f>
        <v>0</v>
      </c>
    </row>
    <row r="14" spans="1:9">
      <c r="A14" s="230"/>
      <c r="B14" s="407" t="s">
        <v>167</v>
      </c>
      <c r="C14" s="407"/>
      <c r="D14" s="407"/>
      <c r="E14" s="230"/>
      <c r="F14" s="230"/>
      <c r="G14" s="230"/>
    </row>
    <row r="15" spans="1:9">
      <c r="A15" s="54">
        <v>1</v>
      </c>
      <c r="B15" s="55" t="s">
        <v>39</v>
      </c>
      <c r="C15" s="54" t="s">
        <v>40</v>
      </c>
      <c r="D15" s="45"/>
      <c r="E15" s="173">
        <f>IF(E4&gt;0,($D$15/$D$4*E4),0)</f>
        <v>0</v>
      </c>
      <c r="F15" s="173">
        <f>IF(F4&gt;0,($D$15/$D$4*F4),0)</f>
        <v>0</v>
      </c>
      <c r="G15" s="173">
        <f>SUM(E15:F15)</f>
        <v>0</v>
      </c>
    </row>
    <row r="16" spans="1:9" hidden="1">
      <c r="A16" s="54">
        <v>2</v>
      </c>
      <c r="B16" s="64" t="s">
        <v>43</v>
      </c>
      <c r="C16" s="54" t="s">
        <v>40</v>
      </c>
      <c r="D16" s="45"/>
      <c r="E16" s="173">
        <f>IF(E4&gt;0,($D$16/$D$4*E4),0)</f>
        <v>0</v>
      </c>
      <c r="F16" s="173">
        <f>IF(F4&gt;0,($D$16/$D$4*F4),0)</f>
        <v>0</v>
      </c>
      <c r="G16" s="173">
        <f>SUM(E16:F16)</f>
        <v>0</v>
      </c>
    </row>
    <row r="17" spans="1:10" hidden="1">
      <c r="A17" s="54">
        <v>3</v>
      </c>
      <c r="B17" s="64" t="s">
        <v>44</v>
      </c>
      <c r="C17" s="54" t="s">
        <v>40</v>
      </c>
      <c r="D17" s="45"/>
      <c r="E17" s="173">
        <f>IF(E4&gt;0,($D$17/$D$4*E4),0)</f>
        <v>0</v>
      </c>
      <c r="F17" s="173">
        <f>IF(F4&gt;0,($D$17/$D$4*F4),0)</f>
        <v>0</v>
      </c>
      <c r="G17" s="173">
        <f>SUM(E17:F17)</f>
        <v>0</v>
      </c>
    </row>
    <row r="18" spans="1:10" hidden="1">
      <c r="A18" s="54">
        <v>4</v>
      </c>
      <c r="B18" s="64" t="s">
        <v>45</v>
      </c>
      <c r="C18" s="54" t="s">
        <v>40</v>
      </c>
      <c r="D18" s="45"/>
      <c r="E18" s="173">
        <f>IF(E4&gt;0,($D$18/$D$4*E4),0)</f>
        <v>0</v>
      </c>
      <c r="F18" s="173">
        <f>IF(F4&gt;0,($D$18/$D$4*F4),0)</f>
        <v>0</v>
      </c>
      <c r="G18" s="173">
        <f>SUM(E18:F18)</f>
        <v>0</v>
      </c>
    </row>
    <row r="19" spans="1:10">
      <c r="A19" s="3"/>
      <c r="B19" s="136" t="s">
        <v>293</v>
      </c>
      <c r="C19" s="397"/>
      <c r="D19" s="174">
        <f>SUM(D15:D18)</f>
        <v>0</v>
      </c>
      <c r="E19" s="174">
        <f t="shared" ref="E19:G19" si="1">SUM(E15:E18)</f>
        <v>0</v>
      </c>
      <c r="F19" s="174">
        <f t="shared" si="1"/>
        <v>0</v>
      </c>
      <c r="G19" s="174">
        <f t="shared" si="1"/>
        <v>0</v>
      </c>
    </row>
    <row r="20" spans="1:10" ht="13.5" thickBot="1">
      <c r="D20" s="235" t="s">
        <v>160</v>
      </c>
      <c r="E20" s="168"/>
      <c r="F20" s="168"/>
      <c r="H20" s="198"/>
    </row>
    <row r="21" spans="1:10">
      <c r="B21" s="406" t="s">
        <v>137</v>
      </c>
      <c r="C21" s="406"/>
      <c r="D21" s="231">
        <f>+'Max strošek najemnine'!B40</f>
        <v>0</v>
      </c>
      <c r="E21" s="229" t="e">
        <f>IF($D$22&lt;$D$21,E22,$D$21/$D$22*E22)</f>
        <v>#DIV/0!</v>
      </c>
      <c r="F21" s="229" t="e">
        <f>IF($D$22&lt;$D$21,F22,$D$21/$D$22*F22)</f>
        <v>#DIV/0!</v>
      </c>
      <c r="G21" s="184" t="e">
        <f>SUM(E21:F21)</f>
        <v>#DIV/0!</v>
      </c>
      <c r="I21" s="362" t="s">
        <v>252</v>
      </c>
    </row>
    <row r="22" spans="1:10">
      <c r="B22" s="410" t="s">
        <v>146</v>
      </c>
      <c r="C22" s="410"/>
      <c r="D22" s="232">
        <f>SUM(E22:F22)</f>
        <v>0</v>
      </c>
      <c r="E22" s="187"/>
      <c r="F22" s="187"/>
      <c r="G22" s="185">
        <f>SUM(E22:F22)</f>
        <v>0</v>
      </c>
      <c r="H22" s="21" t="str">
        <f>IF(D22&gt;D21,"zmanjšaj!","")</f>
        <v/>
      </c>
      <c r="I22" s="363">
        <f>'Max strošek najemnine'!B44</f>
        <v>0</v>
      </c>
      <c r="J22" s="361"/>
    </row>
    <row r="23" spans="1:10">
      <c r="B23" s="406" t="s">
        <v>138</v>
      </c>
      <c r="C23" s="406"/>
      <c r="D23" s="233">
        <f>+'Max strošek najemnine'!F25</f>
        <v>0</v>
      </c>
      <c r="E23" s="45"/>
      <c r="F23" s="45"/>
      <c r="G23" s="184">
        <f>SUM(E23:F23)</f>
        <v>0</v>
      </c>
      <c r="H23" s="21" t="str">
        <f>IF(G23&gt;D23,"zmanjšaj!","")</f>
        <v/>
      </c>
    </row>
    <row r="24" spans="1:10">
      <c r="B24" s="406" t="s">
        <v>139</v>
      </c>
      <c r="C24" s="406"/>
      <c r="D24" s="233">
        <f>+'Max strošek najemnine'!B30</f>
        <v>0</v>
      </c>
      <c r="E24" s="45"/>
      <c r="F24" s="45"/>
      <c r="G24" s="184">
        <f>SUM(E24:F24)</f>
        <v>0</v>
      </c>
      <c r="H24" s="21" t="str">
        <f>IF(G24&gt;D24,"zmanjšaj!","")</f>
        <v/>
      </c>
    </row>
    <row r="25" spans="1:10">
      <c r="B25" s="408" t="s">
        <v>140</v>
      </c>
      <c r="C25" s="408"/>
      <c r="D25" s="233">
        <f>+'Izračun stroškov financiranja'!C11</f>
        <v>0</v>
      </c>
      <c r="E25" s="45"/>
      <c r="F25" s="45"/>
      <c r="G25" s="184">
        <f>SUM(E25:F25)</f>
        <v>0</v>
      </c>
      <c r="H25" s="21" t="str">
        <f>IF(G25&gt;D25,"zmanjšaj!","")</f>
        <v/>
      </c>
    </row>
    <row r="26" spans="1:10" s="3" customFormat="1" ht="13.5" thickBot="1">
      <c r="B26" s="3" t="s">
        <v>71</v>
      </c>
      <c r="D26" s="234">
        <f>SUM(D21:D25)</f>
        <v>0</v>
      </c>
      <c r="E26" s="169" t="e">
        <f t="shared" ref="E26:G26" si="2">SUM(E21:E25)</f>
        <v>#DIV/0!</v>
      </c>
      <c r="F26" s="169" t="e">
        <f t="shared" si="2"/>
        <v>#DIV/0!</v>
      </c>
      <c r="G26" s="169" t="e">
        <f t="shared" si="2"/>
        <v>#DIV/0!</v>
      </c>
    </row>
    <row r="28" spans="1:10" s="163" customFormat="1">
      <c r="B28" s="163" t="s">
        <v>141</v>
      </c>
    </row>
    <row r="29" spans="1:10" s="163" customFormat="1">
      <c r="B29" s="409" t="s">
        <v>143</v>
      </c>
      <c r="C29" s="409"/>
      <c r="D29" s="409"/>
      <c r="E29" s="409"/>
      <c r="F29" s="409"/>
      <c r="G29" s="409"/>
    </row>
    <row r="30" spans="1:10">
      <c r="B30" s="409"/>
      <c r="C30" s="409"/>
      <c r="D30" s="409"/>
      <c r="E30" s="409"/>
      <c r="F30" s="409"/>
      <c r="G30" s="409"/>
    </row>
  </sheetData>
  <sheetProtection sheet="1" objects="1" scenarios="1"/>
  <mergeCells count="11">
    <mergeCell ref="B25:C25"/>
    <mergeCell ref="B29:G30"/>
    <mergeCell ref="B22:C22"/>
    <mergeCell ref="B23:C23"/>
    <mergeCell ref="B24:C24"/>
    <mergeCell ref="B1:C1"/>
    <mergeCell ref="B3:C3"/>
    <mergeCell ref="B4:C4"/>
    <mergeCell ref="B2:C2"/>
    <mergeCell ref="B21:C21"/>
    <mergeCell ref="B14:D14"/>
  </mergeCells>
  <phoneticPr fontId="22" type="noConversion"/>
  <conditionalFormatting sqref="B1:C1">
    <cfRule type="cellIs" dxfId="0" priority="1" operator="equal">
      <formula>0</formula>
    </cfRule>
  </conditionalFormatting>
  <dataValidations count="1">
    <dataValidation type="decimal" operator="lessThanOrEqual" allowBlank="1" showInputMessage="1" showErrorMessage="1" sqref="D9" xr:uid="{00000000-0002-0000-0100-000000000000}">
      <formula1>1</formula1>
    </dataValidation>
  </dataValidations>
  <pageMargins left="0.78740157480314965" right="0.78740157480314965" top="0.78740157480314965" bottom="0.78740157480314965" header="0.19685039370078741" footer="0.19685039370078741"/>
  <pageSetup paperSize="9" orientation="landscape" r:id="rId1"/>
  <headerFooter alignWithMargins="0">
    <oddHeader>&amp;LMDDSZ - Javni razpis za podelitev koncesij za opravljanje institucionalnega varstva v domovih za starejše; junij 2021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W115"/>
  <sheetViews>
    <sheetView zoomScaleNormal="100" workbookViewId="0">
      <selection activeCell="D3" sqref="D3"/>
    </sheetView>
  </sheetViews>
  <sheetFormatPr defaultRowHeight="12.75"/>
  <cols>
    <col min="1" max="1" width="8.33203125" customWidth="1"/>
    <col min="2" max="2" width="16.5" customWidth="1"/>
    <col min="3" max="3" width="8" customWidth="1"/>
    <col min="4" max="4" width="28.5" customWidth="1"/>
    <col min="5" max="5" width="12.5" customWidth="1"/>
    <col min="6" max="9" width="14.1640625" customWidth="1"/>
    <col min="10" max="10" width="12.6640625" customWidth="1"/>
  </cols>
  <sheetData>
    <row r="1" spans="1:23" ht="140.25">
      <c r="A1" s="52" t="s">
        <v>0</v>
      </c>
      <c r="B1" s="53"/>
      <c r="C1" s="54"/>
      <c r="D1" s="55" t="s">
        <v>1</v>
      </c>
      <c r="E1" s="56" t="s">
        <v>2</v>
      </c>
      <c r="F1" s="315" t="s">
        <v>3</v>
      </c>
      <c r="G1" s="315" t="s">
        <v>4</v>
      </c>
      <c r="H1" s="315" t="s">
        <v>5</v>
      </c>
      <c r="I1" s="315" t="s">
        <v>132</v>
      </c>
      <c r="J1" s="58" t="s">
        <v>133</v>
      </c>
    </row>
    <row r="2" spans="1:23">
      <c r="A2" s="53"/>
      <c r="B2" s="53"/>
      <c r="C2" s="54"/>
      <c r="D2" s="56" t="s">
        <v>123</v>
      </c>
      <c r="E2" s="54"/>
      <c r="F2" s="148" t="s">
        <v>6</v>
      </c>
      <c r="G2" s="148" t="s">
        <v>7</v>
      </c>
      <c r="H2" s="148" t="s">
        <v>8</v>
      </c>
      <c r="I2" s="148" t="s">
        <v>131</v>
      </c>
      <c r="J2" s="59"/>
    </row>
    <row r="3" spans="1:23" ht="23.25" customHeight="1">
      <c r="A3" s="60" t="s">
        <v>70</v>
      </c>
      <c r="B3" s="60" t="s">
        <v>195</v>
      </c>
      <c r="C3" s="60"/>
      <c r="D3" s="149"/>
      <c r="E3" s="61"/>
      <c r="F3" s="236"/>
      <c r="G3" s="236"/>
      <c r="H3" s="237"/>
      <c r="I3" s="238"/>
      <c r="J3" s="239">
        <f>+F3+I3</f>
        <v>0</v>
      </c>
    </row>
    <row r="4" spans="1:23">
      <c r="A4" s="60" t="s">
        <v>9</v>
      </c>
      <c r="B4" s="60"/>
      <c r="C4" s="60"/>
      <c r="D4" s="60"/>
      <c r="E4" s="61"/>
      <c r="F4" s="62" t="e">
        <f>+F3/J3</f>
        <v>#DIV/0!</v>
      </c>
      <c r="G4" s="62" t="e">
        <f>+G3/J3</f>
        <v>#DIV/0!</v>
      </c>
      <c r="H4" s="62" t="e">
        <f>+H3/J3</f>
        <v>#DIV/0!</v>
      </c>
      <c r="I4" s="271" t="e">
        <f>+I3/J3</f>
        <v>#DIV/0!</v>
      </c>
      <c r="J4" s="62" t="e">
        <f>+J3/J3</f>
        <v>#DIV/0!</v>
      </c>
    </row>
    <row r="5" spans="1:23">
      <c r="A5" s="61"/>
      <c r="B5" s="61"/>
      <c r="C5" s="63"/>
      <c r="D5" s="64"/>
      <c r="E5" s="61"/>
      <c r="F5" s="65"/>
      <c r="G5" s="65"/>
      <c r="H5" s="65"/>
      <c r="I5" s="65"/>
      <c r="J5" s="66"/>
    </row>
    <row r="6" spans="1:23" ht="15" customHeight="1">
      <c r="A6" s="411" t="s">
        <v>10</v>
      </c>
      <c r="B6" s="67"/>
      <c r="C6" s="327"/>
      <c r="D6" s="328" t="s">
        <v>77</v>
      </c>
      <c r="E6" s="329"/>
      <c r="F6" s="330" t="e">
        <f>SUM(F7:F18)</f>
        <v>#DIV/0!</v>
      </c>
      <c r="G6" s="330">
        <f>SUM(G7:G18)</f>
        <v>0</v>
      </c>
      <c r="H6" s="330">
        <f>SUM(H7:H18)</f>
        <v>0</v>
      </c>
      <c r="I6" s="331" t="e">
        <f>SUM(I7:I18)</f>
        <v>#DIV/0!</v>
      </c>
      <c r="J6" s="332" t="e">
        <f>SUM(F6:I6)</f>
        <v>#DIV/0!</v>
      </c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</row>
    <row r="7" spans="1:23" ht="15" customHeight="1">
      <c r="A7" s="411"/>
      <c r="B7" s="412" t="s">
        <v>11</v>
      </c>
      <c r="C7" s="54">
        <v>1</v>
      </c>
      <c r="D7" s="64" t="s">
        <v>168</v>
      </c>
      <c r="E7" s="69" t="s">
        <v>12</v>
      </c>
      <c r="F7" s="65" t="e">
        <f>((F3/J3)*2)</f>
        <v>#DIV/0!</v>
      </c>
      <c r="G7" s="65"/>
      <c r="H7" s="65"/>
      <c r="I7" s="65" t="e">
        <f>((I3/J3)*(2))</f>
        <v>#DIV/0!</v>
      </c>
      <c r="J7" s="66" t="e">
        <f>SUM(F7:I7)</f>
        <v>#DIV/0!</v>
      </c>
    </row>
    <row r="8" spans="1:23" ht="15" customHeight="1">
      <c r="A8" s="411"/>
      <c r="B8" s="412"/>
      <c r="C8" s="54">
        <v>2</v>
      </c>
      <c r="D8" s="64" t="s">
        <v>13</v>
      </c>
      <c r="E8" s="69" t="s">
        <v>12</v>
      </c>
      <c r="F8" s="65">
        <f>(F3*10.99/600)</f>
        <v>0</v>
      </c>
      <c r="G8" s="65"/>
      <c r="H8" s="65"/>
      <c r="I8" s="4">
        <f>(I3*10.99/600)</f>
        <v>0</v>
      </c>
      <c r="J8" s="66">
        <f t="shared" ref="J8:J18" si="0">SUM(F8:I8)</f>
        <v>0</v>
      </c>
    </row>
    <row r="9" spans="1:23" ht="15" customHeight="1">
      <c r="A9" s="411"/>
      <c r="B9" s="412"/>
      <c r="C9" s="54">
        <v>3</v>
      </c>
      <c r="D9" s="55" t="s">
        <v>14</v>
      </c>
      <c r="E9" s="54" t="s">
        <v>12</v>
      </c>
      <c r="F9" s="57">
        <f>(F3/84.8)</f>
        <v>0</v>
      </c>
      <c r="G9" s="24">
        <f>(((1/60)-(1/84.8))*G3)</f>
        <v>0</v>
      </c>
      <c r="H9" s="24">
        <f>(((1/48)-(1/84.8))*H3)</f>
        <v>0</v>
      </c>
      <c r="I9" s="70">
        <f>(I3/48)</f>
        <v>0</v>
      </c>
      <c r="J9" s="66">
        <f t="shared" si="0"/>
        <v>0</v>
      </c>
    </row>
    <row r="10" spans="1:23" ht="15" customHeight="1">
      <c r="A10" s="411"/>
      <c r="B10" s="412"/>
      <c r="C10" s="54">
        <v>4</v>
      </c>
      <c r="D10" s="55" t="s">
        <v>15</v>
      </c>
      <c r="E10" s="54" t="s">
        <v>16</v>
      </c>
      <c r="F10" s="57">
        <f>(F3/240)</f>
        <v>0</v>
      </c>
      <c r="G10" s="24"/>
      <c r="H10" s="24"/>
      <c r="I10" s="70">
        <f>(I3/240)</f>
        <v>0</v>
      </c>
      <c r="J10" s="66">
        <f t="shared" si="0"/>
        <v>0</v>
      </c>
    </row>
    <row r="11" spans="1:23" ht="15" customHeight="1">
      <c r="A11" s="411"/>
      <c r="B11" s="412"/>
      <c r="C11" s="54">
        <v>5</v>
      </c>
      <c r="D11" s="55" t="s">
        <v>27</v>
      </c>
      <c r="E11" s="54" t="s">
        <v>12</v>
      </c>
      <c r="F11" s="57">
        <f>(F3/36)</f>
        <v>0</v>
      </c>
      <c r="G11" s="24">
        <f>(((1/22)-(1/36))*G3)</f>
        <v>0</v>
      </c>
      <c r="H11" s="24">
        <f>(((1/16)-(1/36))*H3)</f>
        <v>0</v>
      </c>
      <c r="I11" s="70">
        <f>(I3/22)</f>
        <v>0</v>
      </c>
      <c r="J11" s="66">
        <f t="shared" si="0"/>
        <v>0</v>
      </c>
    </row>
    <row r="12" spans="1:23" ht="15" customHeight="1">
      <c r="A12" s="411"/>
      <c r="B12" s="412" t="s">
        <v>17</v>
      </c>
      <c r="C12" s="54">
        <v>1</v>
      </c>
      <c r="D12" s="55" t="s">
        <v>18</v>
      </c>
      <c r="E12" s="54" t="s">
        <v>12</v>
      </c>
      <c r="F12" s="57">
        <f>(F3/84)</f>
        <v>0</v>
      </c>
      <c r="G12" s="57"/>
      <c r="H12" s="57"/>
      <c r="I12" s="70">
        <f>(I3/84)</f>
        <v>0</v>
      </c>
      <c r="J12" s="66">
        <f t="shared" si="0"/>
        <v>0</v>
      </c>
    </row>
    <row r="13" spans="1:23" ht="15" customHeight="1">
      <c r="A13" s="411"/>
      <c r="B13" s="412"/>
      <c r="C13" s="54">
        <v>2</v>
      </c>
      <c r="D13" s="55" t="s">
        <v>169</v>
      </c>
      <c r="E13" s="54" t="s">
        <v>60</v>
      </c>
      <c r="F13" s="57">
        <f>(F3/36)</f>
        <v>0</v>
      </c>
      <c r="G13" s="57"/>
      <c r="H13" s="57"/>
      <c r="I13" s="70">
        <f>(I3/36)</f>
        <v>0</v>
      </c>
      <c r="J13" s="66">
        <f t="shared" si="0"/>
        <v>0</v>
      </c>
    </row>
    <row r="14" spans="1:23" ht="15" customHeight="1">
      <c r="A14" s="411"/>
      <c r="B14" s="412"/>
      <c r="C14" s="54">
        <v>3</v>
      </c>
      <c r="D14" s="55" t="s">
        <v>170</v>
      </c>
      <c r="E14" s="54" t="s">
        <v>19</v>
      </c>
      <c r="F14" s="57">
        <f>(F3/55)</f>
        <v>0</v>
      </c>
      <c r="G14" s="57"/>
      <c r="H14" s="57"/>
      <c r="I14" s="70">
        <f>(I3/55)</f>
        <v>0</v>
      </c>
      <c r="J14" s="66">
        <f t="shared" si="0"/>
        <v>0</v>
      </c>
    </row>
    <row r="15" spans="1:23" ht="15" customHeight="1">
      <c r="A15" s="411"/>
      <c r="B15" s="412"/>
      <c r="C15" s="54">
        <v>4</v>
      </c>
      <c r="D15" s="55" t="s">
        <v>20</v>
      </c>
      <c r="E15" s="54" t="s">
        <v>21</v>
      </c>
      <c r="F15" s="57">
        <f>(F3/240)</f>
        <v>0</v>
      </c>
      <c r="G15" s="57"/>
      <c r="H15" s="57"/>
      <c r="I15" s="70">
        <f>(I3/240)</f>
        <v>0</v>
      </c>
      <c r="J15" s="66">
        <f t="shared" si="0"/>
        <v>0</v>
      </c>
    </row>
    <row r="16" spans="1:23" ht="15" customHeight="1">
      <c r="A16" s="411"/>
      <c r="B16" s="68" t="s">
        <v>22</v>
      </c>
      <c r="C16" s="54">
        <v>1</v>
      </c>
      <c r="D16" s="55" t="s">
        <v>171</v>
      </c>
      <c r="E16" s="69" t="s">
        <v>19</v>
      </c>
      <c r="F16" s="57">
        <f>(F3/120)</f>
        <v>0</v>
      </c>
      <c r="G16" s="57"/>
      <c r="H16" s="57"/>
      <c r="I16" s="70">
        <f>(I3/120)</f>
        <v>0</v>
      </c>
      <c r="J16" s="66">
        <f t="shared" si="0"/>
        <v>0</v>
      </c>
    </row>
    <row r="17" spans="1:10" ht="15" customHeight="1">
      <c r="A17" s="411"/>
      <c r="B17" s="68"/>
      <c r="C17" s="247" t="s">
        <v>194</v>
      </c>
      <c r="D17" s="248" t="s">
        <v>171</v>
      </c>
      <c r="E17" s="69" t="s">
        <v>19</v>
      </c>
      <c r="F17" s="249">
        <f>IF(IZJAVA!A13="da",(F3/314),0)</f>
        <v>0</v>
      </c>
      <c r="G17" s="57"/>
      <c r="H17" s="57"/>
      <c r="I17" s="249">
        <f>IF(IZJAVA!A13="da",(I3/314),0)</f>
        <v>0</v>
      </c>
      <c r="J17" s="66">
        <f t="shared" si="0"/>
        <v>0</v>
      </c>
    </row>
    <row r="18" spans="1:10" ht="15" customHeight="1">
      <c r="A18" s="411"/>
      <c r="B18" s="68" t="s">
        <v>23</v>
      </c>
      <c r="C18" s="54">
        <v>1</v>
      </c>
      <c r="D18" s="55" t="s">
        <v>172</v>
      </c>
      <c r="E18" s="54" t="s">
        <v>19</v>
      </c>
      <c r="F18" s="57">
        <f>(F3/240)</f>
        <v>0</v>
      </c>
      <c r="G18" s="57"/>
      <c r="H18" s="57"/>
      <c r="I18" s="70">
        <f>(I3/240)</f>
        <v>0</v>
      </c>
      <c r="J18" s="66">
        <f t="shared" si="0"/>
        <v>0</v>
      </c>
    </row>
    <row r="19" spans="1:10" ht="9.75" customHeight="1">
      <c r="A19" s="71"/>
      <c r="B19" s="71"/>
      <c r="C19" s="72"/>
      <c r="D19" s="73"/>
      <c r="E19" s="72"/>
      <c r="F19" s="74"/>
      <c r="G19" s="74"/>
      <c r="H19" s="74"/>
      <c r="I19" s="76"/>
      <c r="J19" s="75"/>
    </row>
    <row r="20" spans="1:10" ht="15" customHeight="1">
      <c r="A20" s="411" t="s">
        <v>24</v>
      </c>
      <c r="B20" s="67"/>
      <c r="C20" s="327"/>
      <c r="D20" s="328" t="s">
        <v>78</v>
      </c>
      <c r="E20" s="329"/>
      <c r="F20" s="330">
        <f>+F21+F25</f>
        <v>0</v>
      </c>
      <c r="G20" s="330">
        <f>+G21+G25</f>
        <v>0</v>
      </c>
      <c r="H20" s="330">
        <f>+H21+H25</f>
        <v>0</v>
      </c>
      <c r="I20" s="331">
        <f>+I21+I25+I31</f>
        <v>0</v>
      </c>
      <c r="J20" s="332">
        <f t="shared" ref="J20:J27" si="1">SUM(F20:I20)</f>
        <v>0</v>
      </c>
    </row>
    <row r="21" spans="1:10" ht="15" customHeight="1">
      <c r="A21" s="411"/>
      <c r="B21" s="412" t="s">
        <v>26</v>
      </c>
      <c r="C21" s="77"/>
      <c r="D21" s="78" t="s">
        <v>25</v>
      </c>
      <c r="E21" s="79"/>
      <c r="F21" s="80">
        <f>SUM(F22:F24)</f>
        <v>0</v>
      </c>
      <c r="G21" s="80">
        <f>SUM(G22:G24)</f>
        <v>0</v>
      </c>
      <c r="H21" s="80">
        <f>SUM(H22:H24)</f>
        <v>0</v>
      </c>
      <c r="I21" s="82">
        <f>SUM(I22:I24)</f>
        <v>0</v>
      </c>
      <c r="J21" s="81">
        <f t="shared" si="1"/>
        <v>0</v>
      </c>
    </row>
    <row r="22" spans="1:10" ht="15" customHeight="1">
      <c r="A22" s="411"/>
      <c r="B22" s="412"/>
      <c r="C22" s="54">
        <v>1</v>
      </c>
      <c r="D22" s="55" t="s">
        <v>173</v>
      </c>
      <c r="E22" s="54" t="s">
        <v>60</v>
      </c>
      <c r="F22" s="83"/>
      <c r="G22" s="83"/>
      <c r="H22" s="83"/>
      <c r="I22" s="70">
        <f>(I3/6/5)</f>
        <v>0</v>
      </c>
      <c r="J22" s="66">
        <f t="shared" si="1"/>
        <v>0</v>
      </c>
    </row>
    <row r="23" spans="1:10" ht="15" customHeight="1">
      <c r="A23" s="411"/>
      <c r="B23" s="412"/>
      <c r="C23" s="54">
        <v>2</v>
      </c>
      <c r="D23" s="55" t="s">
        <v>174</v>
      </c>
      <c r="E23" s="54" t="s">
        <v>16</v>
      </c>
      <c r="F23" s="83"/>
      <c r="G23" s="83"/>
      <c r="H23" s="83"/>
      <c r="I23" s="70">
        <f>(I3/6/5)</f>
        <v>0</v>
      </c>
      <c r="J23" s="66">
        <f t="shared" si="1"/>
        <v>0</v>
      </c>
    </row>
    <row r="24" spans="1:10" ht="15" customHeight="1">
      <c r="A24" s="411"/>
      <c r="B24" s="412"/>
      <c r="C24" s="69">
        <v>3</v>
      </c>
      <c r="D24" s="64" t="s">
        <v>28</v>
      </c>
      <c r="E24" s="69" t="s">
        <v>19</v>
      </c>
      <c r="F24" s="83"/>
      <c r="G24" s="83"/>
      <c r="H24" s="83"/>
      <c r="I24" s="85">
        <f>(I3/6/5)</f>
        <v>0</v>
      </c>
      <c r="J24" s="66">
        <f t="shared" si="1"/>
        <v>0</v>
      </c>
    </row>
    <row r="25" spans="1:10" ht="15" customHeight="1">
      <c r="A25" s="411"/>
      <c r="B25" s="412" t="s">
        <v>30</v>
      </c>
      <c r="C25" s="54"/>
      <c r="D25" s="86" t="s">
        <v>29</v>
      </c>
      <c r="E25" s="87"/>
      <c r="F25" s="89">
        <f>SUM(F26:F30)</f>
        <v>0</v>
      </c>
      <c r="G25" s="89">
        <f>SUM(G26:G30)</f>
        <v>0</v>
      </c>
      <c r="H25" s="89">
        <f>SUM(H26:H30)</f>
        <v>0</v>
      </c>
      <c r="I25" s="89">
        <f>SUM(I26:I30)</f>
        <v>0</v>
      </c>
      <c r="J25" s="88">
        <f t="shared" si="1"/>
        <v>0</v>
      </c>
    </row>
    <row r="26" spans="1:10" ht="15" customHeight="1">
      <c r="A26" s="411"/>
      <c r="B26" s="412"/>
      <c r="C26" s="54">
        <v>1</v>
      </c>
      <c r="D26" s="64" t="s">
        <v>72</v>
      </c>
      <c r="E26" s="69" t="s">
        <v>19</v>
      </c>
      <c r="F26" s="83"/>
      <c r="G26" s="83"/>
      <c r="H26" s="83"/>
      <c r="I26" s="85">
        <f>(I3/6/5)</f>
        <v>0</v>
      </c>
      <c r="J26" s="66">
        <f t="shared" si="1"/>
        <v>0</v>
      </c>
    </row>
    <row r="27" spans="1:10" ht="15" customHeight="1">
      <c r="A27" s="411"/>
      <c r="B27" s="412"/>
      <c r="C27" s="54">
        <v>2</v>
      </c>
      <c r="D27" s="64" t="s">
        <v>175</v>
      </c>
      <c r="E27" s="69" t="s">
        <v>177</v>
      </c>
      <c r="F27" s="83"/>
      <c r="G27" s="83"/>
      <c r="H27" s="83"/>
      <c r="I27" s="85">
        <f>(I3/6/5)</f>
        <v>0</v>
      </c>
      <c r="J27" s="66">
        <f t="shared" si="1"/>
        <v>0</v>
      </c>
    </row>
    <row r="28" spans="1:10" ht="15" customHeight="1">
      <c r="A28" s="411"/>
      <c r="B28" s="412"/>
      <c r="C28" s="54">
        <v>3</v>
      </c>
      <c r="D28" s="64" t="s">
        <v>176</v>
      </c>
      <c r="E28" s="69" t="s">
        <v>31</v>
      </c>
      <c r="F28" s="83"/>
      <c r="G28" s="83"/>
      <c r="H28" s="83"/>
      <c r="I28" s="83"/>
      <c r="J28" s="84"/>
    </row>
    <row r="29" spans="1:10" ht="15" customHeight="1">
      <c r="A29" s="411"/>
      <c r="B29" s="412"/>
      <c r="C29" s="54">
        <v>4</v>
      </c>
      <c r="D29" s="64" t="s">
        <v>32</v>
      </c>
      <c r="E29" s="69" t="s">
        <v>31</v>
      </c>
      <c r="F29" s="85">
        <f>(F3/180)</f>
        <v>0</v>
      </c>
      <c r="G29" s="83"/>
      <c r="H29" s="83"/>
      <c r="I29" s="85">
        <f>(I3/66)</f>
        <v>0</v>
      </c>
      <c r="J29" s="66">
        <f>SUM(F29:I29)</f>
        <v>0</v>
      </c>
    </row>
    <row r="30" spans="1:10" ht="15" customHeight="1">
      <c r="A30" s="411"/>
      <c r="B30" s="68"/>
      <c r="C30" s="54">
        <v>5</v>
      </c>
      <c r="D30" s="64" t="s">
        <v>73</v>
      </c>
      <c r="E30" s="69" t="s">
        <v>31</v>
      </c>
      <c r="F30" s="83"/>
      <c r="G30" s="83"/>
      <c r="H30" s="83"/>
      <c r="I30" s="83"/>
      <c r="J30" s="84"/>
    </row>
    <row r="31" spans="1:10" ht="15" customHeight="1">
      <c r="A31" s="411"/>
      <c r="B31" s="412" t="s">
        <v>75</v>
      </c>
      <c r="C31" s="54"/>
      <c r="D31" s="78" t="s">
        <v>74</v>
      </c>
      <c r="E31" s="79"/>
      <c r="F31" s="90">
        <f>SUM(F32:F34)</f>
        <v>0</v>
      </c>
      <c r="G31" s="90">
        <f>SUM(G32:G34)</f>
        <v>0</v>
      </c>
      <c r="H31" s="90">
        <f>SUM(H32:H34)</f>
        <v>0</v>
      </c>
      <c r="I31" s="82">
        <f>SUM(I32:I34)</f>
        <v>0</v>
      </c>
      <c r="J31" s="91">
        <f>SUM(J32:J34)</f>
        <v>0</v>
      </c>
    </row>
    <row r="32" spans="1:10" ht="15" customHeight="1">
      <c r="A32" s="411"/>
      <c r="B32" s="412"/>
      <c r="C32" s="54">
        <v>1</v>
      </c>
      <c r="D32" s="55" t="s">
        <v>178</v>
      </c>
      <c r="E32" s="54" t="s">
        <v>31</v>
      </c>
      <c r="F32" s="83"/>
      <c r="G32" s="83"/>
      <c r="H32" s="83"/>
      <c r="I32" s="83"/>
      <c r="J32" s="84"/>
    </row>
    <row r="33" spans="1:10" ht="15" customHeight="1">
      <c r="A33" s="411"/>
      <c r="B33" s="412"/>
      <c r="C33" s="54">
        <v>2</v>
      </c>
      <c r="D33" s="55" t="s">
        <v>32</v>
      </c>
      <c r="E33" s="54" t="s">
        <v>31</v>
      </c>
      <c r="F33" s="83"/>
      <c r="G33" s="83"/>
      <c r="H33" s="83"/>
      <c r="I33" s="83"/>
      <c r="J33" s="84"/>
    </row>
    <row r="34" spans="1:10" ht="15" customHeight="1">
      <c r="A34" s="411"/>
      <c r="B34" s="412"/>
      <c r="C34" s="54">
        <v>3</v>
      </c>
      <c r="D34" s="55" t="s">
        <v>73</v>
      </c>
      <c r="E34" s="54" t="s">
        <v>31</v>
      </c>
      <c r="F34" s="83"/>
      <c r="G34" s="83"/>
      <c r="H34" s="83"/>
      <c r="I34" s="83"/>
      <c r="J34" s="84"/>
    </row>
    <row r="35" spans="1:10" ht="27.75" customHeight="1">
      <c r="A35" s="411"/>
      <c r="B35" s="53"/>
      <c r="C35" s="413" t="s">
        <v>33</v>
      </c>
      <c r="D35" s="413"/>
      <c r="E35" s="333"/>
      <c r="F35" s="330" t="e">
        <f>+F6+F20</f>
        <v>#DIV/0!</v>
      </c>
      <c r="G35" s="330">
        <f>+G6+G20</f>
        <v>0</v>
      </c>
      <c r="H35" s="330">
        <f>+H6+H20</f>
        <v>0</v>
      </c>
      <c r="I35" s="331" t="e">
        <f>I6+I20</f>
        <v>#DIV/0!</v>
      </c>
      <c r="J35" s="332" t="e">
        <f>SUM(F35:I35)</f>
        <v>#DIV/0!</v>
      </c>
    </row>
    <row r="36" spans="1:10" ht="8.25" customHeight="1">
      <c r="A36" s="67"/>
      <c r="B36" s="67"/>
      <c r="C36" s="69"/>
      <c r="D36" s="92"/>
      <c r="E36" s="67"/>
      <c r="F36" s="93"/>
      <c r="G36" s="93"/>
      <c r="H36" s="93"/>
      <c r="I36" s="94"/>
      <c r="J36" s="164"/>
    </row>
    <row r="37" spans="1:10" ht="26.25" customHeight="1">
      <c r="A37" s="411" t="s">
        <v>79</v>
      </c>
      <c r="B37" s="96" t="s">
        <v>35</v>
      </c>
      <c r="C37" s="327"/>
      <c r="D37" s="328" t="s">
        <v>34</v>
      </c>
      <c r="E37" s="333"/>
      <c r="F37" s="334" t="e">
        <f>((F35+F40)*0.06)</f>
        <v>#DIV/0!</v>
      </c>
      <c r="G37" s="334">
        <f>((G35+G40)*0.06)</f>
        <v>0</v>
      </c>
      <c r="H37" s="334">
        <f>((H35+H40)*0.06)</f>
        <v>0</v>
      </c>
      <c r="I37" s="334" t="e">
        <f>((I35+I40)*0.06)</f>
        <v>#DIV/0!</v>
      </c>
      <c r="J37" s="332" t="e">
        <f>SUM(F37:I37)</f>
        <v>#DIV/0!</v>
      </c>
    </row>
    <row r="38" spans="1:10" ht="7.5" customHeight="1">
      <c r="A38" s="411"/>
      <c r="B38" s="68"/>
      <c r="C38" s="54"/>
      <c r="D38" s="55"/>
      <c r="E38" s="54"/>
      <c r="F38" s="85"/>
      <c r="G38" s="85"/>
      <c r="H38" s="85"/>
      <c r="I38" s="70"/>
      <c r="J38" s="66"/>
    </row>
    <row r="39" spans="1:10" ht="26.25" customHeight="1">
      <c r="A39" s="411"/>
      <c r="B39" s="68" t="s">
        <v>37</v>
      </c>
      <c r="C39" s="327"/>
      <c r="D39" s="328" t="s">
        <v>36</v>
      </c>
      <c r="E39" s="333"/>
      <c r="F39" s="334" t="e">
        <f>((F35+F40)*0.06)</f>
        <v>#DIV/0!</v>
      </c>
      <c r="G39" s="334">
        <f t="shared" ref="G39:I39" si="2">((G35+G40)*0.06)</f>
        <v>0</v>
      </c>
      <c r="H39" s="334">
        <f t="shared" si="2"/>
        <v>0</v>
      </c>
      <c r="I39" s="334" t="e">
        <f t="shared" si="2"/>
        <v>#DIV/0!</v>
      </c>
      <c r="J39" s="332" t="e">
        <f>SUM(F39:I39)</f>
        <v>#DIV/0!</v>
      </c>
    </row>
    <row r="40" spans="1:10" ht="26.25" customHeight="1">
      <c r="A40" s="411"/>
      <c r="B40" s="412" t="s">
        <v>38</v>
      </c>
      <c r="C40" s="335"/>
      <c r="D40" s="336" t="s">
        <v>76</v>
      </c>
      <c r="E40" s="337"/>
      <c r="F40" s="338">
        <f>SUM(F41:F44)</f>
        <v>0</v>
      </c>
      <c r="G40" s="339"/>
      <c r="H40" s="339"/>
      <c r="I40" s="338">
        <f>SUM(I41:I44)</f>
        <v>0</v>
      </c>
      <c r="J40" s="340">
        <f>SUM(F40:I40)</f>
        <v>0</v>
      </c>
    </row>
    <row r="41" spans="1:10">
      <c r="A41" s="411"/>
      <c r="B41" s="412"/>
      <c r="C41" s="54">
        <v>1</v>
      </c>
      <c r="D41" s="55" t="s">
        <v>39</v>
      </c>
      <c r="E41" s="54" t="s">
        <v>40</v>
      </c>
      <c r="F41" s="159">
        <f>+POSLOVODENJE!E9</f>
        <v>0</v>
      </c>
      <c r="G41" s="83"/>
      <c r="H41" s="83"/>
      <c r="I41" s="57">
        <f>+POSLOVODENJE!F9</f>
        <v>0</v>
      </c>
      <c r="J41" s="66">
        <f>+F41+I41</f>
        <v>0</v>
      </c>
    </row>
    <row r="42" spans="1:10">
      <c r="A42" s="411"/>
      <c r="B42" s="412"/>
      <c r="C42" s="54">
        <v>2</v>
      </c>
      <c r="D42" s="64" t="s">
        <v>43</v>
      </c>
      <c r="E42" s="54" t="s">
        <v>40</v>
      </c>
      <c r="F42" s="159">
        <f>+POSLOVODENJE!E10</f>
        <v>0</v>
      </c>
      <c r="G42" s="83"/>
      <c r="H42" s="83"/>
      <c r="I42" s="57">
        <f>+POSLOVODENJE!F10</f>
        <v>0</v>
      </c>
      <c r="J42" s="66">
        <f>+F42+I42</f>
        <v>0</v>
      </c>
    </row>
    <row r="43" spans="1:10">
      <c r="A43" s="411"/>
      <c r="B43" s="412"/>
      <c r="C43" s="54">
        <v>3</v>
      </c>
      <c r="D43" s="64" t="s">
        <v>44</v>
      </c>
      <c r="E43" s="54" t="s">
        <v>40</v>
      </c>
      <c r="F43" s="159">
        <f>+POSLOVODENJE!E11</f>
        <v>0</v>
      </c>
      <c r="G43" s="83"/>
      <c r="H43" s="83"/>
      <c r="I43" s="57">
        <f>+POSLOVODENJE!F11</f>
        <v>0</v>
      </c>
      <c r="J43" s="66">
        <f>+F43+I43</f>
        <v>0</v>
      </c>
    </row>
    <row r="44" spans="1:10">
      <c r="A44" s="411"/>
      <c r="B44" s="412"/>
      <c r="C44" s="54">
        <v>4</v>
      </c>
      <c r="D44" s="64" t="s">
        <v>45</v>
      </c>
      <c r="E44" s="54" t="s">
        <v>40</v>
      </c>
      <c r="F44" s="159">
        <f>+POSLOVODENJE!E12</f>
        <v>0</v>
      </c>
      <c r="G44" s="83"/>
      <c r="H44" s="83"/>
      <c r="I44" s="57">
        <f>+POSLOVODENJE!F12</f>
        <v>0</v>
      </c>
      <c r="J44" s="66">
        <f>+F44+I44</f>
        <v>0</v>
      </c>
    </row>
    <row r="45" spans="1:10" ht="7.5" customHeight="1">
      <c r="A45" s="411"/>
      <c r="B45" s="53"/>
      <c r="C45" s="54"/>
      <c r="D45" s="55"/>
      <c r="E45" s="54"/>
      <c r="F45" s="95"/>
      <c r="G45" s="95"/>
      <c r="H45" s="95"/>
      <c r="I45" s="70"/>
      <c r="J45" s="272"/>
    </row>
    <row r="46" spans="1:10" ht="15" customHeight="1">
      <c r="A46" s="411"/>
      <c r="B46" s="67"/>
      <c r="C46" s="327"/>
      <c r="D46" s="328" t="s">
        <v>41</v>
      </c>
      <c r="E46" s="333"/>
      <c r="F46" s="341" t="e">
        <f>+F37+F39+F40</f>
        <v>#DIV/0!</v>
      </c>
      <c r="G46" s="341">
        <f t="shared" ref="G46:J46" si="3">+G37+G39+G40</f>
        <v>0</v>
      </c>
      <c r="H46" s="341">
        <f t="shared" si="3"/>
        <v>0</v>
      </c>
      <c r="I46" s="341" t="e">
        <f>+I37+I39+I40</f>
        <v>#DIV/0!</v>
      </c>
      <c r="J46" s="342" t="e">
        <f t="shared" si="3"/>
        <v>#DIV/0!</v>
      </c>
    </row>
    <row r="47" spans="1:10" ht="10.5" customHeight="1">
      <c r="A47" s="97"/>
      <c r="B47" s="97"/>
      <c r="C47" s="98"/>
      <c r="D47" s="99"/>
      <c r="E47" s="97"/>
      <c r="F47" s="100"/>
      <c r="G47" s="100"/>
      <c r="H47" s="100"/>
      <c r="I47" s="100"/>
      <c r="J47" s="273"/>
    </row>
    <row r="48" spans="1:10" ht="15" customHeight="1" thickBot="1">
      <c r="A48" s="101"/>
      <c r="B48" s="101"/>
      <c r="C48" s="343"/>
      <c r="D48" s="344" t="s">
        <v>42</v>
      </c>
      <c r="E48" s="344"/>
      <c r="F48" s="345" t="e">
        <f>ROUND(+F35+F46,3)</f>
        <v>#DIV/0!</v>
      </c>
      <c r="G48" s="345">
        <f>ROUND(+G35+G46,3)</f>
        <v>0</v>
      </c>
      <c r="H48" s="346">
        <f>ROUND(+H35+H46,3)</f>
        <v>0</v>
      </c>
      <c r="I48" s="346" t="e">
        <f>ROUND(I35+I46,3)</f>
        <v>#DIV/0!</v>
      </c>
      <c r="J48" s="347" t="e">
        <f>SUM(F48:I48)</f>
        <v>#DIV/0!</v>
      </c>
    </row>
    <row r="49" spans="1:10" ht="13.5" thickTop="1">
      <c r="A49" s="53"/>
      <c r="B49" s="53"/>
      <c r="C49" s="102" t="s">
        <v>46</v>
      </c>
      <c r="D49" s="103"/>
      <c r="E49" s="102"/>
      <c r="F49" s="317" t="e">
        <f>ROUND(+F48-F40,3)</f>
        <v>#DIV/0!</v>
      </c>
      <c r="G49" s="317">
        <f>ROUND(+G48-G40,3)</f>
        <v>0</v>
      </c>
      <c r="H49" s="317">
        <f>ROUND(+H48-H40,3)</f>
        <v>0</v>
      </c>
      <c r="I49" s="314" t="e">
        <f>ROUND(+I48-I40,3)</f>
        <v>#DIV/0!</v>
      </c>
      <c r="J49" s="318" t="e">
        <f>SUM(F49:I49)</f>
        <v>#DIV/0!</v>
      </c>
    </row>
    <row r="50" spans="1:10">
      <c r="A50" s="53"/>
      <c r="B50" s="53"/>
      <c r="C50" s="102"/>
      <c r="D50" s="103"/>
      <c r="E50" s="102"/>
      <c r="F50" s="270" t="str">
        <f>IF(F3&lt;&gt;0,IF(F51="","vnesi št. zap.",""),"")</f>
        <v/>
      </c>
      <c r="G50" s="270" t="str">
        <f t="shared" ref="G50:I50" si="4">IF(G3&lt;&gt;0,IF(G51="","vnesi št. zap.",""),"")</f>
        <v/>
      </c>
      <c r="H50" s="270" t="str">
        <f t="shared" si="4"/>
        <v/>
      </c>
      <c r="I50" s="270" t="str">
        <f t="shared" si="4"/>
        <v/>
      </c>
      <c r="J50" s="274"/>
    </row>
    <row r="51" spans="1:10">
      <c r="A51" s="103"/>
      <c r="B51" s="143" t="s">
        <v>47</v>
      </c>
      <c r="C51" s="144"/>
      <c r="D51" s="143"/>
      <c r="E51" s="143"/>
      <c r="F51" s="191"/>
      <c r="G51" s="191"/>
      <c r="H51" s="191"/>
      <c r="I51" s="191"/>
      <c r="J51" s="152">
        <f>SUM(F51:I51)</f>
        <v>0</v>
      </c>
    </row>
    <row r="52" spans="1:10">
      <c r="A52" s="103"/>
      <c r="B52" s="103"/>
      <c r="C52" s="103" t="s">
        <v>48</v>
      </c>
      <c r="D52" s="103"/>
      <c r="E52" s="103"/>
      <c r="F52" s="150" t="e">
        <f>+F49-F51</f>
        <v>#DIV/0!</v>
      </c>
      <c r="G52" s="150">
        <f>+G49-G51</f>
        <v>0</v>
      </c>
      <c r="H52" s="150">
        <f>+H49-H51</f>
        <v>0</v>
      </c>
      <c r="I52" s="150" t="e">
        <f t="shared" ref="I52" si="5">+I49-I51</f>
        <v>#DIV/0!</v>
      </c>
      <c r="J52" s="66" t="e">
        <f>SUM(F52:I52)</f>
        <v>#DIV/0!</v>
      </c>
    </row>
    <row r="53" spans="1:10" ht="13.5" thickBot="1">
      <c r="A53" s="103"/>
      <c r="B53" s="103"/>
      <c r="C53" s="103" t="s">
        <v>179</v>
      </c>
      <c r="D53" s="103"/>
      <c r="E53" s="103"/>
      <c r="F53" s="83"/>
      <c r="G53" s="83"/>
      <c r="H53" s="83"/>
      <c r="I53" s="83"/>
      <c r="J53" s="275">
        <f>SUM(F53:I53)</f>
        <v>0</v>
      </c>
    </row>
    <row r="54" spans="1:10" ht="13.5" thickBot="1">
      <c r="A54" s="104"/>
      <c r="B54" s="105"/>
      <c r="C54" s="106" t="s">
        <v>49</v>
      </c>
      <c r="D54" s="107"/>
      <c r="E54" s="106"/>
      <c r="F54" s="251" t="e">
        <f>ROUND(F49,3)</f>
        <v>#DIV/0!</v>
      </c>
      <c r="G54" s="251">
        <f>ROUND(G49,3)</f>
        <v>0</v>
      </c>
      <c r="H54" s="251">
        <f>ROUND(H49,3)</f>
        <v>0</v>
      </c>
      <c r="I54" s="251" t="e">
        <f>ROUND(I49,3)</f>
        <v>#DIV/0!</v>
      </c>
      <c r="J54" s="151" t="e">
        <f>+F54+G54+H54+I54</f>
        <v>#DIV/0!</v>
      </c>
    </row>
    <row r="55" spans="1:10">
      <c r="A55" s="103"/>
      <c r="B55" s="103"/>
      <c r="C55" s="103"/>
      <c r="D55" s="103"/>
      <c r="E55" s="103"/>
      <c r="F55" s="103"/>
      <c r="G55" s="103"/>
      <c r="H55" s="103"/>
      <c r="I55" s="103"/>
      <c r="J55" s="153"/>
    </row>
    <row r="56" spans="1:10" ht="38.25">
      <c r="A56" s="348"/>
      <c r="B56" s="349" t="s">
        <v>126</v>
      </c>
      <c r="C56" s="350"/>
      <c r="D56" s="351"/>
      <c r="E56" s="352" t="s">
        <v>128</v>
      </c>
      <c r="F56" s="352" t="s">
        <v>69</v>
      </c>
      <c r="G56" s="353" t="s">
        <v>120</v>
      </c>
      <c r="H56" s="354" t="s">
        <v>121</v>
      </c>
      <c r="I56" s="352" t="s">
        <v>80</v>
      </c>
      <c r="J56" s="355" t="s">
        <v>133</v>
      </c>
    </row>
    <row r="57" spans="1:10" ht="17.25" customHeight="1">
      <c r="A57" s="109"/>
      <c r="B57" s="109"/>
      <c r="C57" s="110"/>
      <c r="D57" s="111" t="s">
        <v>122</v>
      </c>
      <c r="E57" s="110"/>
      <c r="F57" s="112" t="s">
        <v>6</v>
      </c>
      <c r="G57" s="112" t="s">
        <v>6</v>
      </c>
      <c r="H57" s="113"/>
      <c r="I57" s="177" t="s">
        <v>131</v>
      </c>
      <c r="J57" s="180" t="s">
        <v>144</v>
      </c>
    </row>
    <row r="58" spans="1:10" ht="13.5" customHeight="1">
      <c r="A58" s="114" t="s">
        <v>50</v>
      </c>
      <c r="B58" s="115" t="s">
        <v>111</v>
      </c>
      <c r="C58" s="116"/>
      <c r="D58" s="116"/>
      <c r="E58" s="117"/>
      <c r="F58" s="118">
        <f>IF(F3&gt;0,F66+F67+F68+F69,0)</f>
        <v>0</v>
      </c>
      <c r="G58" s="48" t="e">
        <f>+F58/$F$81*100</f>
        <v>#DIV/0!</v>
      </c>
      <c r="H58" s="117"/>
      <c r="I58" s="118">
        <f>IF(I3&gt;0,I66+I67+I68+I69,0)</f>
        <v>0</v>
      </c>
      <c r="J58" s="47">
        <f>+F58+I58</f>
        <v>0</v>
      </c>
    </row>
    <row r="59" spans="1:10">
      <c r="A59" s="119" t="s">
        <v>51</v>
      </c>
      <c r="B59" s="414" t="s">
        <v>161</v>
      </c>
      <c r="C59" s="414"/>
      <c r="D59" s="414"/>
      <c r="E59" s="120"/>
      <c r="F59" s="145">
        <v>1133.76</v>
      </c>
      <c r="G59" s="122"/>
      <c r="H59" s="120"/>
      <c r="I59" s="165">
        <v>1190.47</v>
      </c>
      <c r="J59" s="146">
        <f>AVERAGE(F59:I59)</f>
        <v>1162.115</v>
      </c>
    </row>
    <row r="60" spans="1:10" ht="13.5">
      <c r="A60" s="119" t="s">
        <v>52</v>
      </c>
      <c r="B60" s="417" t="s">
        <v>113</v>
      </c>
      <c r="C60" s="417"/>
      <c r="D60" s="417"/>
      <c r="E60" s="120"/>
      <c r="F60" s="319" t="e">
        <f>+J54-I54-H49-G49</f>
        <v>#DIV/0!</v>
      </c>
      <c r="G60" s="320"/>
      <c r="H60" s="321"/>
      <c r="I60" s="322">
        <f>IF(I3&gt;0,I54,0)</f>
        <v>0</v>
      </c>
      <c r="J60" s="243" t="e">
        <f>+F60+I60</f>
        <v>#DIV/0!</v>
      </c>
    </row>
    <row r="61" spans="1:10">
      <c r="A61" s="54">
        <v>1</v>
      </c>
      <c r="B61" s="123" t="s">
        <v>67</v>
      </c>
      <c r="C61" s="124"/>
      <c r="D61" s="124"/>
      <c r="E61" s="103"/>
      <c r="F61" s="108" t="e">
        <f>+F59*F60</f>
        <v>#DIV/0!</v>
      </c>
      <c r="G61" s="125"/>
      <c r="H61" s="103"/>
      <c r="I61" s="108">
        <f>+I59*I60</f>
        <v>0</v>
      </c>
      <c r="J61" s="47" t="e">
        <f t="shared" ref="J61:J69" si="6">+F61+I61</f>
        <v>#DIV/0!</v>
      </c>
    </row>
    <row r="62" spans="1:10">
      <c r="A62" s="54">
        <v>2</v>
      </c>
      <c r="B62" s="123" t="s">
        <v>125</v>
      </c>
      <c r="C62" s="124"/>
      <c r="D62" s="124"/>
      <c r="E62" s="179"/>
      <c r="F62" s="126">
        <f>IF(F3&gt;0,POSLOVODENJE!E15,0)</f>
        <v>0</v>
      </c>
      <c r="G62" s="127"/>
      <c r="H62" s="46"/>
      <c r="I62" s="126">
        <f>IF(I3&gt;0,POSLOVODENJE!F15,0)</f>
        <v>0</v>
      </c>
      <c r="J62" s="47">
        <f t="shared" si="6"/>
        <v>0</v>
      </c>
    </row>
    <row r="63" spans="1:10" hidden="1">
      <c r="A63" s="54">
        <v>3</v>
      </c>
      <c r="B63" s="123" t="s">
        <v>81</v>
      </c>
      <c r="C63" s="124"/>
      <c r="D63" s="124"/>
      <c r="E63" s="179"/>
      <c r="F63" s="126">
        <f>IF(F3&gt;0,POSLOVODENJE!E16,0)</f>
        <v>0</v>
      </c>
      <c r="G63" s="127"/>
      <c r="H63" s="46"/>
      <c r="I63" s="126">
        <f>IF(I3&gt;0,POSLOVODENJE!F16,0)</f>
        <v>0</v>
      </c>
      <c r="J63" s="47">
        <f t="shared" si="6"/>
        <v>0</v>
      </c>
    </row>
    <row r="64" spans="1:10" hidden="1">
      <c r="A64" s="54">
        <v>4</v>
      </c>
      <c r="B64" s="123" t="s">
        <v>66</v>
      </c>
      <c r="C64" s="124"/>
      <c r="D64" s="124"/>
      <c r="E64" s="179"/>
      <c r="F64" s="126">
        <f>IF(F3&gt;0,POSLOVODENJE!E17,0)</f>
        <v>0</v>
      </c>
      <c r="G64" s="127"/>
      <c r="H64" s="46"/>
      <c r="I64" s="126">
        <f>IF(I3&gt;0,POSLOVODENJE!F17,0)</f>
        <v>0</v>
      </c>
      <c r="J64" s="47">
        <f t="shared" si="6"/>
        <v>0</v>
      </c>
    </row>
    <row r="65" spans="1:10" hidden="1">
      <c r="A65" s="54">
        <v>5</v>
      </c>
      <c r="B65" s="128" t="s">
        <v>68</v>
      </c>
      <c r="C65" s="124"/>
      <c r="D65" s="124"/>
      <c r="E65" s="179"/>
      <c r="F65" s="126">
        <f>IF(F3&gt;0,POSLOVODENJE!E18,0)</f>
        <v>0</v>
      </c>
      <c r="G65" s="127"/>
      <c r="H65" s="46"/>
      <c r="I65" s="126">
        <f>IF(I3&gt;0,POSLOVODENJE!F18,0)</f>
        <v>0</v>
      </c>
      <c r="J65" s="47">
        <f t="shared" si="6"/>
        <v>0</v>
      </c>
    </row>
    <row r="66" spans="1:10">
      <c r="A66" s="114">
        <v>6</v>
      </c>
      <c r="B66" s="129" t="s">
        <v>114</v>
      </c>
      <c r="C66" s="130"/>
      <c r="D66" s="130"/>
      <c r="E66" s="109"/>
      <c r="F66" s="131" t="e">
        <f>+F61+F62+F63+F64+F65</f>
        <v>#DIV/0!</v>
      </c>
      <c r="G66" s="48" t="e">
        <f>+F66/$F$81*100</f>
        <v>#DIV/0!</v>
      </c>
      <c r="H66" s="109"/>
      <c r="I66" s="131">
        <f>+I61+I62+I63+I64+I65</f>
        <v>0</v>
      </c>
      <c r="J66" s="47" t="e">
        <f>+F66+I66</f>
        <v>#DIV/0!</v>
      </c>
    </row>
    <row r="67" spans="1:10">
      <c r="A67" s="54">
        <v>7</v>
      </c>
      <c r="B67" s="123" t="s">
        <v>54</v>
      </c>
      <c r="C67" s="124"/>
      <c r="D67" s="124"/>
      <c r="E67" s="103"/>
      <c r="F67" s="121">
        <f>IF(F3&gt;0,F66*0.161,0)</f>
        <v>0</v>
      </c>
      <c r="G67" s="125"/>
      <c r="H67" s="103"/>
      <c r="I67" s="121">
        <f>+I66*0.161</f>
        <v>0</v>
      </c>
      <c r="J67" s="47">
        <f t="shared" si="6"/>
        <v>0</v>
      </c>
    </row>
    <row r="68" spans="1:10" ht="13.5">
      <c r="A68" s="54">
        <v>8</v>
      </c>
      <c r="B68" s="123" t="s">
        <v>55</v>
      </c>
      <c r="C68" s="124"/>
      <c r="D68" s="124"/>
      <c r="E68" s="267">
        <v>39.06</v>
      </c>
      <c r="F68" s="121">
        <f>IF(F3&gt;0,$E$68*(F60+F40),0)</f>
        <v>0</v>
      </c>
      <c r="G68" s="132"/>
      <c r="H68" s="108"/>
      <c r="I68" s="121">
        <f>IF(I3&gt;0,$E$68*(I60+I40),0)</f>
        <v>0</v>
      </c>
      <c r="J68" s="47">
        <f t="shared" si="6"/>
        <v>0</v>
      </c>
    </row>
    <row r="69" spans="1:10" ht="13.5">
      <c r="A69" s="54">
        <v>9</v>
      </c>
      <c r="B69" s="123" t="s">
        <v>162</v>
      </c>
      <c r="C69" s="124"/>
      <c r="D69" s="124"/>
      <c r="E69" s="103"/>
      <c r="F69" s="121">
        <f>IF(F3&gt;0,F70*(F60+F40),0)</f>
        <v>0</v>
      </c>
      <c r="G69" s="125"/>
      <c r="H69" s="103"/>
      <c r="I69" s="121">
        <f>IF(I3&gt;0,I70*(I60+I40),0)</f>
        <v>0</v>
      </c>
      <c r="J69" s="47">
        <f t="shared" si="6"/>
        <v>0</v>
      </c>
    </row>
    <row r="70" spans="1:10">
      <c r="A70" s="211" t="s">
        <v>51</v>
      </c>
      <c r="B70" s="203" t="s">
        <v>56</v>
      </c>
      <c r="C70" s="205"/>
      <c r="D70" s="205"/>
      <c r="E70" s="212"/>
      <c r="F70" s="206">
        <v>237.27</v>
      </c>
      <c r="G70" s="212"/>
      <c r="H70" s="212"/>
      <c r="I70" s="208">
        <f>+F70</f>
        <v>237.27</v>
      </c>
      <c r="J70" s="204">
        <f>AVERAGE(F70:I70)</f>
        <v>237.27</v>
      </c>
    </row>
    <row r="71" spans="1:10">
      <c r="A71" s="54"/>
      <c r="B71" s="415"/>
      <c r="C71" s="415"/>
      <c r="D71" s="415"/>
      <c r="E71" s="103"/>
      <c r="F71" s="133"/>
      <c r="G71" s="125"/>
      <c r="H71" s="103"/>
      <c r="I71" s="103"/>
      <c r="J71" s="181"/>
    </row>
    <row r="72" spans="1:10">
      <c r="A72" s="114" t="s">
        <v>12</v>
      </c>
      <c r="B72" s="115" t="s">
        <v>57</v>
      </c>
      <c r="C72" s="124"/>
      <c r="D72" s="124"/>
      <c r="E72" s="103"/>
      <c r="F72" s="131" t="e">
        <f>+F74+F76</f>
        <v>#DIV/0!</v>
      </c>
      <c r="G72" s="48" t="e">
        <f>+F72/$F$81*100</f>
        <v>#DIV/0!</v>
      </c>
      <c r="H72" s="103"/>
      <c r="I72" s="131" t="e">
        <f>+I74+I76</f>
        <v>#DIV/0!</v>
      </c>
      <c r="J72" s="47" t="e">
        <f>+F72+I72</f>
        <v>#DIV/0!</v>
      </c>
    </row>
    <row r="73" spans="1:10">
      <c r="A73" s="54" t="s">
        <v>51</v>
      </c>
      <c r="B73" s="417" t="s">
        <v>58</v>
      </c>
      <c r="C73" s="417"/>
      <c r="D73" s="417"/>
      <c r="E73" s="103"/>
      <c r="F73" s="108">
        <f>+F3</f>
        <v>0</v>
      </c>
      <c r="G73" s="125"/>
      <c r="H73" s="103"/>
      <c r="I73" s="108">
        <f>+I3</f>
        <v>0</v>
      </c>
      <c r="J73" s="47">
        <f>+F73+I73</f>
        <v>0</v>
      </c>
    </row>
    <row r="74" spans="1:10">
      <c r="A74" s="415" t="s">
        <v>52</v>
      </c>
      <c r="B74" s="123" t="s">
        <v>150</v>
      </c>
      <c r="C74" s="124"/>
      <c r="D74" s="124"/>
      <c r="E74" s="103"/>
      <c r="F74" s="51">
        <f>+F75*F73</f>
        <v>0</v>
      </c>
      <c r="G74" s="125"/>
      <c r="H74" s="103"/>
      <c r="I74" s="51">
        <f>+I75*I73</f>
        <v>0</v>
      </c>
      <c r="J74" s="47">
        <f>+F74+I74</f>
        <v>0</v>
      </c>
    </row>
    <row r="75" spans="1:10">
      <c r="A75" s="415"/>
      <c r="B75" s="203" t="s">
        <v>163</v>
      </c>
      <c r="C75" s="205"/>
      <c r="D75" s="205"/>
      <c r="E75" s="206"/>
      <c r="F75" s="206">
        <v>182.76</v>
      </c>
      <c r="G75" s="208"/>
      <c r="H75" s="208"/>
      <c r="I75" s="208">
        <f>F75</f>
        <v>182.76</v>
      </c>
      <c r="J75" s="204" t="e">
        <f>+J74/J73</f>
        <v>#DIV/0!</v>
      </c>
    </row>
    <row r="76" spans="1:10">
      <c r="A76" s="54" t="s">
        <v>53</v>
      </c>
      <c r="B76" s="123" t="s">
        <v>59</v>
      </c>
      <c r="C76" s="124"/>
      <c r="D76" s="124"/>
      <c r="E76" s="46"/>
      <c r="F76" s="46" t="e">
        <f>IF(POSLOVODENJE!E22&lt;POSLOVODENJE!E21,POSLOVODENJE!E22,POSLOVODENJE!E21)</f>
        <v>#DIV/0!</v>
      </c>
      <c r="G76" s="127"/>
      <c r="H76" s="46"/>
      <c r="I76" s="46" t="e">
        <f>IF(POSLOVODENJE!F22&lt;POSLOVODENJE!F21,POSLOVODENJE!F22,POSLOVODENJE!F21)</f>
        <v>#DIV/0!</v>
      </c>
      <c r="J76" s="47" t="e">
        <f>+F76+I76</f>
        <v>#DIV/0!</v>
      </c>
    </row>
    <row r="77" spans="1:10">
      <c r="A77" s="54"/>
      <c r="B77" s="416"/>
      <c r="C77" s="416"/>
      <c r="D77" s="416"/>
      <c r="E77" s="147"/>
      <c r="F77" s="134"/>
      <c r="G77" s="135"/>
      <c r="H77" s="134"/>
      <c r="I77" s="134"/>
      <c r="J77" s="181"/>
    </row>
    <row r="78" spans="1:10">
      <c r="A78" s="114" t="s">
        <v>60</v>
      </c>
      <c r="B78" s="115" t="s">
        <v>61</v>
      </c>
      <c r="C78" s="124"/>
      <c r="D78" s="124"/>
      <c r="E78" s="179"/>
      <c r="F78" s="46">
        <f>+POSLOVODENJE!E23</f>
        <v>0</v>
      </c>
      <c r="G78" s="48" t="e">
        <f>+F78/$F$81*100</f>
        <v>#DIV/0!</v>
      </c>
      <c r="H78" s="49" t="e">
        <f>IF((F78+F79)/F81&gt;0.2,"zmanjšaj !","")</f>
        <v>#DIV/0!</v>
      </c>
      <c r="I78" s="46">
        <f>+POSLOVODENJE!F23</f>
        <v>0</v>
      </c>
      <c r="J78" s="47">
        <f>+F78+I78</f>
        <v>0</v>
      </c>
    </row>
    <row r="79" spans="1:10">
      <c r="A79" s="114" t="s">
        <v>16</v>
      </c>
      <c r="B79" s="115" t="s">
        <v>62</v>
      </c>
      <c r="C79" s="124"/>
      <c r="D79" s="124"/>
      <c r="E79" s="179"/>
      <c r="F79" s="46">
        <f>+POSLOVODENJE!E24</f>
        <v>0</v>
      </c>
      <c r="G79" s="48" t="e">
        <f>+F79/$F$81*100</f>
        <v>#DIV/0!</v>
      </c>
      <c r="H79" s="46" t="e">
        <f>+G78+G79</f>
        <v>#DIV/0!</v>
      </c>
      <c r="I79" s="46">
        <f>+POSLOVODENJE!F24</f>
        <v>0</v>
      </c>
      <c r="J79" s="47">
        <f>+F79+I79</f>
        <v>0</v>
      </c>
    </row>
    <row r="80" spans="1:10">
      <c r="A80" s="114" t="s">
        <v>21</v>
      </c>
      <c r="B80" s="115" t="s">
        <v>63</v>
      </c>
      <c r="C80" s="124"/>
      <c r="D80" s="124"/>
      <c r="E80" s="147"/>
      <c r="F80" s="46">
        <f>+POSLOVODENJE!E25</f>
        <v>0</v>
      </c>
      <c r="G80" s="48" t="e">
        <f>+F80/$F$81*100</f>
        <v>#DIV/0!</v>
      </c>
      <c r="H80" s="46"/>
      <c r="I80" s="46">
        <f>+POSLOVODENJE!F25</f>
        <v>0</v>
      </c>
      <c r="J80" s="47">
        <f>+F80+I80</f>
        <v>0</v>
      </c>
    </row>
    <row r="81" spans="1:10">
      <c r="A81" s="114"/>
      <c r="B81" s="115" t="s">
        <v>64</v>
      </c>
      <c r="C81" s="124"/>
      <c r="D81" s="124"/>
      <c r="E81" s="103"/>
      <c r="F81" s="50" t="e">
        <f>+F58+F72+F78+F79+F80</f>
        <v>#DIV/0!</v>
      </c>
      <c r="G81" s="48" t="e">
        <f>+F81/$F$81*100</f>
        <v>#DIV/0!</v>
      </c>
      <c r="H81" s="103"/>
      <c r="I81" s="50" t="e">
        <f>+I58+I72+I78+I79+I80</f>
        <v>#DIV/0!</v>
      </c>
      <c r="J81" s="47" t="e">
        <f>+F81+I81</f>
        <v>#DIV/0!</v>
      </c>
    </row>
    <row r="82" spans="1:10">
      <c r="A82" s="53"/>
      <c r="B82" s="136" t="s">
        <v>65</v>
      </c>
      <c r="C82" s="124"/>
      <c r="D82" s="124"/>
      <c r="E82" s="103"/>
      <c r="F82" s="176">
        <f>+F3*365*0.98/12</f>
        <v>0</v>
      </c>
      <c r="G82" s="252"/>
      <c r="H82" s="142"/>
      <c r="I82" s="176">
        <f>+I3*365*0.98/12</f>
        <v>0</v>
      </c>
      <c r="J82" s="47">
        <f>+F82+I82</f>
        <v>0</v>
      </c>
    </row>
    <row r="83" spans="1:10" ht="15.75">
      <c r="A83" s="137"/>
      <c r="B83" s="138" t="s">
        <v>129</v>
      </c>
      <c r="C83" s="139"/>
      <c r="D83" s="139"/>
      <c r="E83" s="137"/>
      <c r="F83" s="140">
        <f>ROUND(IF(F3&gt;0,F81/F82,0),2)</f>
        <v>0</v>
      </c>
      <c r="G83" s="140">
        <f>ROUND(F83+(NAVODILA!B22*12/365),2)</f>
        <v>4.93</v>
      </c>
      <c r="H83" s="140">
        <f>ROUND(F83+(NAVODILA!C22*12/365),2)</f>
        <v>9.86</v>
      </c>
      <c r="I83" s="140">
        <f t="shared" ref="I83:J83" si="7">ROUND(IF(I3&gt;0,I81/I82,0),2)</f>
        <v>0</v>
      </c>
      <c r="J83" s="140">
        <f t="shared" si="7"/>
        <v>0</v>
      </c>
    </row>
    <row r="84" spans="1:10">
      <c r="A84" s="141"/>
      <c r="B84" s="136"/>
      <c r="C84" s="124"/>
      <c r="D84" s="124"/>
      <c r="E84" s="103"/>
      <c r="F84" s="183" t="e">
        <f>IF((F78+F79)/F81&gt;0.2,"zmanjšaj AM!","")</f>
        <v>#DIV/0!</v>
      </c>
      <c r="G84" s="132"/>
      <c r="H84" s="103"/>
      <c r="I84" s="183" t="e">
        <f t="shared" ref="I84:J84" si="8">IF((I78+I79)/I81&gt;0.2,"zmanjšaj AM!","")</f>
        <v>#DIV/0!</v>
      </c>
      <c r="J84" s="183" t="e">
        <f t="shared" si="8"/>
        <v>#DIV/0!</v>
      </c>
    </row>
    <row r="85" spans="1:10">
      <c r="A85" s="141"/>
      <c r="B85" s="160"/>
      <c r="C85" s="161"/>
      <c r="D85" s="161"/>
      <c r="E85" s="141"/>
      <c r="F85" s="162"/>
      <c r="G85" s="162"/>
      <c r="H85" s="162"/>
      <c r="I85" s="162"/>
      <c r="J85" s="182"/>
    </row>
    <row r="86" spans="1:10" ht="6.75" customHeight="1">
      <c r="A86" s="103"/>
      <c r="B86" s="103"/>
      <c r="C86" s="103"/>
      <c r="D86" s="103"/>
      <c r="E86" s="103"/>
      <c r="F86" s="103"/>
      <c r="G86" s="125"/>
      <c r="H86" s="103"/>
      <c r="I86" s="103"/>
      <c r="J86" s="142"/>
    </row>
    <row r="87" spans="1:10" ht="38.25">
      <c r="A87" s="418" t="s">
        <v>159</v>
      </c>
      <c r="B87" s="419"/>
      <c r="C87" s="419"/>
      <c r="D87" s="419"/>
      <c r="E87" s="356" t="s">
        <v>128</v>
      </c>
      <c r="F87" s="356" t="s">
        <v>69</v>
      </c>
      <c r="G87" s="357" t="s">
        <v>120</v>
      </c>
      <c r="H87" s="358" t="s">
        <v>121</v>
      </c>
      <c r="I87" s="356" t="s">
        <v>80</v>
      </c>
      <c r="J87" s="359" t="s">
        <v>133</v>
      </c>
    </row>
    <row r="88" spans="1:10">
      <c r="A88" s="103"/>
      <c r="B88" s="103"/>
      <c r="C88" s="120"/>
      <c r="D88" s="111" t="s">
        <v>122</v>
      </c>
      <c r="E88" s="120"/>
      <c r="F88" s="112" t="s">
        <v>6</v>
      </c>
      <c r="G88" s="112" t="s">
        <v>6</v>
      </c>
      <c r="H88" s="113"/>
      <c r="I88" s="177" t="s">
        <v>131</v>
      </c>
      <c r="J88" s="214" t="s">
        <v>151</v>
      </c>
    </row>
    <row r="89" spans="1:10">
      <c r="A89" s="114" t="s">
        <v>50</v>
      </c>
      <c r="B89" s="115" t="s">
        <v>111</v>
      </c>
      <c r="C89" s="116"/>
      <c r="D89" s="116"/>
      <c r="E89" s="117"/>
      <c r="F89" s="118">
        <f>+F97+F98+F99+F100</f>
        <v>0</v>
      </c>
      <c r="G89" s="154" t="e">
        <f>+F89/$F$112*100</f>
        <v>#DIV/0!</v>
      </c>
      <c r="H89" s="155"/>
      <c r="I89" s="118">
        <f>+I97+I98+I99+I100</f>
        <v>0</v>
      </c>
      <c r="J89" s="47">
        <f>+F89+I89</f>
        <v>0</v>
      </c>
    </row>
    <row r="90" spans="1:10">
      <c r="A90" s="202" t="s">
        <v>51</v>
      </c>
      <c r="B90" s="414" t="s">
        <v>164</v>
      </c>
      <c r="C90" s="414"/>
      <c r="D90" s="414"/>
      <c r="E90" s="122"/>
      <c r="F90" s="268">
        <v>1133.76</v>
      </c>
      <c r="G90" s="253"/>
      <c r="H90" s="254"/>
      <c r="I90" s="268">
        <v>1190.47</v>
      </c>
      <c r="J90" s="204">
        <f>AVERAGE(F90:I90)</f>
        <v>1162.115</v>
      </c>
    </row>
    <row r="91" spans="1:10" ht="13.5">
      <c r="A91" s="119" t="s">
        <v>52</v>
      </c>
      <c r="B91" s="417" t="s">
        <v>113</v>
      </c>
      <c r="C91" s="417"/>
      <c r="D91" s="417"/>
      <c r="E91" s="120"/>
      <c r="F91" s="316"/>
      <c r="G91" s="250" t="e">
        <f>IF(F91&gt;F60,"zmanjšaj!","")</f>
        <v>#DIV/0!</v>
      </c>
      <c r="H91" s="250" t="str">
        <f>IF(I91&gt;I60,"zmanjšaj!","")</f>
        <v/>
      </c>
      <c r="I91" s="316"/>
      <c r="J91" s="47">
        <f t="shared" ref="J91:J99" si="9">+F91+I91</f>
        <v>0</v>
      </c>
    </row>
    <row r="92" spans="1:10">
      <c r="A92" s="54">
        <v>1</v>
      </c>
      <c r="B92" s="123" t="s">
        <v>67</v>
      </c>
      <c r="C92" s="124"/>
      <c r="D92" s="124"/>
      <c r="E92" s="103"/>
      <c r="F92" s="108">
        <f>+F90*F91</f>
        <v>0</v>
      </c>
      <c r="G92" s="132"/>
      <c r="H92" s="155"/>
      <c r="I92" s="108">
        <f>+I90*I91</f>
        <v>0</v>
      </c>
      <c r="J92" s="47">
        <f t="shared" si="9"/>
        <v>0</v>
      </c>
    </row>
    <row r="93" spans="1:10">
      <c r="A93" s="54">
        <v>2</v>
      </c>
      <c r="B93" s="123" t="s">
        <v>125</v>
      </c>
      <c r="C93" s="124"/>
      <c r="D93" s="124"/>
      <c r="E93" s="179"/>
      <c r="F93" s="44"/>
      <c r="G93" s="189"/>
      <c r="H93" s="190"/>
      <c r="I93" s="44"/>
      <c r="J93" s="47">
        <f t="shared" si="9"/>
        <v>0</v>
      </c>
    </row>
    <row r="94" spans="1:10" hidden="1">
      <c r="A94" s="54">
        <v>3</v>
      </c>
      <c r="B94" s="123" t="s">
        <v>81</v>
      </c>
      <c r="C94" s="124"/>
      <c r="D94" s="124"/>
      <c r="E94" s="179"/>
      <c r="F94" s="44"/>
      <c r="G94" s="189"/>
      <c r="H94" s="179"/>
      <c r="I94" s="44"/>
      <c r="J94" s="47">
        <f t="shared" si="9"/>
        <v>0</v>
      </c>
    </row>
    <row r="95" spans="1:10" hidden="1">
      <c r="A95" s="54">
        <v>4</v>
      </c>
      <c r="B95" s="123" t="s">
        <v>66</v>
      </c>
      <c r="C95" s="124"/>
      <c r="D95" s="124"/>
      <c r="E95" s="179"/>
      <c r="F95" s="44"/>
      <c r="G95" s="189"/>
      <c r="H95" s="179"/>
      <c r="I95" s="44"/>
      <c r="J95" s="47">
        <f t="shared" si="9"/>
        <v>0</v>
      </c>
    </row>
    <row r="96" spans="1:10" hidden="1">
      <c r="A96" s="54">
        <v>5</v>
      </c>
      <c r="B96" s="128" t="s">
        <v>68</v>
      </c>
      <c r="C96" s="124"/>
      <c r="D96" s="124"/>
      <c r="E96" s="179"/>
      <c r="F96" s="44"/>
      <c r="G96" s="189"/>
      <c r="H96" s="179"/>
      <c r="I96" s="44"/>
      <c r="J96" s="47">
        <f t="shared" si="9"/>
        <v>0</v>
      </c>
    </row>
    <row r="97" spans="1:10">
      <c r="A97" s="114">
        <v>6</v>
      </c>
      <c r="B97" s="129" t="s">
        <v>114</v>
      </c>
      <c r="C97" s="130"/>
      <c r="D97" s="130"/>
      <c r="E97" s="109"/>
      <c r="F97" s="131">
        <f>+F92+F93+F94+F95+F96</f>
        <v>0</v>
      </c>
      <c r="G97" s="154" t="e">
        <f>+F97/$F$112*100</f>
        <v>#DIV/0!</v>
      </c>
      <c r="H97" s="155"/>
      <c r="I97" s="131">
        <f>+I92+I93+I94+I95+I96</f>
        <v>0</v>
      </c>
      <c r="J97" s="47">
        <f t="shared" si="9"/>
        <v>0</v>
      </c>
    </row>
    <row r="98" spans="1:10">
      <c r="A98" s="54">
        <v>7</v>
      </c>
      <c r="B98" s="123" t="s">
        <v>54</v>
      </c>
      <c r="C98" s="124"/>
      <c r="D98" s="124"/>
      <c r="E98" s="103"/>
      <c r="F98" s="121">
        <f>+F97*0.161</f>
        <v>0</v>
      </c>
      <c r="G98" s="132"/>
      <c r="H98" s="155"/>
      <c r="I98" s="121">
        <f>+I97*0.161</f>
        <v>0</v>
      </c>
      <c r="J98" s="47">
        <f t="shared" si="9"/>
        <v>0</v>
      </c>
    </row>
    <row r="99" spans="1:10" ht="13.5">
      <c r="A99" s="54">
        <v>8</v>
      </c>
      <c r="B99" s="123" t="s">
        <v>55</v>
      </c>
      <c r="C99" s="124"/>
      <c r="D99" s="124"/>
      <c r="E99" s="22">
        <v>39.06</v>
      </c>
      <c r="F99" s="44"/>
      <c r="G99" s="307" t="str">
        <f>IF(F99&gt;F68,"zmanjšaj","")</f>
        <v/>
      </c>
      <c r="H99" s="307" t="str">
        <f>IF(I99&gt;I68,"zmanjšaj","")</f>
        <v/>
      </c>
      <c r="I99" s="44"/>
      <c r="J99" s="47">
        <f t="shared" si="9"/>
        <v>0</v>
      </c>
    </row>
    <row r="100" spans="1:10" ht="13.5">
      <c r="A100" s="54">
        <v>9</v>
      </c>
      <c r="B100" s="123" t="s">
        <v>165</v>
      </c>
      <c r="C100" s="124"/>
      <c r="D100" s="124"/>
      <c r="E100" s="103"/>
      <c r="F100" s="121">
        <f>+F101*(F91+F40)</f>
        <v>0</v>
      </c>
      <c r="G100" s="132"/>
      <c r="H100" s="155"/>
      <c r="I100" s="121">
        <f>+I101*(I91+I40)</f>
        <v>0</v>
      </c>
      <c r="J100" s="47">
        <f>+F100+I100</f>
        <v>0</v>
      </c>
    </row>
    <row r="101" spans="1:10">
      <c r="A101" s="211" t="s">
        <v>51</v>
      </c>
      <c r="B101" s="414" t="s">
        <v>56</v>
      </c>
      <c r="C101" s="414"/>
      <c r="D101" s="414"/>
      <c r="E101" s="212"/>
      <c r="F101" s="213">
        <v>237.27</v>
      </c>
      <c r="G101" s="208"/>
      <c r="H101" s="209"/>
      <c r="I101" s="213">
        <v>237.27</v>
      </c>
      <c r="J101" s="210">
        <f>IF(J3&gt;0,J100/(J91+J40),0)</f>
        <v>0</v>
      </c>
    </row>
    <row r="102" spans="1:10">
      <c r="A102" s="54"/>
      <c r="B102" s="415"/>
      <c r="C102" s="415"/>
      <c r="D102" s="415"/>
      <c r="E102" s="103"/>
      <c r="F102" s="133"/>
      <c r="G102" s="132"/>
      <c r="H102" s="103"/>
      <c r="I102" s="103"/>
      <c r="J102" s="181"/>
    </row>
    <row r="103" spans="1:10">
      <c r="A103" s="114" t="s">
        <v>12</v>
      </c>
      <c r="B103" s="115" t="s">
        <v>57</v>
      </c>
      <c r="C103" s="124"/>
      <c r="D103" s="124"/>
      <c r="E103" s="103"/>
      <c r="F103" s="131">
        <f>+F105+F107</f>
        <v>0</v>
      </c>
      <c r="G103" s="154" t="e">
        <f>+F103/$F$112*100</f>
        <v>#DIV/0!</v>
      </c>
      <c r="H103" s="155"/>
      <c r="I103" s="131">
        <f>+I105+I107</f>
        <v>0</v>
      </c>
      <c r="J103" s="47">
        <f>+F103+I103</f>
        <v>0</v>
      </c>
    </row>
    <row r="104" spans="1:10">
      <c r="A104" s="54" t="s">
        <v>51</v>
      </c>
      <c r="B104" s="123" t="s">
        <v>58</v>
      </c>
      <c r="C104" s="124"/>
      <c r="D104" s="124"/>
      <c r="E104" s="103"/>
      <c r="F104" s="240">
        <f>+F3</f>
        <v>0</v>
      </c>
      <c r="G104" s="241"/>
      <c r="H104" s="240"/>
      <c r="I104" s="240">
        <f>+I3</f>
        <v>0</v>
      </c>
      <c r="J104" s="242">
        <f>+F104+I104</f>
        <v>0</v>
      </c>
    </row>
    <row r="105" spans="1:10">
      <c r="A105" s="415" t="s">
        <v>52</v>
      </c>
      <c r="B105" s="417" t="s">
        <v>150</v>
      </c>
      <c r="C105" s="417"/>
      <c r="D105" s="417"/>
      <c r="E105" s="103"/>
      <c r="F105" s="121">
        <f>+F106*F104</f>
        <v>0</v>
      </c>
      <c r="G105" s="132"/>
      <c r="H105" s="155"/>
      <c r="I105" s="121">
        <f>+I106*I104</f>
        <v>0</v>
      </c>
      <c r="J105" s="47">
        <f>+F105+I105</f>
        <v>0</v>
      </c>
    </row>
    <row r="106" spans="1:10">
      <c r="A106" s="415"/>
      <c r="B106" s="203" t="s">
        <v>149</v>
      </c>
      <c r="C106" s="205"/>
      <c r="D106" s="205"/>
      <c r="E106" s="206"/>
      <c r="F106" s="207">
        <v>182.76</v>
      </c>
      <c r="G106" s="208"/>
      <c r="H106" s="209"/>
      <c r="I106" s="207">
        <v>182.76</v>
      </c>
      <c r="J106" s="210">
        <f>IF(J3&gt;0,J105/J104,0)</f>
        <v>0</v>
      </c>
    </row>
    <row r="107" spans="1:10">
      <c r="A107" s="54" t="s">
        <v>53</v>
      </c>
      <c r="B107" s="123" t="s">
        <v>59</v>
      </c>
      <c r="C107" s="124"/>
      <c r="D107" s="124"/>
      <c r="E107" s="46"/>
      <c r="F107" s="5"/>
      <c r="G107" s="127"/>
      <c r="H107" s="155"/>
      <c r="I107" s="188"/>
      <c r="J107" s="47">
        <f>+F107+I107</f>
        <v>0</v>
      </c>
    </row>
    <row r="108" spans="1:10">
      <c r="A108" s="54"/>
      <c r="B108" s="416"/>
      <c r="C108" s="416"/>
      <c r="D108" s="416"/>
      <c r="E108" s="147"/>
      <c r="F108" s="134" t="str">
        <f>IF(F106&gt;184.79,"priložiti je treba utemeljitev povečanja standarda","")</f>
        <v/>
      </c>
      <c r="G108" s="135"/>
      <c r="H108" s="134"/>
      <c r="I108" s="134" t="str">
        <f>IF(I106&gt;184.79,"priložiti je treba utemeljitev povečanja standarda","")</f>
        <v/>
      </c>
      <c r="J108" s="47"/>
    </row>
    <row r="109" spans="1:10">
      <c r="A109" s="114" t="s">
        <v>60</v>
      </c>
      <c r="B109" s="115" t="s">
        <v>61</v>
      </c>
      <c r="C109" s="124"/>
      <c r="D109" s="124"/>
      <c r="E109" s="179"/>
      <c r="F109" s="5"/>
      <c r="G109" s="154" t="e">
        <f>+F109/$F$112*100</f>
        <v>#DIV/0!</v>
      </c>
      <c r="H109" s="49" t="e">
        <f>IF((G109+G110)&gt;20,"zmanjšaj !","")</f>
        <v>#DIV/0!</v>
      </c>
      <c r="I109" s="5"/>
      <c r="J109" s="47">
        <f>+F109+I109</f>
        <v>0</v>
      </c>
    </row>
    <row r="110" spans="1:10">
      <c r="A110" s="114" t="s">
        <v>16</v>
      </c>
      <c r="B110" s="115" t="s">
        <v>62</v>
      </c>
      <c r="C110" s="124"/>
      <c r="D110" s="124"/>
      <c r="E110" s="179"/>
      <c r="F110" s="5"/>
      <c r="G110" s="154" t="e">
        <f>+F110/$F$112*100</f>
        <v>#DIV/0!</v>
      </c>
      <c r="H110" s="155"/>
      <c r="I110" s="5"/>
      <c r="J110" s="47">
        <f>+F110+I110</f>
        <v>0</v>
      </c>
    </row>
    <row r="111" spans="1:10">
      <c r="A111" s="114" t="s">
        <v>21</v>
      </c>
      <c r="B111" s="115" t="s">
        <v>63</v>
      </c>
      <c r="C111" s="124"/>
      <c r="D111" s="124"/>
      <c r="E111" s="179"/>
      <c r="F111" s="5"/>
      <c r="G111" s="154" t="e">
        <f>+F111/$F$112*100</f>
        <v>#DIV/0!</v>
      </c>
      <c r="H111" s="155"/>
      <c r="I111" s="5"/>
      <c r="J111" s="47">
        <f>+F111+I111</f>
        <v>0</v>
      </c>
    </row>
    <row r="112" spans="1:10">
      <c r="A112" s="114"/>
      <c r="B112" s="115" t="s">
        <v>64</v>
      </c>
      <c r="C112" s="124"/>
      <c r="D112" s="124"/>
      <c r="E112" s="103"/>
      <c r="F112" s="50">
        <f>IF(F3&gt;0,F89+F103+F109+F110+F111,0)</f>
        <v>0</v>
      </c>
      <c r="G112" s="154" t="e">
        <f>+F112/$F$112*100</f>
        <v>#DIV/0!</v>
      </c>
      <c r="H112" s="155"/>
      <c r="I112" s="50">
        <f>IF(I3&gt;0,I89+I103+I109+I110+I111,0)</f>
        <v>0</v>
      </c>
      <c r="J112" s="47">
        <f>+F112+I112</f>
        <v>0</v>
      </c>
    </row>
    <row r="113" spans="1:10">
      <c r="A113" s="53"/>
      <c r="B113" s="136" t="s">
        <v>65</v>
      </c>
      <c r="C113" s="124"/>
      <c r="D113" s="124"/>
      <c r="E113" s="103"/>
      <c r="F113" s="46">
        <f>+F3*365*0.98/12</f>
        <v>0</v>
      </c>
      <c r="G113" s="46">
        <f>+G3*365*0.98/12</f>
        <v>0</v>
      </c>
      <c r="H113" s="46">
        <f>+H3*365*0.98/12</f>
        <v>0</v>
      </c>
      <c r="I113" s="46">
        <f>+I3*365*0.98/12</f>
        <v>0</v>
      </c>
      <c r="J113" s="47">
        <f>+F113+I113</f>
        <v>0</v>
      </c>
    </row>
    <row r="114" spans="1:10" ht="15.75">
      <c r="A114" s="137"/>
      <c r="B114" s="138" t="s">
        <v>130</v>
      </c>
      <c r="C114" s="139"/>
      <c r="D114" s="139"/>
      <c r="E114" s="137"/>
      <c r="F114" s="140">
        <f>ROUND(IF(F3&gt;0,F112/F113,0),2)</f>
        <v>0</v>
      </c>
      <c r="G114" s="140">
        <f>ROUND(F114+(NAVODILA!B22*12/365),2)</f>
        <v>4.93</v>
      </c>
      <c r="H114" s="140">
        <f>ROUND(F114+(NAVODILA!C22*12/365),2)</f>
        <v>9.86</v>
      </c>
      <c r="I114" s="140">
        <f t="shared" ref="I114:J114" si="10">ROUND(IF(I3&gt;0,I112/I113,0),2)</f>
        <v>0</v>
      </c>
      <c r="J114" s="140">
        <f t="shared" si="10"/>
        <v>0</v>
      </c>
    </row>
    <row r="115" spans="1:10">
      <c r="A115" s="141"/>
      <c r="B115" s="136"/>
      <c r="C115" s="124"/>
      <c r="D115" s="124"/>
      <c r="E115" s="103"/>
      <c r="F115" s="183" t="e">
        <f>IF((F109+F110)/F112&gt;0.2,"zmanjšaj AM!","")</f>
        <v>#DIV/0!</v>
      </c>
      <c r="G115" s="125"/>
      <c r="H115" s="103"/>
      <c r="I115" s="183" t="e">
        <f t="shared" ref="I115:J115" si="11">IF((I109+I110)/I112&gt;0.2,"zmanjšaj AM!","")</f>
        <v>#DIV/0!</v>
      </c>
      <c r="J115" s="183" t="e">
        <f t="shared" si="11"/>
        <v>#DIV/0!</v>
      </c>
    </row>
  </sheetData>
  <sheetProtection sheet="1" objects="1" scenarios="1"/>
  <mergeCells count="24">
    <mergeCell ref="A105:A106"/>
    <mergeCell ref="B108:D108"/>
    <mergeCell ref="B60:D60"/>
    <mergeCell ref="A74:A75"/>
    <mergeCell ref="B77:D77"/>
    <mergeCell ref="B90:D90"/>
    <mergeCell ref="B71:D71"/>
    <mergeCell ref="B105:D105"/>
    <mergeCell ref="A87:D87"/>
    <mergeCell ref="B101:D101"/>
    <mergeCell ref="B102:D102"/>
    <mergeCell ref="B73:D73"/>
    <mergeCell ref="B91:D91"/>
    <mergeCell ref="B59:D59"/>
    <mergeCell ref="A20:A35"/>
    <mergeCell ref="B21:B24"/>
    <mergeCell ref="B25:B29"/>
    <mergeCell ref="B31:B34"/>
    <mergeCell ref="A6:A18"/>
    <mergeCell ref="B7:B11"/>
    <mergeCell ref="B12:B15"/>
    <mergeCell ref="C35:D35"/>
    <mergeCell ref="A37:A46"/>
    <mergeCell ref="B40:B44"/>
  </mergeCells>
  <phoneticPr fontId="0" type="noConversion"/>
  <dataValidations count="6">
    <dataValidation type="decimal" allowBlank="1" showInputMessage="1" showErrorMessage="1" error="Dovoljeni standard stroškov in odhodkov oskrbe je max 164,09 EUR!" sqref="F106" xr:uid="{00000000-0002-0000-0200-000000000000}">
      <formula1>0</formula1>
      <formula2>182.76</formula2>
    </dataValidation>
    <dataValidation type="decimal" allowBlank="1" showInputMessage="1" showErrorMessage="1" error="Dovoljeni standard stroškov in odhodkov oskrbe je max 237,88 EUR!" sqref="I106" xr:uid="{00000000-0002-0000-0200-000001000000}">
      <formula1>0</formula1>
      <formula2>182.76</formula2>
    </dataValidation>
    <dataValidation type="decimal" allowBlank="1" showInputMessage="1" showErrorMessage="1" sqref="E99" xr:uid="{00000000-0002-0000-0200-000002000000}">
      <formula1>0</formula1>
      <formula2>39.06</formula2>
    </dataValidation>
    <dataValidation type="decimal" allowBlank="1" showInputMessage="1" showErrorMessage="1" sqref="F90" xr:uid="{00000000-0002-0000-0200-000003000000}">
      <formula1>0</formula1>
      <formula2>1133.76</formula2>
    </dataValidation>
    <dataValidation type="decimal" allowBlank="1" showInputMessage="1" showErrorMessage="1" sqref="I90" xr:uid="{00000000-0002-0000-0200-000004000000}">
      <formula1>0</formula1>
      <formula2>1190.47</formula2>
    </dataValidation>
    <dataValidation type="decimal" allowBlank="1" showInputMessage="1" showErrorMessage="1" sqref="I101 F101" xr:uid="{00000000-0002-0000-0200-000005000000}">
      <formula1>0</formula1>
      <formula2>237.27</formula2>
    </dataValidation>
  </dataValidations>
  <pageMargins left="0.78740157480314965" right="0.78740157480314965" top="0.78740157480314965" bottom="0.78740157480314965" header="0.19685039370078741" footer="0.19685039370078741"/>
  <pageSetup paperSize="9" scale="73" fitToHeight="2" orientation="portrait" r:id="rId1"/>
  <headerFooter alignWithMargins="0">
    <oddHeader>&amp;LMDDSZ - Javni razpis za podelitev koncesij za opravljanje institucionalnega varstva v domovih za starejše; junij 2021</oddHeader>
    <oddFooter>&amp;L&amp;A&amp;R&amp;D</oddFooter>
  </headerFooter>
  <rowBreaks count="1" manualBreakCount="1">
    <brk id="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K24"/>
  <sheetViews>
    <sheetView workbookViewId="0">
      <selection activeCell="A13" sqref="A13"/>
    </sheetView>
  </sheetViews>
  <sheetFormatPr defaultRowHeight="12.75"/>
  <cols>
    <col min="1" max="1" width="9.33203125" style="244"/>
    <col min="2" max="2" width="13" style="244" customWidth="1"/>
    <col min="3" max="16384" width="9.33203125" style="244"/>
  </cols>
  <sheetData>
    <row r="1" spans="1:11">
      <c r="A1" s="244">
        <f>'IZRAČUN CEN'!D3</f>
        <v>0</v>
      </c>
    </row>
    <row r="6" spans="1:11">
      <c r="D6" s="244" t="s">
        <v>187</v>
      </c>
    </row>
    <row r="10" spans="1:11">
      <c r="A10" s="244" t="s">
        <v>186</v>
      </c>
    </row>
    <row r="11" spans="1:11" ht="12.75" customHeight="1">
      <c r="A11" s="246" t="s">
        <v>190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</row>
    <row r="13" spans="1:11">
      <c r="A13" s="310"/>
      <c r="B13" s="244" t="s">
        <v>191</v>
      </c>
    </row>
    <row r="14" spans="1:11">
      <c r="A14" s="310"/>
      <c r="B14" s="244" t="s">
        <v>192</v>
      </c>
    </row>
    <row r="17" spans="1:10">
      <c r="A17" s="244" t="s">
        <v>193</v>
      </c>
    </row>
    <row r="22" spans="1:10">
      <c r="A22" s="393"/>
      <c r="B22" s="394"/>
      <c r="C22" s="394"/>
      <c r="D22" s="394"/>
      <c r="E22" s="394"/>
      <c r="F22" s="244" t="s">
        <v>189</v>
      </c>
      <c r="H22" s="392"/>
      <c r="I22" s="392"/>
      <c r="J22" s="392"/>
    </row>
    <row r="23" spans="1:10">
      <c r="A23" s="393"/>
      <c r="B23" s="393"/>
      <c r="C23" s="393"/>
      <c r="D23" s="393"/>
      <c r="E23" s="393"/>
    </row>
    <row r="24" spans="1:10">
      <c r="A24" s="393"/>
      <c r="B24" s="395"/>
      <c r="C24" s="393"/>
      <c r="D24" s="393"/>
      <c r="E24" s="393"/>
      <c r="F24" s="244" t="s">
        <v>249</v>
      </c>
      <c r="H24" s="391"/>
      <c r="I24" s="391"/>
      <c r="J24" s="391"/>
    </row>
  </sheetData>
  <sheetProtection sheet="1" objects="1" scenarios="1"/>
  <pageMargins left="0.78740157480314965" right="0.78740157480314965" top="0.78740157480314965" bottom="0.78740157480314965" header="0.19685039370078741" footer="0.19685039370078741"/>
  <pageSetup paperSize="9" orientation="landscape" r:id="rId1"/>
  <headerFooter alignWithMargins="0">
    <oddHeader>&amp;LMDDSZ - Javni razpis za podelitev koncesij za opravljanje institucionalnega varstva v domovih za starejše; junij 2021</oddHeader>
    <oddFooter>&amp;L&amp;A&amp;R&amp;D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0"/>
    <pageSetUpPr fitToPage="1"/>
  </sheetPr>
  <dimension ref="A1:F44"/>
  <sheetViews>
    <sheetView workbookViewId="0">
      <selection activeCell="C6" sqref="C6"/>
    </sheetView>
  </sheetViews>
  <sheetFormatPr defaultRowHeight="12.75"/>
  <cols>
    <col min="2" max="2" width="38.1640625" customWidth="1"/>
    <col min="3" max="3" width="16.1640625" customWidth="1"/>
    <col min="4" max="4" width="11.33203125" bestFit="1" customWidth="1"/>
    <col min="5" max="5" width="21.5" customWidth="1"/>
    <col min="6" max="6" width="21.1640625" customWidth="1"/>
  </cols>
  <sheetData>
    <row r="1" spans="1:6">
      <c r="B1" s="420" t="s">
        <v>82</v>
      </c>
      <c r="C1" s="420"/>
      <c r="D1" s="420"/>
      <c r="E1" s="420"/>
      <c r="F1" s="420"/>
    </row>
    <row r="2" spans="1:6">
      <c r="B2" s="420"/>
      <c r="C2" s="420"/>
      <c r="D2" s="420"/>
      <c r="E2" s="420"/>
      <c r="F2" s="420"/>
    </row>
    <row r="3" spans="1:6">
      <c r="A3" s="6"/>
      <c r="B3" s="7" t="s">
        <v>145</v>
      </c>
      <c r="C3" s="8"/>
      <c r="D3" s="9"/>
      <c r="E3" s="8"/>
      <c r="F3" s="8"/>
    </row>
    <row r="4" spans="1:6">
      <c r="A4" s="6"/>
      <c r="B4" s="7"/>
      <c r="C4" s="8"/>
      <c r="D4" s="9"/>
      <c r="E4" s="8"/>
      <c r="F4" s="8"/>
    </row>
    <row r="5" spans="1:6" ht="25.5">
      <c r="A5" s="10" t="s">
        <v>83</v>
      </c>
      <c r="B5" s="10" t="s">
        <v>84</v>
      </c>
      <c r="C5" s="11" t="s">
        <v>85</v>
      </c>
      <c r="D5" s="12" t="s">
        <v>86</v>
      </c>
      <c r="E5" s="23" t="s">
        <v>107</v>
      </c>
      <c r="F5" s="23" t="s">
        <v>112</v>
      </c>
    </row>
    <row r="6" spans="1:6">
      <c r="A6" s="13" t="s">
        <v>87</v>
      </c>
      <c r="B6" s="156" t="s">
        <v>127</v>
      </c>
      <c r="C6" s="296"/>
      <c r="D6" s="297"/>
      <c r="E6" s="16">
        <f>C6*D6</f>
        <v>0</v>
      </c>
      <c r="F6" s="16">
        <f>+E6/12</f>
        <v>0</v>
      </c>
    </row>
    <row r="7" spans="1:6">
      <c r="A7" s="13" t="s">
        <v>88</v>
      </c>
      <c r="B7" s="17"/>
      <c r="C7" s="296"/>
      <c r="D7" s="297"/>
      <c r="E7" s="16">
        <f>C7*D7</f>
        <v>0</v>
      </c>
      <c r="F7" s="16">
        <f t="shared" ref="F7:F24" si="0">+E7/12</f>
        <v>0</v>
      </c>
    </row>
    <row r="8" spans="1:6">
      <c r="A8" s="13" t="s">
        <v>89</v>
      </c>
      <c r="B8" s="17"/>
      <c r="C8" s="296"/>
      <c r="D8" s="297"/>
      <c r="E8" s="16">
        <f>C8*D8</f>
        <v>0</v>
      </c>
      <c r="F8" s="16">
        <f t="shared" si="0"/>
        <v>0</v>
      </c>
    </row>
    <row r="9" spans="1:6">
      <c r="A9" s="13" t="s">
        <v>90</v>
      </c>
      <c r="B9" s="17"/>
      <c r="C9" s="296"/>
      <c r="D9" s="297"/>
      <c r="E9" s="16">
        <f t="shared" ref="E9:E24" si="1">C9*D9</f>
        <v>0</v>
      </c>
      <c r="F9" s="16">
        <f t="shared" si="0"/>
        <v>0</v>
      </c>
    </row>
    <row r="10" spans="1:6">
      <c r="A10" s="13" t="s">
        <v>91</v>
      </c>
      <c r="B10" s="17"/>
      <c r="C10" s="296"/>
      <c r="D10" s="297"/>
      <c r="E10" s="16">
        <f t="shared" si="1"/>
        <v>0</v>
      </c>
      <c r="F10" s="16">
        <f t="shared" si="0"/>
        <v>0</v>
      </c>
    </row>
    <row r="11" spans="1:6">
      <c r="A11" s="13" t="s">
        <v>92</v>
      </c>
      <c r="B11" s="17"/>
      <c r="C11" s="14"/>
      <c r="D11" s="15"/>
      <c r="E11" s="16">
        <f t="shared" si="1"/>
        <v>0</v>
      </c>
      <c r="F11" s="16">
        <f t="shared" si="0"/>
        <v>0</v>
      </c>
    </row>
    <row r="12" spans="1:6">
      <c r="A12" s="13" t="s">
        <v>93</v>
      </c>
      <c r="B12" s="17"/>
      <c r="C12" s="14"/>
      <c r="D12" s="15"/>
      <c r="E12" s="16">
        <f t="shared" si="1"/>
        <v>0</v>
      </c>
      <c r="F12" s="16">
        <f t="shared" si="0"/>
        <v>0</v>
      </c>
    </row>
    <row r="13" spans="1:6">
      <c r="A13" s="13" t="s">
        <v>94</v>
      </c>
      <c r="B13" s="17"/>
      <c r="C13" s="14"/>
      <c r="D13" s="15"/>
      <c r="E13" s="16">
        <f t="shared" si="1"/>
        <v>0</v>
      </c>
      <c r="F13" s="16">
        <f t="shared" si="0"/>
        <v>0</v>
      </c>
    </row>
    <row r="14" spans="1:6">
      <c r="A14" s="13" t="s">
        <v>95</v>
      </c>
      <c r="B14" s="17"/>
      <c r="C14" s="14"/>
      <c r="D14" s="15"/>
      <c r="E14" s="16">
        <f t="shared" si="1"/>
        <v>0</v>
      </c>
      <c r="F14" s="16">
        <f t="shared" si="0"/>
        <v>0</v>
      </c>
    </row>
    <row r="15" spans="1:6">
      <c r="A15" s="13" t="s">
        <v>96</v>
      </c>
      <c r="B15" s="17"/>
      <c r="C15" s="14"/>
      <c r="D15" s="15"/>
      <c r="E15" s="16">
        <f t="shared" si="1"/>
        <v>0</v>
      </c>
      <c r="F15" s="16">
        <f t="shared" si="0"/>
        <v>0</v>
      </c>
    </row>
    <row r="16" spans="1:6">
      <c r="A16" s="13" t="s">
        <v>97</v>
      </c>
      <c r="B16" s="17"/>
      <c r="C16" s="14"/>
      <c r="D16" s="15"/>
      <c r="E16" s="16">
        <f t="shared" si="1"/>
        <v>0</v>
      </c>
      <c r="F16" s="16">
        <f t="shared" si="0"/>
        <v>0</v>
      </c>
    </row>
    <row r="17" spans="1:6">
      <c r="A17" s="13" t="s">
        <v>98</v>
      </c>
      <c r="B17" s="17"/>
      <c r="C17" s="14"/>
      <c r="D17" s="15"/>
      <c r="E17" s="16">
        <f t="shared" si="1"/>
        <v>0</v>
      </c>
      <c r="F17" s="16">
        <f t="shared" si="0"/>
        <v>0</v>
      </c>
    </row>
    <row r="18" spans="1:6">
      <c r="A18" s="13" t="s">
        <v>99</v>
      </c>
      <c r="B18" s="17"/>
      <c r="C18" s="14"/>
      <c r="D18" s="15"/>
      <c r="E18" s="16">
        <f t="shared" si="1"/>
        <v>0</v>
      </c>
      <c r="F18" s="16">
        <f t="shared" si="0"/>
        <v>0</v>
      </c>
    </row>
    <row r="19" spans="1:6">
      <c r="A19" s="13" t="s">
        <v>100</v>
      </c>
      <c r="B19" s="17"/>
      <c r="C19" s="14"/>
      <c r="D19" s="15"/>
      <c r="E19" s="16">
        <f t="shared" si="1"/>
        <v>0</v>
      </c>
      <c r="F19" s="16">
        <f t="shared" si="0"/>
        <v>0</v>
      </c>
    </row>
    <row r="20" spans="1:6">
      <c r="A20" s="13" t="s">
        <v>101</v>
      </c>
      <c r="B20" s="17"/>
      <c r="C20" s="14"/>
      <c r="D20" s="15"/>
      <c r="E20" s="16">
        <f t="shared" si="1"/>
        <v>0</v>
      </c>
      <c r="F20" s="16">
        <f t="shared" si="0"/>
        <v>0</v>
      </c>
    </row>
    <row r="21" spans="1:6">
      <c r="A21" s="13" t="s">
        <v>102</v>
      </c>
      <c r="B21" s="17"/>
      <c r="C21" s="14"/>
      <c r="D21" s="15"/>
      <c r="E21" s="16">
        <f t="shared" si="1"/>
        <v>0</v>
      </c>
      <c r="F21" s="16">
        <f t="shared" si="0"/>
        <v>0</v>
      </c>
    </row>
    <row r="22" spans="1:6">
      <c r="A22" s="13" t="s">
        <v>103</v>
      </c>
      <c r="B22" s="17"/>
      <c r="C22" s="14"/>
      <c r="D22" s="15"/>
      <c r="E22" s="16">
        <f t="shared" si="1"/>
        <v>0</v>
      </c>
      <c r="F22" s="16">
        <f t="shared" si="0"/>
        <v>0</v>
      </c>
    </row>
    <row r="23" spans="1:6">
      <c r="A23" s="13" t="s">
        <v>104</v>
      </c>
      <c r="B23" s="17"/>
      <c r="C23" s="14"/>
      <c r="D23" s="15"/>
      <c r="E23" s="16">
        <f t="shared" si="1"/>
        <v>0</v>
      </c>
      <c r="F23" s="16">
        <f t="shared" si="0"/>
        <v>0</v>
      </c>
    </row>
    <row r="24" spans="1:6">
      <c r="A24" s="13" t="s">
        <v>105</v>
      </c>
      <c r="B24" s="17"/>
      <c r="C24" s="14"/>
      <c r="D24" s="15"/>
      <c r="E24" s="16">
        <f t="shared" si="1"/>
        <v>0</v>
      </c>
      <c r="F24" s="16">
        <f t="shared" si="0"/>
        <v>0</v>
      </c>
    </row>
    <row r="25" spans="1:6">
      <c r="A25" s="13"/>
      <c r="B25" s="18" t="s">
        <v>71</v>
      </c>
      <c r="C25" s="192">
        <f>SUM(C6:C24)</f>
        <v>0</v>
      </c>
      <c r="D25" s="192"/>
      <c r="E25" s="19">
        <f>SUM(E6:E24)</f>
        <v>0</v>
      </c>
      <c r="F25" s="19">
        <f>SUM(F6:F24)</f>
        <v>0</v>
      </c>
    </row>
    <row r="26" spans="1:6" s="2" customFormat="1"/>
    <row r="27" spans="1:6" s="2" customFormat="1"/>
    <row r="28" spans="1:6" s="2" customFormat="1">
      <c r="B28" s="228" t="s">
        <v>109</v>
      </c>
    </row>
    <row r="29" spans="1:6" s="2" customFormat="1">
      <c r="B29" s="157">
        <f>30%*E6</f>
        <v>0</v>
      </c>
      <c r="C29" s="2" t="s">
        <v>153</v>
      </c>
      <c r="E29" s="186"/>
    </row>
    <row r="30" spans="1:6" s="2" customFormat="1">
      <c r="B30" s="158">
        <f>+B29/12</f>
        <v>0</v>
      </c>
      <c r="C30" s="21" t="s">
        <v>154</v>
      </c>
    </row>
    <row r="31" spans="1:6" s="2" customFormat="1"/>
    <row r="32" spans="1:6" s="2" customFormat="1">
      <c r="B32" s="228" t="s">
        <v>110</v>
      </c>
    </row>
    <row r="33" spans="2:3" s="2" customFormat="1">
      <c r="B33" s="2" t="s">
        <v>106</v>
      </c>
      <c r="C33" s="2">
        <f>12*((1+5.59%)^(1/12)-1)</f>
        <v>5.4516947433187468E-2</v>
      </c>
    </row>
    <row r="34" spans="2:3" s="2" customFormat="1">
      <c r="B34" s="19">
        <f>+'Izračun stroškov financiranja'!C10</f>
        <v>0</v>
      </c>
      <c r="C34" s="2" t="s">
        <v>153</v>
      </c>
    </row>
    <row r="35" spans="2:3" s="2" customFormat="1">
      <c r="B35" s="20">
        <f>+B34/12</f>
        <v>0</v>
      </c>
      <c r="C35" s="21" t="s">
        <v>154</v>
      </c>
    </row>
    <row r="36" spans="2:3" s="2" customFormat="1"/>
    <row r="37" spans="2:3" s="2" customFormat="1"/>
    <row r="38" spans="2:3" s="2" customFormat="1">
      <c r="B38" s="228" t="s">
        <v>108</v>
      </c>
    </row>
    <row r="39" spans="2:3" s="2" customFormat="1">
      <c r="B39" s="19">
        <f>+E25+B29+B34</f>
        <v>0</v>
      </c>
      <c r="C39" s="2" t="s">
        <v>153</v>
      </c>
    </row>
    <row r="40" spans="2:3">
      <c r="B40" s="20">
        <f>+B39/12</f>
        <v>0</v>
      </c>
      <c r="C40" s="21" t="s">
        <v>154</v>
      </c>
    </row>
    <row r="42" spans="2:3">
      <c r="B42" s="3" t="s">
        <v>155</v>
      </c>
    </row>
    <row r="43" spans="2:3">
      <c r="B43" s="19">
        <f>+E25-E6</f>
        <v>0</v>
      </c>
      <c r="C43" s="2" t="s">
        <v>153</v>
      </c>
    </row>
    <row r="44" spans="2:3">
      <c r="B44" s="20">
        <f>+B43/12</f>
        <v>0</v>
      </c>
      <c r="C44" s="21" t="s">
        <v>154</v>
      </c>
    </row>
  </sheetData>
  <sheetProtection sheet="1"/>
  <mergeCells count="1">
    <mergeCell ref="B1:F2"/>
  </mergeCells>
  <phoneticPr fontId="0" type="noConversion"/>
  <dataValidations count="1">
    <dataValidation type="decimal" allowBlank="1" showInputMessage="1" showErrorMessage="1" sqref="D6" xr:uid="{00000000-0002-0000-0400-000000000000}">
      <formula1>0</formula1>
      <formula2>0.03</formula2>
    </dataValidation>
  </dataValidations>
  <pageMargins left="0.78740157480314965" right="0.78740157480314965" top="0.78740157480314965" bottom="0.78740157480314965" header="0.19685039370078741" footer="0.19685039370078741"/>
  <pageSetup paperSize="9" scale="84" orientation="landscape" r:id="rId1"/>
  <headerFooter alignWithMargins="0">
    <oddHeader>&amp;LMDDSZ - Javni razpis za podelitev koncesij za opravljanje institucionalnega varstva v domovih za starejše; junij 2021</oddHeader>
    <oddFooter>&amp;L&amp;A&amp;R&amp;D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  <pageSetUpPr fitToPage="1"/>
  </sheetPr>
  <dimension ref="B1:G11"/>
  <sheetViews>
    <sheetView workbookViewId="0">
      <selection activeCell="C4" sqref="C4"/>
    </sheetView>
  </sheetViews>
  <sheetFormatPr defaultRowHeight="12.75"/>
  <cols>
    <col min="2" max="2" width="21.5" customWidth="1"/>
    <col min="3" max="3" width="23.83203125" customWidth="1"/>
    <col min="4" max="4" width="9.83203125" customWidth="1"/>
  </cols>
  <sheetData>
    <row r="1" spans="2:7" ht="13.5" thickBot="1"/>
    <row r="2" spans="2:7">
      <c r="B2" s="43" t="s">
        <v>115</v>
      </c>
      <c r="C2" s="25"/>
      <c r="D2" s="25"/>
      <c r="E2" s="25"/>
      <c r="F2" s="25"/>
      <c r="G2" s="26"/>
    </row>
    <row r="3" spans="2:7">
      <c r="B3" s="27"/>
      <c r="C3" s="1"/>
      <c r="D3" s="1"/>
      <c r="E3" s="1"/>
      <c r="F3" s="1"/>
      <c r="G3" s="28"/>
    </row>
    <row r="4" spans="2:7" ht="38.25">
      <c r="B4" s="29" t="s">
        <v>116</v>
      </c>
      <c r="C4" s="296"/>
      <c r="D4" s="1" t="s">
        <v>156</v>
      </c>
      <c r="E4" s="30"/>
      <c r="F4" s="30"/>
      <c r="G4" s="28"/>
    </row>
    <row r="5" spans="2:7">
      <c r="B5" s="31">
        <v>0.6</v>
      </c>
      <c r="C5" s="32">
        <f>C4*B5</f>
        <v>0</v>
      </c>
      <c r="D5" s="1"/>
      <c r="E5" s="1"/>
      <c r="F5" s="1"/>
      <c r="G5" s="28"/>
    </row>
    <row r="6" spans="2:7">
      <c r="B6" s="27" t="s">
        <v>124</v>
      </c>
      <c r="C6" s="33">
        <f>+C5</f>
        <v>0</v>
      </c>
      <c r="D6" s="34" t="e">
        <f>C6/C5</f>
        <v>#DIV/0!</v>
      </c>
      <c r="E6" s="1"/>
      <c r="F6" s="1"/>
      <c r="G6" s="28"/>
    </row>
    <row r="7" spans="2:7" ht="89.25">
      <c r="B7" s="399" t="s">
        <v>298</v>
      </c>
      <c r="C7" s="36"/>
      <c r="D7" s="37" t="s">
        <v>117</v>
      </c>
      <c r="E7" s="1"/>
      <c r="F7" s="1"/>
      <c r="G7" s="28"/>
    </row>
    <row r="8" spans="2:7">
      <c r="B8" s="398">
        <v>1.0177</v>
      </c>
      <c r="C8" s="1">
        <f>B8^(1/12)</f>
        <v>1.0014631676547709</v>
      </c>
      <c r="D8" s="38">
        <f>(C8-1)*12</f>
        <v>1.7558011857251365E-2</v>
      </c>
      <c r="E8" s="1"/>
      <c r="F8" s="1"/>
      <c r="G8" s="28"/>
    </row>
    <row r="9" spans="2:7">
      <c r="B9" s="27"/>
      <c r="C9" s="1"/>
      <c r="D9" s="1"/>
      <c r="E9" s="1"/>
      <c r="F9" s="1"/>
      <c r="G9" s="28"/>
    </row>
    <row r="10" spans="2:7" ht="25.5">
      <c r="B10" s="35" t="s">
        <v>118</v>
      </c>
      <c r="C10" s="32">
        <f>C6*D8</f>
        <v>0</v>
      </c>
      <c r="D10" s="1"/>
      <c r="E10" s="1"/>
      <c r="F10" s="1"/>
      <c r="G10" s="28"/>
    </row>
    <row r="11" spans="2:7" ht="13.5" thickBot="1">
      <c r="B11" s="39" t="s">
        <v>119</v>
      </c>
      <c r="C11" s="40">
        <f>(C10/12)</f>
        <v>0</v>
      </c>
      <c r="D11" s="41"/>
      <c r="E11" s="41"/>
      <c r="F11" s="41"/>
      <c r="G11" s="42"/>
    </row>
  </sheetData>
  <sheetProtection sheet="1" objects="1" scenarios="1"/>
  <phoneticPr fontId="0" type="noConversion"/>
  <pageMargins left="0.78740157480314965" right="0.78740157480314965" top="0.78740157480314965" bottom="0.78740157480314965" header="0.19685039370078741" footer="0.19685039370078741"/>
  <pageSetup paperSize="9" orientation="landscape" r:id="rId1"/>
  <headerFooter alignWithMargins="0">
    <oddHeader>&amp;LMDDSZ - Javni razpis za podelitev koncesij za opravljanje institucionalnega varstva v domovih za starejše; junij 2021</oddHeader>
    <oddFooter>&amp;L&amp;A&amp;R&amp;D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J85"/>
  <sheetViews>
    <sheetView topLeftCell="A40" zoomScale="80" zoomScaleNormal="80" workbookViewId="0">
      <selection activeCell="E12" sqref="E12"/>
    </sheetView>
  </sheetViews>
  <sheetFormatPr defaultRowHeight="12.75"/>
  <cols>
    <col min="1" max="1" width="4.83203125" customWidth="1"/>
    <col min="2" max="2" width="54.33203125" customWidth="1"/>
    <col min="3" max="4" width="22" customWidth="1"/>
    <col min="5" max="5" width="17.1640625" customWidth="1"/>
  </cols>
  <sheetData>
    <row r="1" spans="1:10">
      <c r="A1" s="429" t="s">
        <v>196</v>
      </c>
      <c r="B1" s="429"/>
      <c r="C1" s="429"/>
      <c r="D1" s="429"/>
      <c r="E1" s="429"/>
    </row>
    <row r="2" spans="1:10">
      <c r="A2" s="276"/>
      <c r="J2" s="269"/>
    </row>
    <row r="3" spans="1:10">
      <c r="A3" s="425" t="s">
        <v>197</v>
      </c>
      <c r="B3" s="425"/>
      <c r="C3" s="425"/>
      <c r="D3" s="425"/>
      <c r="E3" s="425"/>
    </row>
    <row r="4" spans="1:10">
      <c r="A4" s="430" t="s">
        <v>198</v>
      </c>
      <c r="B4" s="430"/>
      <c r="C4" s="430"/>
      <c r="D4" s="430"/>
      <c r="E4" s="430"/>
    </row>
    <row r="5" spans="1:10">
      <c r="A5" s="430"/>
      <c r="B5" s="430"/>
      <c r="C5" s="430"/>
      <c r="D5" s="430"/>
      <c r="E5" s="430"/>
    </row>
    <row r="6" spans="1:10">
      <c r="A6" s="289"/>
      <c r="B6" s="289"/>
      <c r="C6" s="289"/>
      <c r="D6" s="289"/>
      <c r="E6" s="289"/>
    </row>
    <row r="7" spans="1:10">
      <c r="A7" s="431" t="s">
        <v>188</v>
      </c>
      <c r="B7" s="431"/>
      <c r="C7" s="305">
        <f ca="1">TODAY()</f>
        <v>44377</v>
      </c>
      <c r="D7" s="279"/>
      <c r="E7" s="279"/>
    </row>
    <row r="8" spans="1:10">
      <c r="A8" s="432" t="s">
        <v>199</v>
      </c>
      <c r="B8" s="432"/>
      <c r="C8" s="423">
        <f>'IZRAČUN CEN'!D3</f>
        <v>0</v>
      </c>
      <c r="D8" s="423"/>
      <c r="E8" s="423"/>
    </row>
    <row r="9" spans="1:10">
      <c r="A9" s="277"/>
    </row>
    <row r="10" spans="1:10" ht="26.25" customHeight="1">
      <c r="A10" s="433" t="s">
        <v>200</v>
      </c>
      <c r="B10" s="433"/>
      <c r="C10" s="433"/>
      <c r="D10" s="433"/>
      <c r="E10" s="433"/>
    </row>
    <row r="11" spans="1:10">
      <c r="A11" s="282"/>
      <c r="B11" s="283"/>
      <c r="C11" s="284" t="s">
        <v>201</v>
      </c>
      <c r="D11" s="282" t="s">
        <v>202</v>
      </c>
      <c r="E11" s="282" t="s">
        <v>203</v>
      </c>
    </row>
    <row r="12" spans="1:10" ht="26.25" customHeight="1">
      <c r="A12" s="285" t="s">
        <v>50</v>
      </c>
      <c r="B12" s="286" t="s">
        <v>204</v>
      </c>
      <c r="C12" s="291">
        <f>'IZRAČUN CEN'!F58</f>
        <v>0</v>
      </c>
      <c r="D12" s="291">
        <f>'IZRAČUN CEN'!F89</f>
        <v>0</v>
      </c>
      <c r="E12" s="301"/>
    </row>
    <row r="13" spans="1:10" ht="26.25" customHeight="1">
      <c r="A13" s="282" t="s">
        <v>51</v>
      </c>
      <c r="B13" s="283" t="s">
        <v>205</v>
      </c>
      <c r="C13" s="290">
        <f>'IZRAČUN CEN'!F59</f>
        <v>1133.76</v>
      </c>
      <c r="D13" s="290">
        <f>'IZRAČUN CEN'!F90</f>
        <v>1133.76</v>
      </c>
      <c r="E13" s="301"/>
    </row>
    <row r="14" spans="1:10" ht="26.25" customHeight="1">
      <c r="A14" s="282" t="s">
        <v>52</v>
      </c>
      <c r="B14" s="283" t="s">
        <v>206</v>
      </c>
      <c r="C14" s="290" t="e">
        <f>'IZRAČUN CEN'!F60</f>
        <v>#DIV/0!</v>
      </c>
      <c r="D14" s="290">
        <f>'IZRAČUN CEN'!F91</f>
        <v>0</v>
      </c>
      <c r="E14" s="301"/>
    </row>
    <row r="15" spans="1:10" ht="26.25" customHeight="1">
      <c r="A15" s="285" t="s">
        <v>87</v>
      </c>
      <c r="B15" s="283" t="s">
        <v>207</v>
      </c>
      <c r="C15" s="290" t="e">
        <f>'IZRAČUN CEN'!F61</f>
        <v>#DIV/0!</v>
      </c>
      <c r="D15" s="290">
        <f>'IZRAČUN CEN'!F92</f>
        <v>0</v>
      </c>
      <c r="E15" s="301"/>
    </row>
    <row r="16" spans="1:10" ht="26.25" customHeight="1">
      <c r="A16" s="285" t="s">
        <v>88</v>
      </c>
      <c r="B16" s="283" t="s">
        <v>125</v>
      </c>
      <c r="C16" s="290">
        <f>'IZRAČUN CEN'!F62</f>
        <v>0</v>
      </c>
      <c r="D16" s="290">
        <f>'IZRAČUN CEN'!F93</f>
        <v>0</v>
      </c>
      <c r="E16" s="301"/>
    </row>
    <row r="17" spans="1:5" ht="26.25" customHeight="1">
      <c r="A17" s="285" t="s">
        <v>89</v>
      </c>
      <c r="B17" s="283" t="s">
        <v>81</v>
      </c>
      <c r="C17" s="290">
        <f>'IZRAČUN CEN'!F63</f>
        <v>0</v>
      </c>
      <c r="D17" s="290">
        <f>'IZRAČUN CEN'!F94</f>
        <v>0</v>
      </c>
      <c r="E17" s="301"/>
    </row>
    <row r="18" spans="1:5" ht="26.25" customHeight="1">
      <c r="A18" s="285" t="s">
        <v>90</v>
      </c>
      <c r="B18" s="283" t="s">
        <v>208</v>
      </c>
      <c r="C18" s="290">
        <f>'IZRAČUN CEN'!F64</f>
        <v>0</v>
      </c>
      <c r="D18" s="290">
        <f>'IZRAČUN CEN'!F95</f>
        <v>0</v>
      </c>
      <c r="E18" s="301"/>
    </row>
    <row r="19" spans="1:5" ht="26.25" customHeight="1">
      <c r="A19" s="285" t="s">
        <v>91</v>
      </c>
      <c r="B19" s="287" t="s">
        <v>68</v>
      </c>
      <c r="C19" s="290">
        <f>'IZRAČUN CEN'!F65</f>
        <v>0</v>
      </c>
      <c r="D19" s="290">
        <f>'IZRAČUN CEN'!F96</f>
        <v>0</v>
      </c>
      <c r="E19" s="301"/>
    </row>
    <row r="20" spans="1:5" ht="26.25" customHeight="1">
      <c r="A20" s="285" t="s">
        <v>92</v>
      </c>
      <c r="B20" s="288" t="s">
        <v>114</v>
      </c>
      <c r="C20" s="291" t="e">
        <f>'IZRAČUN CEN'!F66</f>
        <v>#DIV/0!</v>
      </c>
      <c r="D20" s="291">
        <f>'IZRAČUN CEN'!F97</f>
        <v>0</v>
      </c>
      <c r="E20" s="301"/>
    </row>
    <row r="21" spans="1:5" ht="26.25" customHeight="1">
      <c r="A21" s="285" t="s">
        <v>93</v>
      </c>
      <c r="B21" s="283" t="s">
        <v>54</v>
      </c>
      <c r="C21" s="290">
        <f>'IZRAČUN CEN'!F67</f>
        <v>0</v>
      </c>
      <c r="D21" s="290">
        <f>'IZRAČUN CEN'!F98</f>
        <v>0</v>
      </c>
      <c r="E21" s="301"/>
    </row>
    <row r="22" spans="1:5" ht="26.25" customHeight="1">
      <c r="A22" s="285" t="s">
        <v>94</v>
      </c>
      <c r="B22" s="283" t="s">
        <v>209</v>
      </c>
      <c r="C22" s="290">
        <f>'IZRAČUN CEN'!F68</f>
        <v>0</v>
      </c>
      <c r="D22" s="290">
        <f>'IZRAČUN CEN'!F99</f>
        <v>0</v>
      </c>
      <c r="E22" s="301"/>
    </row>
    <row r="23" spans="1:5" ht="26.25" customHeight="1">
      <c r="A23" s="285" t="s">
        <v>95</v>
      </c>
      <c r="B23" s="283" t="s">
        <v>210</v>
      </c>
      <c r="C23" s="290">
        <f>'IZRAČUN CEN'!F69</f>
        <v>0</v>
      </c>
      <c r="D23" s="290">
        <f>'IZRAČUN CEN'!F100</f>
        <v>0</v>
      </c>
      <c r="E23" s="301"/>
    </row>
    <row r="24" spans="1:5" ht="26.25" customHeight="1">
      <c r="A24" s="282" t="s">
        <v>51</v>
      </c>
      <c r="B24" s="283" t="s">
        <v>56</v>
      </c>
      <c r="C24" s="290">
        <f>'IZRAČUN CEN'!F70</f>
        <v>237.27</v>
      </c>
      <c r="D24" s="290">
        <f>'IZRAČUN CEN'!F101</f>
        <v>237.27</v>
      </c>
      <c r="E24" s="301"/>
    </row>
    <row r="25" spans="1:5">
      <c r="A25" s="282"/>
      <c r="B25" s="286"/>
      <c r="C25" s="290"/>
      <c r="D25" s="290"/>
      <c r="E25" s="301"/>
    </row>
    <row r="26" spans="1:5" ht="26.25" customHeight="1">
      <c r="A26" s="285" t="s">
        <v>12</v>
      </c>
      <c r="B26" s="286" t="s">
        <v>57</v>
      </c>
      <c r="C26" s="291" t="e">
        <f>'IZRAČUN CEN'!F72</f>
        <v>#DIV/0!</v>
      </c>
      <c r="D26" s="291">
        <f>'IZRAČUN CEN'!F103</f>
        <v>0</v>
      </c>
      <c r="E26" s="301"/>
    </row>
    <row r="27" spans="1:5" ht="26.25" customHeight="1">
      <c r="A27" s="282" t="s">
        <v>51</v>
      </c>
      <c r="B27" s="283" t="s">
        <v>211</v>
      </c>
      <c r="C27" s="290">
        <f>'IZRAČUN CEN'!F73</f>
        <v>0</v>
      </c>
      <c r="D27" s="290">
        <f>'IZRAČUN CEN'!F104</f>
        <v>0</v>
      </c>
      <c r="E27" s="301"/>
    </row>
    <row r="28" spans="1:5" ht="26.25" customHeight="1">
      <c r="A28" s="282" t="s">
        <v>52</v>
      </c>
      <c r="B28" s="292" t="s">
        <v>163</v>
      </c>
      <c r="C28" s="290">
        <f>'IZRAČUN CEN'!F75</f>
        <v>182.76</v>
      </c>
      <c r="D28" s="290">
        <f>'IZRAČUN CEN'!F106</f>
        <v>182.76</v>
      </c>
      <c r="E28" s="304"/>
    </row>
    <row r="29" spans="1:5" ht="26.25" customHeight="1">
      <c r="A29" s="282" t="s">
        <v>53</v>
      </c>
      <c r="B29" s="283" t="s">
        <v>212</v>
      </c>
      <c r="C29" s="290" t="e">
        <f>'IZRAČUN CEN'!F76</f>
        <v>#DIV/0!</v>
      </c>
      <c r="D29" s="290">
        <f>'IZRAČUN CEN'!F107</f>
        <v>0</v>
      </c>
      <c r="E29" s="301"/>
    </row>
    <row r="30" spans="1:5">
      <c r="A30" s="282"/>
      <c r="B30" s="283"/>
      <c r="C30" s="290"/>
      <c r="D30" s="290"/>
      <c r="E30" s="301"/>
    </row>
    <row r="31" spans="1:5" ht="26.25" customHeight="1">
      <c r="A31" s="285" t="s">
        <v>60</v>
      </c>
      <c r="B31" s="286" t="s">
        <v>213</v>
      </c>
      <c r="C31" s="291">
        <f>'IZRAČUN CEN'!F78</f>
        <v>0</v>
      </c>
      <c r="D31" s="291">
        <f>'IZRAČUN CEN'!F109</f>
        <v>0</v>
      </c>
      <c r="E31" s="301"/>
    </row>
    <row r="32" spans="1:5" ht="26.25" customHeight="1">
      <c r="A32" s="285" t="s">
        <v>16</v>
      </c>
      <c r="B32" s="286" t="s">
        <v>214</v>
      </c>
      <c r="C32" s="291">
        <f>'IZRAČUN CEN'!F79</f>
        <v>0</v>
      </c>
      <c r="D32" s="291">
        <f>'IZRAČUN CEN'!F110</f>
        <v>0</v>
      </c>
      <c r="E32" s="301"/>
    </row>
    <row r="33" spans="1:5" ht="26.25" customHeight="1">
      <c r="A33" s="285" t="s">
        <v>21</v>
      </c>
      <c r="B33" s="286" t="s">
        <v>215</v>
      </c>
      <c r="C33" s="291">
        <f>'IZRAČUN CEN'!F80</f>
        <v>0</v>
      </c>
      <c r="D33" s="291">
        <f>'IZRAČUN CEN'!F111</f>
        <v>0</v>
      </c>
      <c r="E33" s="301"/>
    </row>
    <row r="34" spans="1:5" ht="26.25" customHeight="1">
      <c r="A34" s="282"/>
      <c r="B34" s="286" t="s">
        <v>64</v>
      </c>
      <c r="C34" s="291" t="e">
        <f>'IZRAČUN CEN'!F81</f>
        <v>#DIV/0!</v>
      </c>
      <c r="D34" s="291">
        <f>'IZRAČUN CEN'!F112</f>
        <v>0</v>
      </c>
      <c r="E34" s="301"/>
    </row>
    <row r="35" spans="1:5">
      <c r="A35" s="278"/>
    </row>
    <row r="36" spans="1:5" ht="26.25" customHeight="1">
      <c r="A36" s="422" t="s">
        <v>216</v>
      </c>
      <c r="B36" s="422"/>
      <c r="C36" s="422"/>
      <c r="D36" s="422"/>
      <c r="E36" s="422"/>
    </row>
    <row r="37" spans="1:5">
      <c r="A37" s="277"/>
    </row>
    <row r="38" spans="1:5">
      <c r="A38" s="280" t="s">
        <v>217</v>
      </c>
    </row>
    <row r="39" spans="1:5">
      <c r="A39" s="424" t="s">
        <v>218</v>
      </c>
      <c r="B39" s="424"/>
      <c r="C39" s="424"/>
      <c r="D39" s="424"/>
      <c r="E39" s="424"/>
    </row>
    <row r="40" spans="1:5">
      <c r="A40" s="431" t="s">
        <v>219</v>
      </c>
      <c r="B40" s="431"/>
      <c r="C40" s="431"/>
      <c r="D40" s="431"/>
      <c r="E40" s="431"/>
    </row>
    <row r="41" spans="1:5">
      <c r="A41" s="434" t="s">
        <v>294</v>
      </c>
      <c r="B41" s="424"/>
      <c r="C41" s="424"/>
      <c r="D41" s="424"/>
      <c r="E41" s="424"/>
    </row>
    <row r="43" spans="1:5" ht="12.75" customHeight="1">
      <c r="A43" s="428" t="s">
        <v>220</v>
      </c>
      <c r="B43" s="428"/>
      <c r="C43" s="428"/>
      <c r="D43" s="428"/>
      <c r="E43" s="428"/>
    </row>
    <row r="44" spans="1:5">
      <c r="A44" s="276"/>
    </row>
    <row r="45" spans="1:5">
      <c r="A45" s="281" t="s">
        <v>221</v>
      </c>
    </row>
    <row r="46" spans="1:5">
      <c r="A46" s="277"/>
    </row>
    <row r="47" spans="1:5" ht="25.5" customHeight="1">
      <c r="A47" s="282" t="s">
        <v>87</v>
      </c>
      <c r="B47" s="283" t="s">
        <v>222</v>
      </c>
      <c r="C47" s="290">
        <f>'IZRAČUN CEN'!F112</f>
        <v>0</v>
      </c>
    </row>
    <row r="48" spans="1:5" ht="25.5" customHeight="1">
      <c r="A48" s="282" t="s">
        <v>88</v>
      </c>
      <c r="B48" s="283" t="s">
        <v>211</v>
      </c>
      <c r="C48" s="290">
        <f>'IZRAČUN CEN'!F104</f>
        <v>0</v>
      </c>
    </row>
    <row r="49" spans="1:5" ht="25.5" customHeight="1">
      <c r="A49" s="282" t="s">
        <v>89</v>
      </c>
      <c r="B49" s="283" t="s">
        <v>223</v>
      </c>
      <c r="C49" s="290">
        <f>'Obrazec 4.1_I'!C48*0.98</f>
        <v>0</v>
      </c>
    </row>
    <row r="50" spans="1:5" ht="25.5" customHeight="1">
      <c r="A50" s="282" t="s">
        <v>90</v>
      </c>
      <c r="B50" s="283" t="s">
        <v>224</v>
      </c>
      <c r="C50" s="290">
        <f>'IZRAČUN CEN'!F113</f>
        <v>0</v>
      </c>
    </row>
    <row r="51" spans="1:5" ht="25.5" customHeight="1">
      <c r="A51" s="285" t="s">
        <v>91</v>
      </c>
      <c r="B51" s="286" t="s">
        <v>225</v>
      </c>
      <c r="C51" s="291">
        <f>'IZRAČUN CEN'!F114</f>
        <v>0</v>
      </c>
    </row>
    <row r="52" spans="1:5" ht="25.5" customHeight="1">
      <c r="A52" s="285" t="s">
        <v>92</v>
      </c>
      <c r="B52" s="286" t="s">
        <v>226</v>
      </c>
      <c r="C52" s="291">
        <f>ROUND(C51*0.1,2)+C51</f>
        <v>0</v>
      </c>
    </row>
    <row r="53" spans="1:5">
      <c r="A53" s="277"/>
    </row>
    <row r="54" spans="1:5">
      <c r="A54" s="277"/>
    </row>
    <row r="55" spans="1:5">
      <c r="A55" s="277"/>
    </row>
    <row r="56" spans="1:5">
      <c r="A56" s="277"/>
    </row>
    <row r="57" spans="1:5">
      <c r="A57" s="425" t="s">
        <v>227</v>
      </c>
      <c r="B57" s="425"/>
      <c r="C57" s="425"/>
      <c r="D57" s="425"/>
    </row>
    <row r="58" spans="1:5">
      <c r="A58" s="277"/>
    </row>
    <row r="59" spans="1:5" ht="36">
      <c r="A59" s="427"/>
      <c r="B59" s="427"/>
      <c r="C59" s="284" t="s">
        <v>244</v>
      </c>
      <c r="D59" s="284" t="s">
        <v>228</v>
      </c>
      <c r="E59" s="284" t="s">
        <v>229</v>
      </c>
    </row>
    <row r="60" spans="1:5" ht="25.5" customHeight="1">
      <c r="A60" s="421" t="s">
        <v>230</v>
      </c>
      <c r="B60" s="421"/>
      <c r="C60" s="299">
        <f>$C$51*D60</f>
        <v>0</v>
      </c>
      <c r="D60" s="300"/>
      <c r="E60" s="306"/>
    </row>
    <row r="61" spans="1:5" ht="25.5" customHeight="1">
      <c r="A61" s="421" t="s">
        <v>231</v>
      </c>
      <c r="B61" s="421"/>
      <c r="C61" s="299">
        <f t="shared" ref="C61:C65" si="0">$C$51*D61</f>
        <v>0</v>
      </c>
      <c r="D61" s="300"/>
      <c r="E61" s="306"/>
    </row>
    <row r="62" spans="1:5" ht="25.5" customHeight="1">
      <c r="A62" s="421" t="s">
        <v>232</v>
      </c>
      <c r="B62" s="421"/>
      <c r="C62" s="299">
        <f t="shared" si="0"/>
        <v>0</v>
      </c>
      <c r="D62" s="300"/>
      <c r="E62" s="306"/>
    </row>
    <row r="63" spans="1:5" ht="25.5" customHeight="1">
      <c r="A63" s="421" t="s">
        <v>233</v>
      </c>
      <c r="B63" s="421"/>
      <c r="C63" s="299">
        <f t="shared" si="0"/>
        <v>0</v>
      </c>
      <c r="D63" s="300"/>
      <c r="E63" s="306"/>
    </row>
    <row r="64" spans="1:5" ht="25.5" customHeight="1">
      <c r="A64" s="421" t="s">
        <v>234</v>
      </c>
      <c r="B64" s="421"/>
      <c r="C64" s="299">
        <f t="shared" si="0"/>
        <v>0</v>
      </c>
      <c r="D64" s="300"/>
      <c r="E64" s="306"/>
    </row>
    <row r="65" spans="1:5" ht="25.5" customHeight="1">
      <c r="A65" s="421" t="s">
        <v>235</v>
      </c>
      <c r="B65" s="421"/>
      <c r="C65" s="299">
        <f t="shared" si="0"/>
        <v>0</v>
      </c>
      <c r="D65" s="300"/>
      <c r="E65" s="306"/>
    </row>
    <row r="66" spans="1:5">
      <c r="A66" s="278"/>
    </row>
    <row r="67" spans="1:5">
      <c r="A67" s="422" t="s">
        <v>236</v>
      </c>
      <c r="B67" s="422"/>
      <c r="C67" s="422"/>
      <c r="D67" s="422"/>
      <c r="E67" s="422"/>
    </row>
    <row r="68" spans="1:5">
      <c r="A68" s="276"/>
    </row>
    <row r="69" spans="1:5">
      <c r="A69" s="424" t="s">
        <v>237</v>
      </c>
      <c r="B69" s="424"/>
      <c r="C69" s="424"/>
      <c r="D69" s="424"/>
      <c r="E69" s="424"/>
    </row>
    <row r="70" spans="1:5">
      <c r="A70" s="277"/>
    </row>
    <row r="71" spans="1:5">
      <c r="A71" s="277"/>
    </row>
    <row r="72" spans="1:5">
      <c r="A72" s="277"/>
    </row>
    <row r="73" spans="1:5">
      <c r="A73" s="277"/>
    </row>
    <row r="74" spans="1:5">
      <c r="A74" s="425" t="s">
        <v>238</v>
      </c>
      <c r="B74" s="425"/>
      <c r="C74" s="425"/>
      <c r="D74" s="425"/>
      <c r="E74" s="425"/>
    </row>
    <row r="75" spans="1:5">
      <c r="A75" s="277"/>
    </row>
    <row r="76" spans="1:5" ht="25.5" customHeight="1">
      <c r="A76" s="426"/>
      <c r="B76" s="426"/>
      <c r="C76" s="284" t="s">
        <v>239</v>
      </c>
      <c r="D76" s="284" t="s">
        <v>228</v>
      </c>
      <c r="E76" s="284" t="s">
        <v>229</v>
      </c>
    </row>
    <row r="77" spans="1:5" ht="25.5" customHeight="1">
      <c r="A77" s="421" t="s">
        <v>240</v>
      </c>
      <c r="B77" s="421"/>
      <c r="C77" s="299">
        <f>$C$51*D77</f>
        <v>0</v>
      </c>
      <c r="D77" s="300"/>
      <c r="E77" s="306"/>
    </row>
    <row r="78" spans="1:5" ht="25.5" customHeight="1">
      <c r="A78" s="421" t="s">
        <v>241</v>
      </c>
      <c r="B78" s="421"/>
      <c r="C78" s="299">
        <f t="shared" ref="C78:C79" si="1">$C$51*D78</f>
        <v>0</v>
      </c>
      <c r="D78" s="300"/>
      <c r="E78" s="306"/>
    </row>
    <row r="79" spans="1:5" ht="25.5" customHeight="1">
      <c r="A79" s="421" t="s">
        <v>242</v>
      </c>
      <c r="B79" s="421"/>
      <c r="C79" s="299">
        <f t="shared" si="1"/>
        <v>0</v>
      </c>
      <c r="D79" s="300"/>
      <c r="E79" s="306"/>
    </row>
    <row r="80" spans="1:5">
      <c r="A80" s="278"/>
    </row>
    <row r="81" spans="1:5">
      <c r="A81" s="422" t="s">
        <v>243</v>
      </c>
      <c r="B81" s="422"/>
      <c r="C81" s="422"/>
      <c r="D81" s="422"/>
      <c r="E81" s="422"/>
    </row>
    <row r="83" spans="1:5">
      <c r="C83" t="s">
        <v>189</v>
      </c>
      <c r="D83" s="298"/>
      <c r="E83" s="298"/>
    </row>
    <row r="85" spans="1:5">
      <c r="C85" t="s">
        <v>249</v>
      </c>
      <c r="D85" s="230"/>
      <c r="E85" s="230"/>
    </row>
  </sheetData>
  <sheetProtection sheet="1" objects="1" scenarios="1"/>
  <mergeCells count="28">
    <mergeCell ref="A43:E43"/>
    <mergeCell ref="A57:D57"/>
    <mergeCell ref="A1:E1"/>
    <mergeCell ref="A3:E3"/>
    <mergeCell ref="A4:E5"/>
    <mergeCell ref="A7:B7"/>
    <mergeCell ref="A8:B8"/>
    <mergeCell ref="A10:E10"/>
    <mergeCell ref="A36:E36"/>
    <mergeCell ref="A39:E39"/>
    <mergeCell ref="A40:E40"/>
    <mergeCell ref="A41:E41"/>
    <mergeCell ref="A78:B78"/>
    <mergeCell ref="A79:B79"/>
    <mergeCell ref="A81:E81"/>
    <mergeCell ref="C8:E8"/>
    <mergeCell ref="A65:B65"/>
    <mergeCell ref="A67:E67"/>
    <mergeCell ref="A69:E69"/>
    <mergeCell ref="A74:E74"/>
    <mergeCell ref="A76:B76"/>
    <mergeCell ref="A77:B77"/>
    <mergeCell ref="A60:B60"/>
    <mergeCell ref="A61:B61"/>
    <mergeCell ref="A59:B59"/>
    <mergeCell ref="A62:B62"/>
    <mergeCell ref="A63:B63"/>
    <mergeCell ref="A64:B64"/>
  </mergeCells>
  <pageMargins left="0.78740157480314965" right="0.78740157480314965" top="0.78740157480314965" bottom="0.78740157480314965" header="0.19685039370078741" footer="0.19685039370078741"/>
  <pageSetup paperSize="9" scale="80" fitToHeight="2" orientation="portrait" r:id="rId1"/>
  <headerFooter alignWithMargins="0">
    <oddHeader>&amp;LMDDSZ - Javni razpis za podelitev koncesij za opravljanje institucionalnega varstva v domovih za starejše; junij 2021</oddHeader>
    <oddFooter>&amp;L&amp;A&amp;R&amp;D</oddFooter>
  </headerFooter>
  <rowBreaks count="1" manualBreakCount="1">
    <brk id="4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J85"/>
  <sheetViews>
    <sheetView topLeftCell="A58" zoomScale="80" zoomScaleNormal="80" workbookViewId="0">
      <selection activeCell="E12" sqref="E12"/>
    </sheetView>
  </sheetViews>
  <sheetFormatPr defaultRowHeight="12.75"/>
  <cols>
    <col min="1" max="1" width="4.83203125" customWidth="1"/>
    <col min="2" max="2" width="54.33203125" customWidth="1"/>
    <col min="3" max="4" width="22" customWidth="1"/>
    <col min="5" max="5" width="17.1640625" customWidth="1"/>
  </cols>
  <sheetData>
    <row r="1" spans="1:10">
      <c r="A1" s="429" t="s">
        <v>245</v>
      </c>
      <c r="B1" s="429"/>
      <c r="C1" s="429"/>
      <c r="D1" s="429"/>
      <c r="E1" s="429"/>
    </row>
    <row r="2" spans="1:10">
      <c r="A2" s="276"/>
      <c r="J2" s="269"/>
    </row>
    <row r="3" spans="1:10">
      <c r="A3" s="425" t="s">
        <v>197</v>
      </c>
      <c r="B3" s="425"/>
      <c r="C3" s="425"/>
      <c r="D3" s="425"/>
      <c r="E3" s="425"/>
    </row>
    <row r="4" spans="1:10" ht="12.75" customHeight="1">
      <c r="A4" s="430" t="s">
        <v>247</v>
      </c>
      <c r="B4" s="430"/>
      <c r="C4" s="430"/>
      <c r="D4" s="430"/>
      <c r="E4" s="430"/>
    </row>
    <row r="5" spans="1:10">
      <c r="A5" s="430"/>
      <c r="B5" s="430"/>
      <c r="C5" s="430"/>
      <c r="D5" s="430"/>
      <c r="E5" s="430"/>
    </row>
    <row r="6" spans="1:10">
      <c r="A6" s="289"/>
      <c r="B6" s="289"/>
      <c r="C6" s="289"/>
      <c r="D6" s="289"/>
      <c r="E6" s="289"/>
    </row>
    <row r="7" spans="1:10">
      <c r="A7" s="431" t="s">
        <v>188</v>
      </c>
      <c r="B7" s="431"/>
      <c r="C7" s="305">
        <f ca="1">TODAY()</f>
        <v>44377</v>
      </c>
      <c r="D7" s="279"/>
      <c r="E7" s="279"/>
    </row>
    <row r="8" spans="1:10">
      <c r="A8" s="432" t="s">
        <v>199</v>
      </c>
      <c r="B8" s="432"/>
      <c r="C8" s="423">
        <f>'IZRAČUN CEN'!D3</f>
        <v>0</v>
      </c>
      <c r="D8" s="423"/>
      <c r="E8" s="423"/>
    </row>
    <row r="9" spans="1:10">
      <c r="A9" s="277"/>
    </row>
    <row r="10" spans="1:10" ht="26.25" customHeight="1">
      <c r="A10" s="439" t="s">
        <v>246</v>
      </c>
      <c r="B10" s="439"/>
      <c r="C10" s="439"/>
      <c r="D10" s="439"/>
      <c r="E10" s="439"/>
    </row>
    <row r="11" spans="1:10">
      <c r="A11" s="282"/>
      <c r="B11" s="283"/>
      <c r="C11" s="284" t="s">
        <v>201</v>
      </c>
      <c r="D11" s="282" t="s">
        <v>202</v>
      </c>
      <c r="E11" s="282" t="s">
        <v>203</v>
      </c>
    </row>
    <row r="12" spans="1:10" ht="26.25" customHeight="1">
      <c r="A12" s="285" t="s">
        <v>50</v>
      </c>
      <c r="B12" s="286" t="s">
        <v>204</v>
      </c>
      <c r="C12" s="291">
        <f>'IZRAČUN CEN'!I58</f>
        <v>0</v>
      </c>
      <c r="D12" s="291">
        <f>'IZRAČUN CEN'!I89</f>
        <v>0</v>
      </c>
      <c r="E12" s="303"/>
    </row>
    <row r="13" spans="1:10" ht="26.25" customHeight="1">
      <c r="A13" s="282" t="s">
        <v>51</v>
      </c>
      <c r="B13" s="283" t="s">
        <v>205</v>
      </c>
      <c r="C13" s="290">
        <f>'IZRAČUN CEN'!I59</f>
        <v>1190.47</v>
      </c>
      <c r="D13" s="290">
        <f>'IZRAČUN CEN'!I90</f>
        <v>1190.47</v>
      </c>
      <c r="E13" s="303"/>
    </row>
    <row r="14" spans="1:10" ht="26.25" customHeight="1">
      <c r="A14" s="282" t="s">
        <v>52</v>
      </c>
      <c r="B14" s="283" t="s">
        <v>206</v>
      </c>
      <c r="C14" s="290">
        <f>'IZRAČUN CEN'!I60</f>
        <v>0</v>
      </c>
      <c r="D14" s="290">
        <f>'IZRAČUN CEN'!I91</f>
        <v>0</v>
      </c>
      <c r="E14" s="303"/>
    </row>
    <row r="15" spans="1:10" ht="26.25" customHeight="1">
      <c r="A15" s="285" t="s">
        <v>87</v>
      </c>
      <c r="B15" s="283" t="s">
        <v>207</v>
      </c>
      <c r="C15" s="290">
        <f>'IZRAČUN CEN'!I61</f>
        <v>0</v>
      </c>
      <c r="D15" s="290">
        <f>'IZRAČUN CEN'!I92</f>
        <v>0</v>
      </c>
      <c r="E15" s="303"/>
    </row>
    <row r="16" spans="1:10" ht="26.25" customHeight="1">
      <c r="A16" s="285" t="s">
        <v>88</v>
      </c>
      <c r="B16" s="283" t="s">
        <v>125</v>
      </c>
      <c r="C16" s="290">
        <f>'IZRAČUN CEN'!I62</f>
        <v>0</v>
      </c>
      <c r="D16" s="290">
        <f>'IZRAČUN CEN'!I93</f>
        <v>0</v>
      </c>
      <c r="E16" s="303"/>
    </row>
    <row r="17" spans="1:5" ht="26.25" customHeight="1">
      <c r="A17" s="285" t="s">
        <v>89</v>
      </c>
      <c r="B17" s="283" t="s">
        <v>81</v>
      </c>
      <c r="C17" s="290">
        <f>'IZRAČUN CEN'!I63</f>
        <v>0</v>
      </c>
      <c r="D17" s="290">
        <f>'IZRAČUN CEN'!I94</f>
        <v>0</v>
      </c>
      <c r="E17" s="303"/>
    </row>
    <row r="18" spans="1:5" ht="26.25" customHeight="1">
      <c r="A18" s="285" t="s">
        <v>90</v>
      </c>
      <c r="B18" s="283" t="s">
        <v>208</v>
      </c>
      <c r="C18" s="290">
        <f>'IZRAČUN CEN'!I64</f>
        <v>0</v>
      </c>
      <c r="D18" s="290">
        <f>'IZRAČUN CEN'!I95</f>
        <v>0</v>
      </c>
      <c r="E18" s="303"/>
    </row>
    <row r="19" spans="1:5" ht="26.25" customHeight="1">
      <c r="A19" s="285" t="s">
        <v>91</v>
      </c>
      <c r="B19" s="287" t="s">
        <v>68</v>
      </c>
      <c r="C19" s="290">
        <f>'IZRAČUN CEN'!I65</f>
        <v>0</v>
      </c>
      <c r="D19" s="290">
        <f>'IZRAČUN CEN'!I96</f>
        <v>0</v>
      </c>
      <c r="E19" s="303"/>
    </row>
    <row r="20" spans="1:5" ht="26.25" customHeight="1">
      <c r="A20" s="285" t="s">
        <v>92</v>
      </c>
      <c r="B20" s="288" t="s">
        <v>114</v>
      </c>
      <c r="C20" s="291">
        <f>'IZRAČUN CEN'!I66</f>
        <v>0</v>
      </c>
      <c r="D20" s="291">
        <f>'IZRAČUN CEN'!I97</f>
        <v>0</v>
      </c>
      <c r="E20" s="303"/>
    </row>
    <row r="21" spans="1:5" ht="26.25" customHeight="1">
      <c r="A21" s="285" t="s">
        <v>93</v>
      </c>
      <c r="B21" s="283" t="s">
        <v>54</v>
      </c>
      <c r="C21" s="290">
        <f>'IZRAČUN CEN'!I67</f>
        <v>0</v>
      </c>
      <c r="D21" s="290">
        <f>'IZRAČUN CEN'!I98</f>
        <v>0</v>
      </c>
      <c r="E21" s="303"/>
    </row>
    <row r="22" spans="1:5" ht="26.25" customHeight="1">
      <c r="A22" s="285" t="s">
        <v>94</v>
      </c>
      <c r="B22" s="283" t="s">
        <v>209</v>
      </c>
      <c r="C22" s="290">
        <f>'IZRAČUN CEN'!I68</f>
        <v>0</v>
      </c>
      <c r="D22" s="290">
        <f>'IZRAČUN CEN'!I99</f>
        <v>0</v>
      </c>
      <c r="E22" s="303"/>
    </row>
    <row r="23" spans="1:5" ht="26.25" customHeight="1">
      <c r="A23" s="285" t="s">
        <v>95</v>
      </c>
      <c r="B23" s="283" t="s">
        <v>210</v>
      </c>
      <c r="C23" s="290">
        <f>'IZRAČUN CEN'!I69</f>
        <v>0</v>
      </c>
      <c r="D23" s="290">
        <f>'IZRAČUN CEN'!I100</f>
        <v>0</v>
      </c>
      <c r="E23" s="303"/>
    </row>
    <row r="24" spans="1:5" ht="26.25" customHeight="1">
      <c r="A24" s="282" t="s">
        <v>51</v>
      </c>
      <c r="B24" s="283" t="s">
        <v>56</v>
      </c>
      <c r="C24" s="290">
        <f>'IZRAČUN CEN'!I70</f>
        <v>237.27</v>
      </c>
      <c r="D24" s="290">
        <f>'IZRAČUN CEN'!I101</f>
        <v>237.27</v>
      </c>
      <c r="E24" s="301"/>
    </row>
    <row r="25" spans="1:5">
      <c r="A25" s="282"/>
      <c r="B25" s="286"/>
      <c r="C25" s="290"/>
      <c r="D25" s="290"/>
      <c r="E25" s="301"/>
    </row>
    <row r="26" spans="1:5" ht="26.25" customHeight="1">
      <c r="A26" s="285" t="s">
        <v>12</v>
      </c>
      <c r="B26" s="286" t="s">
        <v>57</v>
      </c>
      <c r="C26" s="291" t="e">
        <f>'IZRAČUN CEN'!I72</f>
        <v>#DIV/0!</v>
      </c>
      <c r="D26" s="291">
        <f>'IZRAČUN CEN'!I103</f>
        <v>0</v>
      </c>
      <c r="E26" s="303"/>
    </row>
    <row r="27" spans="1:5" ht="26.25" customHeight="1">
      <c r="A27" s="282" t="s">
        <v>51</v>
      </c>
      <c r="B27" s="283" t="s">
        <v>211</v>
      </c>
      <c r="C27" s="290">
        <f>'IZRAČUN CEN'!I73</f>
        <v>0</v>
      </c>
      <c r="D27" s="290">
        <f>'IZRAČUN CEN'!I104</f>
        <v>0</v>
      </c>
      <c r="E27" s="301"/>
    </row>
    <row r="28" spans="1:5" ht="26.25" customHeight="1">
      <c r="A28" s="282" t="s">
        <v>52</v>
      </c>
      <c r="B28" s="292" t="s">
        <v>163</v>
      </c>
      <c r="C28" s="290">
        <f>'IZRAČUN CEN'!I75</f>
        <v>182.76</v>
      </c>
      <c r="D28" s="290">
        <f>'IZRAČUN CEN'!I106</f>
        <v>182.76</v>
      </c>
      <c r="E28" s="304"/>
    </row>
    <row r="29" spans="1:5" ht="26.25" customHeight="1">
      <c r="A29" s="282" t="s">
        <v>53</v>
      </c>
      <c r="B29" s="283" t="s">
        <v>212</v>
      </c>
      <c r="C29" s="290" t="e">
        <f>'IZRAČUN CEN'!I76</f>
        <v>#DIV/0!</v>
      </c>
      <c r="D29" s="290">
        <f>'IZRAČUN CEN'!I107</f>
        <v>0</v>
      </c>
      <c r="E29" s="301"/>
    </row>
    <row r="30" spans="1:5">
      <c r="A30" s="282"/>
      <c r="B30" s="283"/>
      <c r="C30" s="290"/>
      <c r="D30" s="290"/>
      <c r="E30" s="301"/>
    </row>
    <row r="31" spans="1:5" ht="26.25" customHeight="1">
      <c r="A31" s="285" t="s">
        <v>60</v>
      </c>
      <c r="B31" s="286" t="s">
        <v>213</v>
      </c>
      <c r="C31" s="291">
        <f>'IZRAČUN CEN'!I78</f>
        <v>0</v>
      </c>
      <c r="D31" s="291">
        <f>'IZRAČUN CEN'!I109</f>
        <v>0</v>
      </c>
      <c r="E31" s="301"/>
    </row>
    <row r="32" spans="1:5" ht="26.25" customHeight="1">
      <c r="A32" s="285" t="s">
        <v>16</v>
      </c>
      <c r="B32" s="286" t="s">
        <v>214</v>
      </c>
      <c r="C32" s="291">
        <f>'IZRAČUN CEN'!I79</f>
        <v>0</v>
      </c>
      <c r="D32" s="291">
        <f>'IZRAČUN CEN'!I110</f>
        <v>0</v>
      </c>
      <c r="E32" s="301"/>
    </row>
    <row r="33" spans="1:5" ht="26.25" customHeight="1">
      <c r="A33" s="285" t="s">
        <v>21</v>
      </c>
      <c r="B33" s="286" t="s">
        <v>215</v>
      </c>
      <c r="C33" s="291">
        <f>'IZRAČUN CEN'!I80</f>
        <v>0</v>
      </c>
      <c r="D33" s="291">
        <f>'IZRAČUN CEN'!I111</f>
        <v>0</v>
      </c>
      <c r="E33" s="301"/>
    </row>
    <row r="34" spans="1:5" ht="26.25" customHeight="1">
      <c r="A34" s="282"/>
      <c r="B34" s="286" t="s">
        <v>64</v>
      </c>
      <c r="C34" s="291" t="e">
        <f>'IZRAČUN CEN'!I81</f>
        <v>#DIV/0!</v>
      </c>
      <c r="D34" s="291">
        <f>'IZRAČUN CEN'!I112</f>
        <v>0</v>
      </c>
      <c r="E34" s="303"/>
    </row>
    <row r="35" spans="1:5">
      <c r="A35" s="293"/>
      <c r="B35" s="294"/>
      <c r="C35" s="295"/>
      <c r="D35" s="294"/>
      <c r="E35" s="294"/>
    </row>
    <row r="36" spans="1:5" ht="27.75" customHeight="1">
      <c r="A36" s="422" t="s">
        <v>216</v>
      </c>
      <c r="B36" s="422"/>
      <c r="C36" s="422"/>
      <c r="D36" s="422"/>
      <c r="E36" s="422"/>
    </row>
    <row r="37" spans="1:5">
      <c r="A37" s="277"/>
    </row>
    <row r="38" spans="1:5">
      <c r="A38" s="280" t="s">
        <v>217</v>
      </c>
    </row>
    <row r="39" spans="1:5" ht="12.75" customHeight="1">
      <c r="A39" s="424" t="s">
        <v>218</v>
      </c>
      <c r="B39" s="424"/>
      <c r="C39" s="424"/>
      <c r="D39" s="424"/>
      <c r="E39" s="424"/>
    </row>
    <row r="40" spans="1:5">
      <c r="A40" s="431" t="s">
        <v>219</v>
      </c>
      <c r="B40" s="431"/>
      <c r="C40" s="431"/>
      <c r="D40" s="431"/>
      <c r="E40" s="431"/>
    </row>
    <row r="41" spans="1:5">
      <c r="A41" s="434" t="s">
        <v>294</v>
      </c>
      <c r="B41" s="424"/>
      <c r="C41" s="424"/>
      <c r="D41" s="424"/>
      <c r="E41" s="424"/>
    </row>
    <row r="43" spans="1:5" ht="12.75" customHeight="1">
      <c r="A43" s="428" t="s">
        <v>220</v>
      </c>
      <c r="B43" s="428"/>
      <c r="C43" s="428"/>
      <c r="D43" s="428"/>
      <c r="E43" s="428"/>
    </row>
    <row r="44" spans="1:5">
      <c r="A44" s="276"/>
    </row>
    <row r="45" spans="1:5">
      <c r="A45" s="281" t="s">
        <v>248</v>
      </c>
    </row>
    <row r="46" spans="1:5">
      <c r="A46" s="277"/>
    </row>
    <row r="47" spans="1:5" ht="25.5" customHeight="1">
      <c r="A47" s="282" t="s">
        <v>87</v>
      </c>
      <c r="B47" s="283" t="s">
        <v>222</v>
      </c>
      <c r="C47" s="290">
        <f>'IZRAČUN CEN'!I112</f>
        <v>0</v>
      </c>
    </row>
    <row r="48" spans="1:5" ht="25.5" customHeight="1">
      <c r="A48" s="282" t="s">
        <v>88</v>
      </c>
      <c r="B48" s="283" t="s">
        <v>211</v>
      </c>
      <c r="C48" s="290">
        <f>'IZRAČUN CEN'!I104</f>
        <v>0</v>
      </c>
    </row>
    <row r="49" spans="1:5" ht="25.5" customHeight="1">
      <c r="A49" s="282" t="s">
        <v>89</v>
      </c>
      <c r="B49" s="283" t="s">
        <v>223</v>
      </c>
      <c r="C49" s="290">
        <f>'Obrazec 4.1_IV'!C48*0.98</f>
        <v>0</v>
      </c>
    </row>
    <row r="50" spans="1:5" ht="25.5" customHeight="1">
      <c r="A50" s="282" t="s">
        <v>90</v>
      </c>
      <c r="B50" s="283" t="s">
        <v>224</v>
      </c>
      <c r="C50" s="290">
        <f>'IZRAČUN CEN'!I113</f>
        <v>0</v>
      </c>
    </row>
    <row r="51" spans="1:5" ht="25.5" customHeight="1">
      <c r="A51" s="285" t="s">
        <v>91</v>
      </c>
      <c r="B51" s="286" t="s">
        <v>225</v>
      </c>
      <c r="C51" s="291">
        <f>'IZRAČUN CEN'!I114</f>
        <v>0</v>
      </c>
    </row>
    <row r="52" spans="1:5" ht="25.5" customHeight="1">
      <c r="A52" s="285" t="s">
        <v>92</v>
      </c>
      <c r="B52" s="286" t="s">
        <v>226</v>
      </c>
      <c r="C52" s="291">
        <f>ROUND('Obrazec 4.1_I'!C51*0.1,2)+'Obrazec 4.1_IV'!C51</f>
        <v>0</v>
      </c>
    </row>
    <row r="53" spans="1:5">
      <c r="A53" s="277"/>
    </row>
    <row r="54" spans="1:5">
      <c r="A54" s="277"/>
    </row>
    <row r="55" spans="1:5">
      <c r="A55" s="277"/>
    </row>
    <row r="56" spans="1:5">
      <c r="A56" s="277"/>
    </row>
    <row r="57" spans="1:5">
      <c r="A57" s="425" t="s">
        <v>227</v>
      </c>
      <c r="B57" s="425"/>
      <c r="C57" s="425"/>
      <c r="D57" s="425"/>
    </row>
    <row r="58" spans="1:5">
      <c r="A58" s="277"/>
    </row>
    <row r="59" spans="1:5" ht="36">
      <c r="A59" s="440"/>
      <c r="B59" s="441"/>
      <c r="C59" s="284" t="s">
        <v>244</v>
      </c>
      <c r="D59" s="284" t="s">
        <v>228</v>
      </c>
      <c r="E59" s="284" t="s">
        <v>229</v>
      </c>
    </row>
    <row r="60" spans="1:5" ht="25.5" customHeight="1">
      <c r="A60" s="435" t="s">
        <v>230</v>
      </c>
      <c r="B60" s="436"/>
      <c r="C60" s="299">
        <f>'Obrazec 4.1_I'!$C$51*D60</f>
        <v>0</v>
      </c>
      <c r="D60" s="300"/>
      <c r="E60" s="302"/>
    </row>
    <row r="61" spans="1:5" ht="25.5" customHeight="1">
      <c r="A61" s="435" t="s">
        <v>231</v>
      </c>
      <c r="B61" s="436"/>
      <c r="C61" s="299">
        <f>'Obrazec 4.1_I'!$C$51*D61</f>
        <v>0</v>
      </c>
      <c r="D61" s="300"/>
      <c r="E61" s="302"/>
    </row>
    <row r="62" spans="1:5" ht="25.5" customHeight="1">
      <c r="A62" s="435" t="s">
        <v>232</v>
      </c>
      <c r="B62" s="436"/>
      <c r="C62" s="299">
        <f>'Obrazec 4.1_I'!$C$51*D62</f>
        <v>0</v>
      </c>
      <c r="D62" s="300"/>
      <c r="E62" s="302"/>
    </row>
    <row r="63" spans="1:5" ht="25.5" customHeight="1">
      <c r="A63" s="435" t="s">
        <v>233</v>
      </c>
      <c r="B63" s="436"/>
      <c r="C63" s="299">
        <f>'Obrazec 4.1_I'!$C$51*D63</f>
        <v>0</v>
      </c>
      <c r="D63" s="300"/>
      <c r="E63" s="302"/>
    </row>
    <row r="64" spans="1:5" ht="25.5" customHeight="1">
      <c r="A64" s="435" t="s">
        <v>234</v>
      </c>
      <c r="B64" s="436"/>
      <c r="C64" s="299">
        <f>'Obrazec 4.1_I'!$C$51*D64</f>
        <v>0</v>
      </c>
      <c r="D64" s="300"/>
      <c r="E64" s="302"/>
    </row>
    <row r="65" spans="1:5" ht="25.5" customHeight="1">
      <c r="A65" s="435" t="s">
        <v>235</v>
      </c>
      <c r="B65" s="436"/>
      <c r="C65" s="299">
        <f>'Obrazec 4.1_I'!$C$51*D65</f>
        <v>0</v>
      </c>
      <c r="D65" s="300"/>
      <c r="E65" s="302"/>
    </row>
    <row r="66" spans="1:5">
      <c r="A66" s="278"/>
    </row>
    <row r="67" spans="1:5" ht="12.75" customHeight="1">
      <c r="A67" s="422" t="s">
        <v>236</v>
      </c>
      <c r="B67" s="422"/>
      <c r="C67" s="422"/>
      <c r="D67" s="422"/>
      <c r="E67" s="422"/>
    </row>
    <row r="68" spans="1:5">
      <c r="A68" s="276"/>
    </row>
    <row r="69" spans="1:5" ht="12.75" customHeight="1">
      <c r="A69" s="424" t="s">
        <v>237</v>
      </c>
      <c r="B69" s="424"/>
      <c r="C69" s="424"/>
      <c r="D69" s="424"/>
      <c r="E69" s="424"/>
    </row>
    <row r="70" spans="1:5">
      <c r="A70" s="277"/>
    </row>
    <row r="71" spans="1:5">
      <c r="A71" s="277"/>
    </row>
    <row r="72" spans="1:5">
      <c r="A72" s="277"/>
    </row>
    <row r="73" spans="1:5">
      <c r="A73" s="277"/>
    </row>
    <row r="74" spans="1:5">
      <c r="A74" s="425" t="s">
        <v>238</v>
      </c>
      <c r="B74" s="425"/>
      <c r="C74" s="425"/>
      <c r="D74" s="425"/>
      <c r="E74" s="425"/>
    </row>
    <row r="75" spans="1:5">
      <c r="A75" s="277"/>
    </row>
    <row r="76" spans="1:5" ht="25.5" customHeight="1">
      <c r="A76" s="437"/>
      <c r="B76" s="438"/>
      <c r="C76" s="284" t="s">
        <v>239</v>
      </c>
      <c r="D76" s="284" t="s">
        <v>228</v>
      </c>
      <c r="E76" s="284" t="s">
        <v>229</v>
      </c>
    </row>
    <row r="77" spans="1:5" ht="25.5" customHeight="1">
      <c r="A77" s="435" t="s">
        <v>240</v>
      </c>
      <c r="B77" s="436"/>
      <c r="C77" s="299">
        <f>'Obrazec 4.1_I'!$C$51*D77</f>
        <v>0</v>
      </c>
      <c r="D77" s="300"/>
      <c r="E77" s="301"/>
    </row>
    <row r="78" spans="1:5" ht="25.5" customHeight="1">
      <c r="A78" s="435" t="s">
        <v>241</v>
      </c>
      <c r="B78" s="436"/>
      <c r="C78" s="299">
        <f>'Obrazec 4.1_I'!$C$51*D78</f>
        <v>0</v>
      </c>
      <c r="D78" s="300"/>
      <c r="E78" s="301"/>
    </row>
    <row r="79" spans="1:5" ht="25.5" customHeight="1">
      <c r="A79" s="435" t="s">
        <v>242</v>
      </c>
      <c r="B79" s="436"/>
      <c r="C79" s="299">
        <f>'Obrazec 4.1_I'!$C$51*D79</f>
        <v>0</v>
      </c>
      <c r="D79" s="300"/>
      <c r="E79" s="301"/>
    </row>
    <row r="80" spans="1:5">
      <c r="A80" s="278"/>
    </row>
    <row r="81" spans="1:5" ht="12.75" customHeight="1">
      <c r="A81" s="422" t="s">
        <v>243</v>
      </c>
      <c r="B81" s="422"/>
      <c r="C81" s="422"/>
      <c r="D81" s="422"/>
      <c r="E81" s="422"/>
    </row>
    <row r="83" spans="1:5">
      <c r="C83" t="s">
        <v>189</v>
      </c>
      <c r="D83" s="298"/>
      <c r="E83" s="298"/>
    </row>
    <row r="85" spans="1:5">
      <c r="C85" t="s">
        <v>249</v>
      </c>
      <c r="D85" s="230"/>
      <c r="E85" s="230"/>
    </row>
  </sheetData>
  <sheetProtection sheet="1" objects="1" scenarios="1"/>
  <mergeCells count="28">
    <mergeCell ref="A1:E1"/>
    <mergeCell ref="A3:E3"/>
    <mergeCell ref="A4:E5"/>
    <mergeCell ref="A7:B7"/>
    <mergeCell ref="A8:B8"/>
    <mergeCell ref="C8:E8"/>
    <mergeCell ref="A63:B63"/>
    <mergeCell ref="A10:E10"/>
    <mergeCell ref="A36:E36"/>
    <mergeCell ref="A39:E39"/>
    <mergeCell ref="A40:E40"/>
    <mergeCell ref="A41:E41"/>
    <mergeCell ref="A43:E43"/>
    <mergeCell ref="A57:D57"/>
    <mergeCell ref="A59:B59"/>
    <mergeCell ref="A60:B60"/>
    <mergeCell ref="A61:B61"/>
    <mergeCell ref="A62:B62"/>
    <mergeCell ref="A77:B77"/>
    <mergeCell ref="A78:B78"/>
    <mergeCell ref="A79:B79"/>
    <mergeCell ref="A81:E81"/>
    <mergeCell ref="A64:B64"/>
    <mergeCell ref="A65:B65"/>
    <mergeCell ref="A67:E67"/>
    <mergeCell ref="A69:E69"/>
    <mergeCell ref="A74:E74"/>
    <mergeCell ref="A76:B76"/>
  </mergeCells>
  <pageMargins left="0.78740157480314965" right="0.78740157480314965" top="0.78740157480314965" bottom="0.78740157480314965" header="0.19685039370078741" footer="0.19685039370078741"/>
  <pageSetup paperSize="9" scale="87" fitToHeight="2" orientation="portrait" r:id="rId1"/>
  <headerFooter alignWithMargins="0">
    <oddHeader>&amp;LMDDSZ - Javni razpis za podelitev koncesij za opravljanje institucionalnega varstva v domovih za starejše; junij 2021</oddHeader>
    <oddFooter>&amp;L&amp;A&amp;R&amp;D</oddFooter>
  </headerFooter>
  <rowBreaks count="1" manualBreakCount="1">
    <brk id="4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H35"/>
  <sheetViews>
    <sheetView workbookViewId="0">
      <selection activeCell="D8" sqref="D8"/>
    </sheetView>
  </sheetViews>
  <sheetFormatPr defaultRowHeight="12.75"/>
  <cols>
    <col min="1" max="1" width="12.5" customWidth="1"/>
    <col min="2" max="2" width="62.83203125" customWidth="1"/>
    <col min="3" max="8" width="21.83203125" customWidth="1"/>
  </cols>
  <sheetData>
    <row r="1" spans="1:8">
      <c r="A1" s="442" t="s">
        <v>282</v>
      </c>
      <c r="B1" s="442"/>
      <c r="C1" s="442"/>
      <c r="D1" s="442"/>
      <c r="E1" s="442"/>
      <c r="F1" s="442"/>
    </row>
    <row r="3" spans="1:8">
      <c r="A3" s="365" t="s">
        <v>253</v>
      </c>
      <c r="B3" s="384">
        <f>'IZRAČUN CEN'!D3</f>
        <v>0</v>
      </c>
    </row>
    <row r="4" spans="1:8">
      <c r="A4" s="373"/>
      <c r="B4" s="373"/>
      <c r="C4" s="443" t="s">
        <v>297</v>
      </c>
      <c r="D4" s="443" t="s">
        <v>251</v>
      </c>
      <c r="E4" s="443"/>
      <c r="F4" s="443"/>
      <c r="G4" s="443"/>
      <c r="H4" s="443"/>
    </row>
    <row r="5" spans="1:8">
      <c r="A5" s="373"/>
      <c r="B5" s="373"/>
      <c r="C5" s="443"/>
      <c r="D5" s="443"/>
      <c r="E5" s="443"/>
      <c r="F5" s="443"/>
      <c r="G5" s="443"/>
      <c r="H5" s="443"/>
    </row>
    <row r="6" spans="1:8" ht="25.5">
      <c r="A6" s="374" t="s">
        <v>254</v>
      </c>
      <c r="B6" s="374" t="s">
        <v>255</v>
      </c>
      <c r="C6" s="443"/>
      <c r="D6" s="374" t="s">
        <v>278</v>
      </c>
      <c r="E6" s="374" t="s">
        <v>256</v>
      </c>
      <c r="F6" s="374" t="s">
        <v>280</v>
      </c>
      <c r="G6" s="374" t="s">
        <v>279</v>
      </c>
      <c r="H6" s="374" t="s">
        <v>281</v>
      </c>
    </row>
    <row r="7" spans="1:8">
      <c r="A7" s="374">
        <v>1</v>
      </c>
      <c r="B7" s="374">
        <v>2</v>
      </c>
      <c r="C7" s="374" t="s">
        <v>296</v>
      </c>
      <c r="D7" s="374">
        <v>4</v>
      </c>
      <c r="E7" s="374">
        <v>5</v>
      </c>
      <c r="F7" s="374">
        <v>6</v>
      </c>
      <c r="G7" s="374">
        <v>7</v>
      </c>
      <c r="H7" s="374">
        <v>8</v>
      </c>
    </row>
    <row r="8" spans="1:8">
      <c r="A8" s="369"/>
      <c r="B8" s="370" t="s">
        <v>257</v>
      </c>
      <c r="C8" s="369">
        <f>D8+E8+F8+G8+H8</f>
        <v>0</v>
      </c>
      <c r="D8" s="385"/>
      <c r="E8" s="385"/>
      <c r="F8" s="385"/>
      <c r="G8" s="385"/>
      <c r="H8" s="385"/>
    </row>
    <row r="9" spans="1:8">
      <c r="A9" s="369"/>
      <c r="B9" s="370" t="s">
        <v>258</v>
      </c>
      <c r="C9" s="369">
        <f t="shared" ref="C9:C31" si="0">D9+E9+F9+G9+H9</f>
        <v>0</v>
      </c>
      <c r="D9" s="385"/>
      <c r="E9" s="385"/>
      <c r="F9" s="385"/>
      <c r="G9" s="385"/>
      <c r="H9" s="385"/>
    </row>
    <row r="10" spans="1:8">
      <c r="A10" s="369"/>
      <c r="B10" s="371" t="s">
        <v>259</v>
      </c>
      <c r="C10" s="369">
        <f t="shared" si="0"/>
        <v>0</v>
      </c>
      <c r="D10" s="385"/>
      <c r="E10" s="385"/>
      <c r="F10" s="385"/>
      <c r="G10" s="385"/>
      <c r="H10" s="385"/>
    </row>
    <row r="11" spans="1:8">
      <c r="A11" s="378"/>
      <c r="B11" s="378"/>
      <c r="C11" s="379"/>
      <c r="D11" s="379"/>
      <c r="E11" s="379"/>
      <c r="F11" s="379"/>
      <c r="G11" s="379"/>
      <c r="H11" s="379"/>
    </row>
    <row r="12" spans="1:8">
      <c r="A12" s="380">
        <v>46</v>
      </c>
      <c r="B12" s="381" t="s">
        <v>260</v>
      </c>
      <c r="C12" s="382">
        <f t="shared" si="0"/>
        <v>0</v>
      </c>
      <c r="D12" s="382">
        <f t="shared" ref="D12:H12" si="1">SUM(D13:D22)</f>
        <v>0</v>
      </c>
      <c r="E12" s="382">
        <f t="shared" si="1"/>
        <v>0</v>
      </c>
      <c r="F12" s="382">
        <f t="shared" si="1"/>
        <v>0</v>
      </c>
      <c r="G12" s="382">
        <f t="shared" si="1"/>
        <v>0</v>
      </c>
      <c r="H12" s="382">
        <f t="shared" si="1"/>
        <v>0</v>
      </c>
    </row>
    <row r="13" spans="1:8">
      <c r="A13" s="372">
        <v>460</v>
      </c>
      <c r="B13" s="370" t="s">
        <v>261</v>
      </c>
      <c r="C13" s="375">
        <f t="shared" si="0"/>
        <v>0</v>
      </c>
      <c r="D13" s="386"/>
      <c r="E13" s="386"/>
      <c r="F13" s="386"/>
      <c r="G13" s="386"/>
      <c r="H13" s="386"/>
    </row>
    <row r="14" spans="1:8">
      <c r="A14" s="372">
        <v>461</v>
      </c>
      <c r="B14" s="370" t="s">
        <v>262</v>
      </c>
      <c r="C14" s="375">
        <f t="shared" si="0"/>
        <v>0</v>
      </c>
      <c r="D14" s="386"/>
      <c r="E14" s="386"/>
      <c r="F14" s="386"/>
      <c r="G14" s="386"/>
      <c r="H14" s="386"/>
    </row>
    <row r="15" spans="1:8">
      <c r="A15" s="372">
        <v>462</v>
      </c>
      <c r="B15" s="370" t="s">
        <v>263</v>
      </c>
      <c r="C15" s="375">
        <f t="shared" si="0"/>
        <v>0</v>
      </c>
      <c r="D15" s="386"/>
      <c r="E15" s="386"/>
      <c r="F15" s="386"/>
      <c r="G15" s="386"/>
      <c r="H15" s="386"/>
    </row>
    <row r="16" spans="1:8">
      <c r="A16" s="372">
        <v>463</v>
      </c>
      <c r="B16" s="371" t="s">
        <v>264</v>
      </c>
      <c r="C16" s="375">
        <f t="shared" si="0"/>
        <v>0</v>
      </c>
      <c r="D16" s="386"/>
      <c r="E16" s="386"/>
      <c r="F16" s="386"/>
      <c r="G16" s="386"/>
      <c r="H16" s="386"/>
    </row>
    <row r="17" spans="1:8">
      <c r="A17" s="372">
        <v>464</v>
      </c>
      <c r="B17" s="371" t="s">
        <v>265</v>
      </c>
      <c r="C17" s="375">
        <f t="shared" si="0"/>
        <v>0</v>
      </c>
      <c r="D17" s="386"/>
      <c r="E17" s="386"/>
      <c r="F17" s="386"/>
      <c r="G17" s="386"/>
      <c r="H17" s="386"/>
    </row>
    <row r="18" spans="1:8">
      <c r="A18" s="372">
        <v>465</v>
      </c>
      <c r="B18" s="370" t="s">
        <v>266</v>
      </c>
      <c r="C18" s="375">
        <f t="shared" si="0"/>
        <v>0</v>
      </c>
      <c r="D18" s="386"/>
      <c r="E18" s="386"/>
      <c r="F18" s="386"/>
      <c r="G18" s="386"/>
      <c r="H18" s="386"/>
    </row>
    <row r="19" spans="1:8">
      <c r="A19" s="372">
        <v>466</v>
      </c>
      <c r="B19" s="371" t="s">
        <v>267</v>
      </c>
      <c r="C19" s="375">
        <f t="shared" si="0"/>
        <v>0</v>
      </c>
      <c r="D19" s="386"/>
      <c r="E19" s="386"/>
      <c r="F19" s="386"/>
      <c r="G19" s="386"/>
      <c r="H19" s="386"/>
    </row>
    <row r="20" spans="1:8">
      <c r="A20" s="372">
        <v>467</v>
      </c>
      <c r="B20" s="371" t="s">
        <v>268</v>
      </c>
      <c r="C20" s="375">
        <f t="shared" si="0"/>
        <v>0</v>
      </c>
      <c r="D20" s="386"/>
      <c r="E20" s="386"/>
      <c r="F20" s="386"/>
      <c r="G20" s="386"/>
      <c r="H20" s="386"/>
    </row>
    <row r="21" spans="1:8">
      <c r="A21" s="372">
        <v>468</v>
      </c>
      <c r="B21" s="370" t="s">
        <v>269</v>
      </c>
      <c r="C21" s="375">
        <f t="shared" si="0"/>
        <v>0</v>
      </c>
      <c r="D21" s="386"/>
      <c r="E21" s="386"/>
      <c r="F21" s="386"/>
      <c r="G21" s="386"/>
      <c r="H21" s="386"/>
    </row>
    <row r="22" spans="1:8">
      <c r="A22" s="372">
        <v>469</v>
      </c>
      <c r="B22" s="370" t="s">
        <v>270</v>
      </c>
      <c r="C22" s="375">
        <f t="shared" si="0"/>
        <v>0</v>
      </c>
      <c r="D22" s="386"/>
      <c r="E22" s="386"/>
      <c r="F22" s="386"/>
      <c r="G22" s="386"/>
      <c r="H22" s="386"/>
    </row>
    <row r="23" spans="1:8">
      <c r="A23" s="378"/>
      <c r="B23" s="378"/>
      <c r="C23" s="379"/>
      <c r="D23" s="379"/>
      <c r="E23" s="379"/>
      <c r="F23" s="379"/>
      <c r="G23" s="379"/>
      <c r="H23" s="379"/>
    </row>
    <row r="24" spans="1:8">
      <c r="A24" s="380">
        <v>76</v>
      </c>
      <c r="B24" s="381" t="s">
        <v>271</v>
      </c>
      <c r="C24" s="383">
        <f t="shared" si="0"/>
        <v>0</v>
      </c>
      <c r="D24" s="383">
        <f>SUM(D25:D29)</f>
        <v>0</v>
      </c>
      <c r="E24" s="383">
        <f t="shared" ref="E24:H24" si="2">SUM(E25:E29)</f>
        <v>0</v>
      </c>
      <c r="F24" s="383">
        <f t="shared" si="2"/>
        <v>0</v>
      </c>
      <c r="G24" s="383">
        <f t="shared" si="2"/>
        <v>0</v>
      </c>
      <c r="H24" s="383">
        <f t="shared" si="2"/>
        <v>0</v>
      </c>
    </row>
    <row r="25" spans="1:8">
      <c r="A25" s="372">
        <v>760</v>
      </c>
      <c r="B25" s="371" t="s">
        <v>272</v>
      </c>
      <c r="C25" s="375">
        <f t="shared" si="0"/>
        <v>0</v>
      </c>
      <c r="D25" s="386"/>
      <c r="E25" s="386"/>
      <c r="F25" s="386"/>
      <c r="G25" s="386"/>
      <c r="H25" s="386"/>
    </row>
    <row r="26" spans="1:8">
      <c r="A26" s="372">
        <v>761</v>
      </c>
      <c r="B26" s="371" t="s">
        <v>273</v>
      </c>
      <c r="C26" s="375">
        <f t="shared" si="0"/>
        <v>0</v>
      </c>
      <c r="D26" s="386"/>
      <c r="E26" s="386"/>
      <c r="F26" s="386"/>
      <c r="G26" s="386"/>
      <c r="H26" s="386"/>
    </row>
    <row r="27" spans="1:8">
      <c r="A27" s="372">
        <v>762</v>
      </c>
      <c r="B27" s="370" t="s">
        <v>274</v>
      </c>
      <c r="C27" s="375">
        <f t="shared" si="0"/>
        <v>0</v>
      </c>
      <c r="D27" s="386"/>
      <c r="E27" s="386"/>
      <c r="F27" s="386"/>
      <c r="G27" s="386"/>
      <c r="H27" s="386"/>
    </row>
    <row r="28" spans="1:8" ht="25.5">
      <c r="A28" s="372">
        <v>763</v>
      </c>
      <c r="B28" s="371" t="s">
        <v>275</v>
      </c>
      <c r="C28" s="375">
        <f t="shared" si="0"/>
        <v>0</v>
      </c>
      <c r="D28" s="386"/>
      <c r="E28" s="386"/>
      <c r="F28" s="386"/>
      <c r="G28" s="386"/>
      <c r="H28" s="386"/>
    </row>
    <row r="29" spans="1:8">
      <c r="A29" s="372">
        <v>764</v>
      </c>
      <c r="B29" s="370" t="s">
        <v>276</v>
      </c>
      <c r="C29" s="375">
        <f t="shared" si="0"/>
        <v>0</v>
      </c>
      <c r="D29" s="386"/>
      <c r="E29" s="386"/>
      <c r="F29" s="386"/>
      <c r="G29" s="386"/>
      <c r="H29" s="386"/>
    </row>
    <row r="30" spans="1:8">
      <c r="A30" s="378"/>
      <c r="B30" s="378"/>
      <c r="C30" s="379"/>
      <c r="D30" s="379"/>
      <c r="E30" s="379"/>
      <c r="F30" s="379"/>
      <c r="G30" s="379"/>
      <c r="H30" s="379"/>
    </row>
    <row r="31" spans="1:8">
      <c r="A31" s="376"/>
      <c r="B31" s="373" t="s">
        <v>277</v>
      </c>
      <c r="C31" s="377">
        <f t="shared" si="0"/>
        <v>0</v>
      </c>
      <c r="D31" s="377">
        <f>D24-D12</f>
        <v>0</v>
      </c>
      <c r="E31" s="377">
        <f t="shared" ref="E31:H31" si="3">E24-E12</f>
        <v>0</v>
      </c>
      <c r="F31" s="377">
        <f t="shared" si="3"/>
        <v>0</v>
      </c>
      <c r="G31" s="377">
        <f t="shared" si="3"/>
        <v>0</v>
      </c>
      <c r="H31" s="377">
        <f t="shared" si="3"/>
        <v>0</v>
      </c>
    </row>
    <row r="32" spans="1:8">
      <c r="A32" s="366"/>
      <c r="B32" s="367"/>
      <c r="C32" s="366"/>
      <c r="D32" s="366"/>
      <c r="E32" s="366"/>
      <c r="F32" s="366"/>
      <c r="G32" s="366"/>
      <c r="H32" s="366"/>
    </row>
    <row r="33" spans="2:8">
      <c r="B33" s="368"/>
      <c r="C33" s="368"/>
      <c r="D33" s="368" t="s">
        <v>189</v>
      </c>
      <c r="E33" s="390"/>
      <c r="F33" s="368"/>
      <c r="G33" s="368"/>
      <c r="H33" s="368"/>
    </row>
    <row r="35" spans="2:8">
      <c r="D35" s="368" t="s">
        <v>249</v>
      </c>
      <c r="E35" s="230"/>
    </row>
  </sheetData>
  <sheetProtection sheet="1" objects="1" scenarios="1"/>
  <mergeCells count="3">
    <mergeCell ref="A1:F1"/>
    <mergeCell ref="C4:C6"/>
    <mergeCell ref="D4:H5"/>
  </mergeCells>
  <pageMargins left="0.78740157480314965" right="0.78740157480314965" top="0.78740157480314965" bottom="0.78740157480314965" header="0.19685039370078741" footer="0.19685039370078741"/>
  <pageSetup paperSize="9" scale="77" orientation="landscape" r:id="rId1"/>
  <headerFooter alignWithMargins="0">
    <oddHeader>&amp;LMDDSZ - Javni razpis za podelitev koncesij za opravljanje institucionalnega varstva v domovih za starejše; junij 2021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4</vt:i4>
      </vt:variant>
    </vt:vector>
  </HeadingPairs>
  <TitlesOfParts>
    <vt:vector size="13" baseType="lpstr">
      <vt:lpstr>NAVODILA</vt:lpstr>
      <vt:lpstr>POSLOVODENJE</vt:lpstr>
      <vt:lpstr>IZRAČUN CEN</vt:lpstr>
      <vt:lpstr>IZJAVA</vt:lpstr>
      <vt:lpstr>Max strošek najemnine</vt:lpstr>
      <vt:lpstr>Izračun stroškov financiranja</vt:lpstr>
      <vt:lpstr>Obrazec 4.1_I</vt:lpstr>
      <vt:lpstr>Obrazec 4.1_IV</vt:lpstr>
      <vt:lpstr>Finančni načrt</vt:lpstr>
      <vt:lpstr>'IZRAČUN CEN'!Področje_tiskanja</vt:lpstr>
      <vt:lpstr>'Obrazec 4.1_I'!Področje_tiskanja</vt:lpstr>
      <vt:lpstr>'Obrazec 4.1_IV'!Področje_tiskanja</vt:lpstr>
      <vt:lpstr>'Obrazec 4.1_I'!Tiskanje_naslovov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MDDSZ-mž</dc:creator>
  <cp:lastModifiedBy>Teja Podgorelec</cp:lastModifiedBy>
  <cp:lastPrinted>2021-05-28T06:37:44Z</cp:lastPrinted>
  <dcterms:created xsi:type="dcterms:W3CDTF">2007-01-11T12:23:18Z</dcterms:created>
  <dcterms:modified xsi:type="dcterms:W3CDTF">2021-06-30T11:24:18Z</dcterms:modified>
</cp:coreProperties>
</file>